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0" windowWidth="17970" windowHeight="5940" tabRatio="65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<sst xmlns="http://schemas.openxmlformats.org/spreadsheetml/2006/main" count="368" uniqueCount="93">
  <si>
    <t>POBLACION TOTAL POR GRUPOS DE EDAD  DISTRIBUIDOS POR ESTABLECIMIENTOS</t>
  </si>
  <si>
    <t>_</t>
  </si>
  <si>
    <t xml:space="preserve">            0   A   9   A Ñ O S</t>
  </si>
  <si>
    <t xml:space="preserve">             10   A  19   A Ñ O S</t>
  </si>
  <si>
    <t xml:space="preserve">        20   A Ñ O S    Y  M A S</t>
  </si>
  <si>
    <t>POBLA.</t>
  </si>
  <si>
    <t>ESTABLECIMIENTOS</t>
  </si>
  <si>
    <t>2 - 5</t>
  </si>
  <si>
    <t>6 - 9</t>
  </si>
  <si>
    <t>10 - 14</t>
  </si>
  <si>
    <t>15 - 19</t>
  </si>
  <si>
    <t>20 - 44</t>
  </si>
  <si>
    <t>TOTAL</t>
  </si>
  <si>
    <t>Sub-tot.</t>
  </si>
  <si>
    <t>-1 año</t>
  </si>
  <si>
    <t>meses</t>
  </si>
  <si>
    <t>años</t>
  </si>
  <si>
    <t>TOTAL SERVICIO DE SALUD</t>
  </si>
  <si>
    <t>ISAPRE RIO BLANCO</t>
  </si>
  <si>
    <t>POBLACION USUARIA  TOTAL POR GRUPOS DE EDAD  DISTRIBUIDOS POR ESTABLECIMIENTOS</t>
  </si>
  <si>
    <t xml:space="preserve">            10   A  19   A Ñ O S</t>
  </si>
  <si>
    <t>20   A Ñ O S    Y  M A S</t>
  </si>
  <si>
    <t>POBLACION FEMENINA  POR GRUPOS DE EDAD  DISTRIBUIDOS POR ESTABLECIMIENTOS</t>
  </si>
  <si>
    <t xml:space="preserve">        GRUPOS  ETAREOS</t>
  </si>
  <si>
    <t>EMBARAZADAS</t>
  </si>
  <si>
    <t>RECIEN</t>
  </si>
  <si>
    <t>NACIDO</t>
  </si>
  <si>
    <t>- 10</t>
  </si>
  <si>
    <t>45 - 49</t>
  </si>
  <si>
    <t>65 y +</t>
  </si>
  <si>
    <t>- 20</t>
  </si>
  <si>
    <t>20 - 34</t>
  </si>
  <si>
    <t>O PUERP.</t>
  </si>
  <si>
    <t>POBLACION FEMENINA  USUARIA  POR GRUPOS DE EDAD  DISTRIBUIDOS POR ESTABLECIMIENTOS</t>
  </si>
  <si>
    <t>65 - 69</t>
  </si>
  <si>
    <t>70 - +</t>
  </si>
  <si>
    <t>POBLACION USUARIA CERRADA  POR GRUPOS DE EDAD  DISTRIBUIDOS POR ESTABLECIMIENTOS</t>
  </si>
  <si>
    <t xml:space="preserve"> HOSPITAL  SAN  CAMILO</t>
  </si>
  <si>
    <t xml:space="preserve"> HOSPITAL  LOS  ANDES</t>
  </si>
  <si>
    <t xml:space="preserve"> HOSPITAL  LLAY  LLAY</t>
  </si>
  <si>
    <t xml:space="preserve"> HOSPITAL  PUTAENDO</t>
  </si>
  <si>
    <t xml:space="preserve"> HOSPITAL  PSIQUIATRICO</t>
  </si>
  <si>
    <t>NOTA   :</t>
  </si>
  <si>
    <t>HOSP. SAN CAMILO POB. DE LA PROVINCIA</t>
  </si>
  <si>
    <t>HOSP. LOS ANDES  POB. DE LA PROVINCIA</t>
  </si>
  <si>
    <t>HOSP. LLAY LLAY  INCLUYE COMUNA DE CATEMU</t>
  </si>
  <si>
    <t>HOSP. PUTAENDO   COMUNA DE PUTAENDO</t>
  </si>
  <si>
    <t>HOSP. PSIQUIATRICO  POB. SERV. DE SALUD</t>
  </si>
  <si>
    <t>POBLACION FEMENINA  USUARIA  CERRADA  POR GRUPOS DE EDAD  DISTRIBUIDOS POR ESTABLECIMIENTOS</t>
  </si>
  <si>
    <t>55 - 64</t>
  </si>
  <si>
    <t>CECOF  LOS  ANDES</t>
  </si>
  <si>
    <t>CECOF  STA. MARIA</t>
  </si>
  <si>
    <t>25 - 34</t>
  </si>
  <si>
    <t>35 - 44</t>
  </si>
  <si>
    <t>45 - 54</t>
  </si>
  <si>
    <t>CESFAM LLAY LLAY</t>
  </si>
  <si>
    <t>CESFAM  RINCONADA</t>
  </si>
  <si>
    <t>CESFAM  SAN ESTEBAN</t>
  </si>
  <si>
    <t>CESFAM  CATEMU</t>
  </si>
  <si>
    <t>CESFAM  PUTAENDO</t>
  </si>
  <si>
    <t>CESFAM CALLE LARGA</t>
  </si>
  <si>
    <t>CESFAM SANTA MARIA</t>
  </si>
  <si>
    <t>CESFAM PANQUEHUE</t>
  </si>
  <si>
    <t>POSTA  CARIÑO BOTADO</t>
  </si>
  <si>
    <t>POSTA  CAMPOS AHUMADA</t>
  </si>
  <si>
    <t>POSTA  RIO COLORADO</t>
  </si>
  <si>
    <t>POSTA  RIO BLANCO</t>
  </si>
  <si>
    <t>POSTA  SAN VICENTE</t>
  </si>
  <si>
    <t>POSTA  PIGUCHEN</t>
  </si>
  <si>
    <t>POSTA  GUZMANES</t>
  </si>
  <si>
    <t>POSTA  LA  ORILLA</t>
  </si>
  <si>
    <t>POSTA  QDA.  HERRERA</t>
  </si>
  <si>
    <t>POSTA  STA. FILOMENA</t>
  </si>
  <si>
    <t>50 - 54</t>
  </si>
  <si>
    <t>- 28 dias</t>
  </si>
  <si>
    <t>12 - 17</t>
  </si>
  <si>
    <t>18 - 23</t>
  </si>
  <si>
    <t>25 - 44</t>
  </si>
  <si>
    <t>CESFAM CURIMON</t>
  </si>
  <si>
    <t>CECOF  SAN  FELIPE</t>
  </si>
  <si>
    <t>CECOF  LO  CALVO</t>
  </si>
  <si>
    <t>CECOF  CERRILLO</t>
  </si>
  <si>
    <t>20 - 24</t>
  </si>
  <si>
    <t>35 - 49</t>
  </si>
  <si>
    <t>CESFAM  SAN FELIPE  EL REAL</t>
  </si>
  <si>
    <t>CESFAM  SEGISMUNDO ITURRA</t>
  </si>
  <si>
    <t>CESFAM  CORDILLERA  ANDINA</t>
  </si>
  <si>
    <t>CESFAM  CENTENARIO</t>
  </si>
  <si>
    <t>CONFAM  CURIMON</t>
  </si>
  <si>
    <t>CECOF  LAS  COIMAS</t>
  </si>
  <si>
    <t xml:space="preserve">           SERVICIO DE SALUD ACONCAGUA  2020</t>
  </si>
  <si>
    <t>Nota: Proyección  Censo 2017</t>
  </si>
  <si>
    <t>50 - 69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</si>
</sst>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Pts&quot;#,##0;\-&quot;Pts&quot;#,##0"/>
    <numFmt numFmtId="171" formatCode="&quot;Pts&quot;#,##0;[Red]\-&quot;Pts&quot;#,##0"/>
    <numFmt numFmtId="172" formatCode="&quot;Pts&quot;#,##0.00;\-&quot;Pts&quot;#,##0.00"/>
    <numFmt numFmtId="173" formatCode="&quot;Pts&quot;#,##0.00;[Red]\-&quot;Pts&quot;#,##0.00"/>
    <numFmt numFmtId="174" formatCode="_-&quot;Pts&quot;* #,##0_-;\-&quot;Pts&quot;* #,##0_-;_-&quot;Pts&quot;* &quot;-&quot;_-;_-@_-"/>
    <numFmt numFmtId="175" formatCode="_-&quot;Pts&quot;* #,##0.00_-;\-&quot;Pts&quot;* #,##0.00_-;_-&quot;Pts&quot;* &quot;-&quot;??_-;_-@_-"/>
    <numFmt numFmtId="176" formatCode="#,##0\ &quot;Pts&quot;;\-#,##0\ &quot;Pts&quot;"/>
    <numFmt numFmtId="177" formatCode="#,##0\ &quot;Pts&quot;;[Red]\-#,##0\ &quot;Pts&quot;"/>
    <numFmt numFmtId="178" formatCode="#,##0.00\ &quot;Pts&quot;;\-#,##0.00\ &quot;Pts&quot;"/>
    <numFmt numFmtId="179" formatCode="#,##0.00\ &quot;Pts&quot;;[Red]\-#,##0.00\ &quot;Pts&quot;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_)"/>
    <numFmt numFmtId="185" formatCode="#,##0_);\(#,##0\)"/>
    <numFmt numFmtId="186" formatCode="#,##0.0_);\(#,##0.0\)"/>
    <numFmt numFmtId="187" formatCode="0.00000"/>
    <numFmt numFmtId="188" formatCode="0.0000"/>
    <numFmt numFmtId="189" formatCode="0.000"/>
    <numFmt numFmtId="190" formatCode="0.0"/>
    <numFmt numFmtId="191" formatCode="#,##0_)"/>
    <numFmt numFmtId="192" formatCode="#,##0.00_);\(#,##0.00\)"/>
    <numFmt numFmtId="193" formatCode="#,##0.000_);\(#,##0.000\)"/>
  </numFmts>
  <fonts count="42">
    <font>
      <sz val="12"/>
      <name val="Arial"/>
      <family val="0"/>
    </font>
    <font>
      <sz val="10"/>
      <name val="Arial"/>
      <family val="0"/>
    </font>
    <font>
      <sz val="10"/>
      <name val="Courier"/>
      <family val="3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1" fillId="30" borderId="5" applyBorder="0">
      <alignment/>
      <protection locked="0"/>
    </xf>
    <xf numFmtId="0" fontId="33" fillId="31" borderId="0" applyNumberFormat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4" fillId="32" borderId="0" applyNumberFormat="0" applyBorder="0" applyAlignment="0" applyProtection="0"/>
    <xf numFmtId="0" fontId="2" fillId="0" borderId="0">
      <alignment/>
      <protection/>
    </xf>
    <xf numFmtId="0" fontId="0" fillId="33" borderId="6" applyNumberFormat="0" applyFont="0" applyAlignment="0" applyProtection="0"/>
    <xf numFmtId="9" fontId="1" fillId="0" borderId="0" applyFont="0" applyFill="0" applyBorder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1" fillId="0" borderId="9" applyNumberFormat="0" applyFill="0" applyAlignment="0" applyProtection="0"/>
    <xf numFmtId="0" fontId="40" fillId="0" borderId="10" applyNumberFormat="0" applyFill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>
      <alignment vertical="center"/>
    </xf>
    <xf numFmtId="185" fontId="0" fillId="0" borderId="0" xfId="0" applyNumberFormat="1" applyAlignment="1">
      <alignment vertical="center"/>
    </xf>
    <xf numFmtId="185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85" fontId="3" fillId="0" borderId="11" xfId="0" applyNumberFormat="1" applyFont="1" applyBorder="1" applyAlignment="1" applyProtection="1">
      <alignment vertical="center"/>
      <protection/>
    </xf>
    <xf numFmtId="185" fontId="3" fillId="0" borderId="13" xfId="0" applyNumberFormat="1" applyFont="1" applyBorder="1" applyAlignment="1" applyProtection="1">
      <alignment vertical="center"/>
      <protection/>
    </xf>
    <xf numFmtId="185" fontId="3" fillId="0" borderId="14" xfId="0" applyNumberFormat="1" applyFont="1" applyBorder="1" applyAlignment="1" applyProtection="1">
      <alignment vertical="center"/>
      <protection/>
    </xf>
    <xf numFmtId="185" fontId="3" fillId="0" borderId="15" xfId="0" applyNumberFormat="1" applyFont="1" applyBorder="1" applyAlignment="1" applyProtection="1">
      <alignment vertical="center"/>
      <protection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85" fontId="3" fillId="0" borderId="16" xfId="0" applyNumberFormat="1" applyFont="1" applyBorder="1" applyAlignment="1" applyProtection="1">
      <alignment vertical="center"/>
      <protection/>
    </xf>
    <xf numFmtId="185" fontId="3" fillId="0" borderId="0" xfId="0" applyNumberFormat="1" applyFont="1" applyAlignment="1" applyProtection="1">
      <alignment vertical="center"/>
      <protection/>
    </xf>
    <xf numFmtId="185" fontId="3" fillId="0" borderId="18" xfId="0" applyNumberFormat="1" applyFont="1" applyBorder="1" applyAlignment="1" applyProtection="1">
      <alignment vertical="center"/>
      <protection/>
    </xf>
    <xf numFmtId="185" fontId="3" fillId="0" borderId="19" xfId="0" applyNumberFormat="1" applyFont="1" applyBorder="1" applyAlignment="1" applyProtection="1">
      <alignment vertical="center"/>
      <protection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85" fontId="3" fillId="0" borderId="20" xfId="0" applyNumberFormat="1" applyFont="1" applyBorder="1" applyAlignment="1" applyProtection="1">
      <alignment vertical="center"/>
      <protection/>
    </xf>
    <xf numFmtId="185" fontId="3" fillId="0" borderId="21" xfId="0" applyNumberFormat="1" applyFont="1" applyBorder="1" applyAlignment="1" applyProtection="1">
      <alignment vertical="center"/>
      <protection/>
    </xf>
    <xf numFmtId="185" fontId="3" fillId="0" borderId="22" xfId="0" applyNumberFormat="1" applyFont="1" applyBorder="1" applyAlignment="1" applyProtection="1">
      <alignment vertical="center"/>
      <protection/>
    </xf>
    <xf numFmtId="185" fontId="3" fillId="0" borderId="23" xfId="0" applyNumberFormat="1" applyFont="1" applyBorder="1" applyAlignment="1" applyProtection="1">
      <alignment vertical="center"/>
      <protection/>
    </xf>
    <xf numFmtId="0" fontId="3" fillId="0" borderId="17" xfId="0" applyFont="1" applyBorder="1" applyAlignment="1">
      <alignment horizontal="center" vertical="center"/>
    </xf>
    <xf numFmtId="185" fontId="3" fillId="0" borderId="11" xfId="0" applyNumberFormat="1" applyFont="1" applyBorder="1" applyAlignment="1" applyProtection="1">
      <alignment horizontal="center" vertical="center"/>
      <protection/>
    </xf>
    <xf numFmtId="185" fontId="3" fillId="0" borderId="13" xfId="0" applyNumberFormat="1" applyFont="1" applyBorder="1" applyAlignment="1" applyProtection="1">
      <alignment horizontal="center" vertical="center"/>
      <protection/>
    </xf>
    <xf numFmtId="185" fontId="3" fillId="0" borderId="14" xfId="0" applyNumberFormat="1" applyFont="1" applyBorder="1" applyAlignment="1" applyProtection="1">
      <alignment horizontal="center" vertical="center"/>
      <protection/>
    </xf>
    <xf numFmtId="185" fontId="3" fillId="0" borderId="15" xfId="0" applyNumberFormat="1" applyFont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85" fontId="3" fillId="0" borderId="16" xfId="0" applyNumberFormat="1" applyFont="1" applyBorder="1" applyAlignment="1" applyProtection="1">
      <alignment horizontal="center" vertical="center"/>
      <protection/>
    </xf>
    <xf numFmtId="185" fontId="3" fillId="0" borderId="0" xfId="0" applyNumberFormat="1" applyFont="1" applyAlignment="1" applyProtection="1">
      <alignment horizontal="center" vertical="center"/>
      <protection/>
    </xf>
    <xf numFmtId="185" fontId="3" fillId="0" borderId="18" xfId="0" applyNumberFormat="1" applyFont="1" applyBorder="1" applyAlignment="1" applyProtection="1">
      <alignment horizontal="center" vertical="center"/>
      <protection/>
    </xf>
    <xf numFmtId="0" fontId="3" fillId="0" borderId="24" xfId="0" applyFont="1" applyBorder="1" applyAlignment="1">
      <alignment vertical="center"/>
    </xf>
    <xf numFmtId="185" fontId="3" fillId="0" borderId="20" xfId="0" applyNumberFormat="1" applyFont="1" applyBorder="1" applyAlignment="1" applyProtection="1">
      <alignment horizontal="center" vertical="center"/>
      <protection/>
    </xf>
    <xf numFmtId="185" fontId="3" fillId="0" borderId="21" xfId="0" applyNumberFormat="1" applyFont="1" applyBorder="1" applyAlignment="1" applyProtection="1">
      <alignment horizontal="center" vertical="center"/>
      <protection/>
    </xf>
    <xf numFmtId="185" fontId="3" fillId="0" borderId="22" xfId="0" applyNumberFormat="1" applyFont="1" applyBorder="1" applyAlignment="1" applyProtection="1">
      <alignment horizontal="center" vertical="center"/>
      <protection/>
    </xf>
    <xf numFmtId="185" fontId="3" fillId="0" borderId="17" xfId="0" applyNumberFormat="1" applyFont="1" applyBorder="1" applyAlignment="1" applyProtection="1">
      <alignment vertical="center"/>
      <protection/>
    </xf>
    <xf numFmtId="185" fontId="3" fillId="0" borderId="24" xfId="0" applyNumberFormat="1" applyFont="1" applyBorder="1" applyAlignment="1" applyProtection="1">
      <alignment vertical="center"/>
      <protection/>
    </xf>
    <xf numFmtId="185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185" fontId="3" fillId="0" borderId="0" xfId="0" applyNumberFormat="1" applyFont="1" applyBorder="1" applyAlignment="1" applyProtection="1">
      <alignment horizontal="center" vertical="center"/>
      <protection/>
    </xf>
    <xf numFmtId="0" fontId="3" fillId="0" borderId="25" xfId="0" applyFont="1" applyBorder="1" applyAlignment="1">
      <alignment vertical="center"/>
    </xf>
    <xf numFmtId="185" fontId="3" fillId="0" borderId="26" xfId="0" applyNumberFormat="1" applyFont="1" applyBorder="1" applyAlignment="1" applyProtection="1">
      <alignment vertical="center"/>
      <protection/>
    </xf>
    <xf numFmtId="185" fontId="3" fillId="0" borderId="25" xfId="0" applyNumberFormat="1" applyFont="1" applyBorder="1" applyAlignment="1" applyProtection="1">
      <alignment vertical="center"/>
      <protection/>
    </xf>
    <xf numFmtId="185" fontId="3" fillId="0" borderId="27" xfId="0" applyNumberFormat="1" applyFont="1" applyBorder="1" applyAlignment="1" applyProtection="1">
      <alignment vertical="center"/>
      <protection/>
    </xf>
    <xf numFmtId="185" fontId="3" fillId="0" borderId="28" xfId="0" applyNumberFormat="1" applyFont="1" applyBorder="1" applyAlignment="1" applyProtection="1">
      <alignment vertical="center"/>
      <protection/>
    </xf>
    <xf numFmtId="0" fontId="3" fillId="0" borderId="29" xfId="0" applyFont="1" applyBorder="1" applyAlignment="1">
      <alignment vertical="center"/>
    </xf>
    <xf numFmtId="185" fontId="3" fillId="0" borderId="30" xfId="0" applyNumberFormat="1" applyFont="1" applyBorder="1" applyAlignment="1" applyProtection="1">
      <alignment vertical="center"/>
      <protection/>
    </xf>
    <xf numFmtId="185" fontId="3" fillId="0" borderId="29" xfId="0" applyNumberFormat="1" applyFont="1" applyBorder="1" applyAlignment="1" applyProtection="1">
      <alignment vertical="center"/>
      <protection/>
    </xf>
    <xf numFmtId="185" fontId="3" fillId="0" borderId="31" xfId="0" applyNumberFormat="1" applyFont="1" applyBorder="1" applyAlignment="1" applyProtection="1">
      <alignment vertical="center"/>
      <protection/>
    </xf>
    <xf numFmtId="185" fontId="3" fillId="0" borderId="32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85" fontId="3" fillId="0" borderId="0" xfId="0" applyNumberFormat="1" applyFont="1" applyBorder="1" applyAlignment="1" applyProtection="1">
      <alignment vertical="center"/>
      <protection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185" fontId="0" fillId="0" borderId="33" xfId="0" applyNumberFormat="1" applyBorder="1" applyAlignment="1" applyProtection="1">
      <alignment vertical="center"/>
      <protection/>
    </xf>
    <xf numFmtId="185" fontId="0" fillId="0" borderId="35" xfId="0" applyNumberFormat="1" applyBorder="1" applyAlignment="1" applyProtection="1">
      <alignment vertical="center"/>
      <protection/>
    </xf>
    <xf numFmtId="185" fontId="0" fillId="0" borderId="36" xfId="0" applyNumberFormat="1" applyBorder="1" applyAlignment="1" applyProtection="1">
      <alignment vertical="center"/>
      <protection/>
    </xf>
    <xf numFmtId="0" fontId="0" fillId="0" borderId="37" xfId="0" applyBorder="1" applyAlignment="1">
      <alignment vertical="center"/>
    </xf>
    <xf numFmtId="185" fontId="0" fillId="0" borderId="38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9" xfId="0" applyBorder="1" applyAlignment="1">
      <alignment vertical="center"/>
    </xf>
    <xf numFmtId="185" fontId="0" fillId="0" borderId="37" xfId="0" applyNumberFormat="1" applyBorder="1" applyAlignment="1" applyProtection="1">
      <alignment vertical="center"/>
      <protection/>
    </xf>
    <xf numFmtId="185" fontId="0" fillId="0" borderId="0" xfId="0" applyNumberFormat="1" applyBorder="1" applyAlignment="1" applyProtection="1">
      <alignment vertical="center"/>
      <protection/>
    </xf>
    <xf numFmtId="185" fontId="0" fillId="0" borderId="39" xfId="0" applyNumberFormat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40" xfId="0" applyBorder="1" applyAlignment="1">
      <alignment horizontal="fill" vertical="center"/>
    </xf>
    <xf numFmtId="0" fontId="0" fillId="0" borderId="41" xfId="0" applyBorder="1" applyAlignment="1">
      <alignment horizontal="fill" vertical="center"/>
    </xf>
    <xf numFmtId="0" fontId="0" fillId="0" borderId="42" xfId="0" applyBorder="1" applyAlignment="1">
      <alignment horizontal="fill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85" fontId="0" fillId="0" borderId="37" xfId="0" applyNumberFormat="1" applyBorder="1" applyAlignment="1">
      <alignment vertical="center"/>
    </xf>
    <xf numFmtId="185" fontId="0" fillId="0" borderId="0" xfId="0" applyNumberFormat="1" applyBorder="1" applyAlignment="1">
      <alignment vertical="center"/>
    </xf>
    <xf numFmtId="0" fontId="0" fillId="0" borderId="0" xfId="0" applyBorder="1" applyAlignment="1" quotePrefix="1">
      <alignment horizontal="center" vertical="center"/>
    </xf>
    <xf numFmtId="185" fontId="0" fillId="0" borderId="37" xfId="0" applyNumberFormat="1" applyBorder="1" applyAlignment="1" applyProtection="1">
      <alignment horizontal="center" vertical="center"/>
      <protection/>
    </xf>
    <xf numFmtId="185" fontId="0" fillId="0" borderId="0" xfId="0" applyNumberFormat="1" applyBorder="1" applyAlignment="1" applyProtection="1">
      <alignment horizontal="center" vertical="center"/>
      <protection/>
    </xf>
    <xf numFmtId="185" fontId="0" fillId="0" borderId="39" xfId="0" applyNumberFormat="1" applyBorder="1" applyAlignment="1" applyProtection="1">
      <alignment horizontal="center" vertical="center"/>
      <protection/>
    </xf>
    <xf numFmtId="185" fontId="3" fillId="34" borderId="38" xfId="0" applyNumberFormat="1" applyFont="1" applyFill="1" applyBorder="1" applyAlignment="1" applyProtection="1">
      <alignment vertical="center"/>
      <protection/>
    </xf>
    <xf numFmtId="185" fontId="3" fillId="34" borderId="37" xfId="0" applyNumberFormat="1" applyFont="1" applyFill="1" applyBorder="1" applyAlignment="1" applyProtection="1">
      <alignment vertical="center"/>
      <protection/>
    </xf>
    <xf numFmtId="185" fontId="0" fillId="0" borderId="38" xfId="0" applyNumberFormat="1" applyBorder="1" applyAlignment="1" applyProtection="1">
      <alignment vertical="center"/>
      <protection/>
    </xf>
    <xf numFmtId="0" fontId="0" fillId="34" borderId="37" xfId="0" applyFill="1" applyBorder="1" applyAlignment="1">
      <alignment vertical="center"/>
    </xf>
    <xf numFmtId="185" fontId="0" fillId="34" borderId="38" xfId="0" applyNumberFormat="1" applyFill="1" applyBorder="1" applyAlignment="1" applyProtection="1">
      <alignment vertical="center"/>
      <protection/>
    </xf>
    <xf numFmtId="185" fontId="0" fillId="34" borderId="37" xfId="0" applyNumberFormat="1" applyFill="1" applyBorder="1" applyAlignment="1" applyProtection="1">
      <alignment vertical="center"/>
      <protection/>
    </xf>
    <xf numFmtId="185" fontId="0" fillId="34" borderId="0" xfId="0" applyNumberFormat="1" applyFill="1" applyBorder="1" applyAlignment="1" applyProtection="1">
      <alignment vertical="center"/>
      <protection/>
    </xf>
    <xf numFmtId="185" fontId="0" fillId="34" borderId="39" xfId="0" applyNumberFormat="1" applyFill="1" applyBorder="1" applyAlignment="1" applyProtection="1">
      <alignment vertical="center"/>
      <protection/>
    </xf>
    <xf numFmtId="0" fontId="0" fillId="34" borderId="0" xfId="0" applyFill="1" applyAlignment="1">
      <alignment vertical="center"/>
    </xf>
    <xf numFmtId="0" fontId="3" fillId="34" borderId="37" xfId="0" applyFont="1" applyFill="1" applyBorder="1" applyAlignment="1">
      <alignment vertical="center"/>
    </xf>
    <xf numFmtId="0" fontId="3" fillId="34" borderId="0" xfId="0" applyFont="1" applyFill="1" applyAlignment="1">
      <alignment vertical="center"/>
    </xf>
    <xf numFmtId="185" fontId="3" fillId="0" borderId="38" xfId="0" applyNumberFormat="1" applyFont="1" applyBorder="1" applyAlignment="1" applyProtection="1">
      <alignment vertical="center"/>
      <protection/>
    </xf>
    <xf numFmtId="185" fontId="3" fillId="0" borderId="37" xfId="0" applyNumberFormat="1" applyFont="1" applyBorder="1" applyAlignment="1" applyProtection="1">
      <alignment vertical="center"/>
      <protection/>
    </xf>
    <xf numFmtId="185" fontId="3" fillId="0" borderId="0" xfId="0" applyNumberFormat="1" applyFont="1" applyBorder="1" applyAlignment="1" applyProtection="1">
      <alignment vertical="center"/>
      <protection/>
    </xf>
    <xf numFmtId="185" fontId="3" fillId="0" borderId="39" xfId="0" applyNumberFormat="1" applyFont="1" applyBorder="1" applyAlignment="1" applyProtection="1">
      <alignment vertical="center"/>
      <protection/>
    </xf>
    <xf numFmtId="0" fontId="3" fillId="0" borderId="37" xfId="0" applyFont="1" applyBorder="1" applyAlignment="1">
      <alignment vertical="center"/>
    </xf>
    <xf numFmtId="185" fontId="3" fillId="0" borderId="38" xfId="0" applyNumberFormat="1" applyFont="1" applyBorder="1" applyAlignment="1" applyProtection="1">
      <alignment vertical="center"/>
      <protection/>
    </xf>
    <xf numFmtId="185" fontId="3" fillId="0" borderId="37" xfId="0" applyNumberFormat="1" applyFont="1" applyBorder="1" applyAlignment="1" applyProtection="1">
      <alignment vertical="center"/>
      <protection/>
    </xf>
    <xf numFmtId="185" fontId="3" fillId="0" borderId="39" xfId="0" applyNumberFormat="1" applyFont="1" applyBorder="1" applyAlignment="1" applyProtection="1">
      <alignment vertical="center"/>
      <protection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185" fontId="3" fillId="0" borderId="0" xfId="0" applyNumberFormat="1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9" xfId="0" applyFont="1" applyBorder="1" applyAlignment="1">
      <alignment vertical="center"/>
    </xf>
    <xf numFmtId="185" fontId="3" fillId="0" borderId="49" xfId="0" applyNumberFormat="1" applyFont="1" applyBorder="1" applyAlignment="1" applyProtection="1">
      <alignment vertical="center"/>
      <protection/>
    </xf>
    <xf numFmtId="1" fontId="3" fillId="0" borderId="0" xfId="0" applyNumberFormat="1" applyFont="1" applyAlignment="1">
      <alignment vertical="center"/>
    </xf>
    <xf numFmtId="185" fontId="3" fillId="0" borderId="51" xfId="0" applyNumberFormat="1" applyFont="1" applyBorder="1" applyAlignment="1">
      <alignment vertical="center"/>
    </xf>
    <xf numFmtId="185" fontId="3" fillId="0" borderId="49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93" fontId="3" fillId="0" borderId="0" xfId="0" applyNumberFormat="1" applyFont="1" applyAlignment="1">
      <alignment vertical="center"/>
    </xf>
    <xf numFmtId="0" fontId="3" fillId="0" borderId="23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 quotePrefix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85" fontId="0" fillId="0" borderId="25" xfId="0" applyNumberFormat="1" applyBorder="1" applyAlignment="1" applyProtection="1">
      <alignment horizontal="center" vertical="center"/>
      <protection/>
    </xf>
    <xf numFmtId="185" fontId="0" fillId="0" borderId="27" xfId="0" applyNumberFormat="1" applyBorder="1" applyAlignment="1" applyProtection="1">
      <alignment horizontal="center" vertical="center"/>
      <protection/>
    </xf>
    <xf numFmtId="185" fontId="0" fillId="0" borderId="28" xfId="0" applyNumberFormat="1" applyBorder="1" applyAlignment="1" applyProtection="1">
      <alignment horizontal="center" vertical="center"/>
      <protection/>
    </xf>
    <xf numFmtId="185" fontId="3" fillId="34" borderId="34" xfId="0" applyNumberFormat="1" applyFont="1" applyFill="1" applyBorder="1" applyAlignment="1" applyProtection="1">
      <alignment vertical="center"/>
      <protection/>
    </xf>
    <xf numFmtId="185" fontId="3" fillId="34" borderId="33" xfId="0" applyNumberFormat="1" applyFont="1" applyFill="1" applyBorder="1" applyAlignment="1" applyProtection="1">
      <alignment vertical="center"/>
      <protection/>
    </xf>
    <xf numFmtId="185" fontId="3" fillId="0" borderId="35" xfId="0" applyNumberFormat="1" applyFont="1" applyBorder="1" applyAlignment="1" applyProtection="1">
      <alignment vertical="center"/>
      <protection/>
    </xf>
    <xf numFmtId="185" fontId="3" fillId="34" borderId="35" xfId="0" applyNumberFormat="1" applyFont="1" applyFill="1" applyBorder="1" applyAlignment="1" applyProtection="1">
      <alignment vertical="center"/>
      <protection/>
    </xf>
    <xf numFmtId="185" fontId="3" fillId="34" borderId="36" xfId="0" applyNumberFormat="1" applyFont="1" applyFill="1" applyBorder="1" applyAlignment="1" applyProtection="1">
      <alignment vertical="center"/>
      <protection/>
    </xf>
    <xf numFmtId="0" fontId="3" fillId="0" borderId="52" xfId="0" applyFont="1" applyBorder="1" applyAlignment="1">
      <alignment vertical="center"/>
    </xf>
    <xf numFmtId="185" fontId="0" fillId="34" borderId="25" xfId="0" applyNumberFormat="1" applyFill="1" applyBorder="1" applyAlignment="1" applyProtection="1">
      <alignment vertical="center"/>
      <protection/>
    </xf>
    <xf numFmtId="0" fontId="3" fillId="0" borderId="53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5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9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185" fontId="3" fillId="0" borderId="58" xfId="0" applyNumberFormat="1" applyFont="1" applyBorder="1" applyAlignment="1" applyProtection="1">
      <alignment vertical="center"/>
      <protection/>
    </xf>
    <xf numFmtId="185" fontId="3" fillId="0" borderId="61" xfId="0" applyNumberFormat="1" applyFont="1" applyBorder="1" applyAlignment="1" applyProtection="1">
      <alignment vertical="center"/>
      <protection/>
    </xf>
    <xf numFmtId="185" fontId="3" fillId="0" borderId="62" xfId="0" applyNumberFormat="1" applyFont="1" applyBorder="1" applyAlignment="1" applyProtection="1">
      <alignment vertical="center"/>
      <protection/>
    </xf>
    <xf numFmtId="185" fontId="3" fillId="0" borderId="63" xfId="0" applyNumberFormat="1" applyFont="1" applyBorder="1" applyAlignment="1" applyProtection="1">
      <alignment vertical="center"/>
      <protection/>
    </xf>
    <xf numFmtId="185" fontId="3" fillId="0" borderId="64" xfId="0" applyNumberFormat="1" applyFont="1" applyBorder="1" applyAlignment="1" applyProtection="1">
      <alignment vertical="center"/>
      <protection/>
    </xf>
    <xf numFmtId="185" fontId="3" fillId="0" borderId="65" xfId="0" applyNumberFormat="1" applyFont="1" applyBorder="1" applyAlignment="1" applyProtection="1">
      <alignment vertical="center"/>
      <protection/>
    </xf>
    <xf numFmtId="0" fontId="3" fillId="0" borderId="36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63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3" fillId="0" borderId="6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27" xfId="0" applyFont="1" applyBorder="1" applyAlignment="1">
      <alignment horizontal="fill" vertical="center"/>
    </xf>
    <xf numFmtId="0" fontId="3" fillId="0" borderId="67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37" xfId="0" applyFont="1" applyBorder="1" applyAlignment="1">
      <alignment vertical="center"/>
    </xf>
    <xf numFmtId="0" fontId="41" fillId="0" borderId="19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185" fontId="41" fillId="0" borderId="19" xfId="0" applyNumberFormat="1" applyFont="1" applyBorder="1" applyAlignment="1" applyProtection="1">
      <alignment vertical="center"/>
      <protection/>
    </xf>
    <xf numFmtId="1" fontId="41" fillId="0" borderId="0" xfId="0" applyNumberFormat="1" applyFont="1" applyAlignment="1">
      <alignment vertical="center"/>
    </xf>
    <xf numFmtId="0" fontId="3" fillId="0" borderId="52" xfId="0" applyFont="1" applyBorder="1" applyAlignment="1">
      <alignment vertical="center"/>
    </xf>
    <xf numFmtId="185" fontId="0" fillId="0" borderId="0" xfId="0" applyNumberFormat="1" applyFont="1" applyBorder="1" applyAlignment="1" applyProtection="1">
      <alignment vertical="center"/>
      <protection/>
    </xf>
    <xf numFmtId="185" fontId="0" fillId="0" borderId="37" xfId="0" applyNumberFormat="1" applyFont="1" applyBorder="1" applyAlignment="1" applyProtection="1">
      <alignment vertical="center"/>
      <protection/>
    </xf>
    <xf numFmtId="185" fontId="0" fillId="34" borderId="37" xfId="0" applyNumberFormat="1" applyFont="1" applyFill="1" applyBorder="1" applyAlignment="1" applyProtection="1">
      <alignment vertical="center"/>
      <protection/>
    </xf>
    <xf numFmtId="185" fontId="0" fillId="0" borderId="39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>
      <alignment horizontal="center" vertical="center"/>
    </xf>
    <xf numFmtId="185" fontId="0" fillId="0" borderId="0" xfId="0" applyNumberFormat="1" applyFont="1" applyAlignment="1" applyProtection="1">
      <alignment vertical="center"/>
      <protection/>
    </xf>
    <xf numFmtId="185" fontId="0" fillId="0" borderId="17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5" fontId="3" fillId="0" borderId="0" xfId="0" applyNumberFormat="1" applyFont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cribir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-definido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242"/>
  <sheetViews>
    <sheetView tabSelected="1" defaultGridColor="0" zoomScale="75" zoomScaleNormal="75" zoomScalePageLayoutView="0" colorId="22" workbookViewId="0" topLeftCell="A63">
      <selection activeCell="E62" sqref="E62:I62"/>
    </sheetView>
  </sheetViews>
  <sheetFormatPr defaultColWidth="9.77734375" defaultRowHeight="15"/>
  <cols>
    <col min="1" max="1" width="27.77734375" style="1" customWidth="1"/>
    <col min="2" max="2" width="10.77734375" style="1" bestFit="1" customWidth="1"/>
    <col min="3" max="7" width="9.77734375" style="1" customWidth="1"/>
    <col min="8" max="8" width="10.77734375" style="1" customWidth="1"/>
    <col min="9" max="9" width="9.77734375" style="1" customWidth="1"/>
    <col min="10" max="19" width="10.21484375" style="1" customWidth="1"/>
    <col min="20" max="16384" width="9.77734375" style="1" customWidth="1"/>
  </cols>
  <sheetData>
    <row r="1" ht="15">
      <c r="E1" s="1" t="s">
        <v>0</v>
      </c>
    </row>
    <row r="3" ht="15">
      <c r="G3" s="1" t="s">
        <v>90</v>
      </c>
    </row>
    <row r="5" ht="15.75" thickBot="1"/>
    <row r="6" spans="1:19" ht="15">
      <c r="A6" s="62"/>
      <c r="B6" s="63"/>
      <c r="C6" s="62"/>
      <c r="D6" s="64"/>
      <c r="E6" s="64"/>
      <c r="F6" s="64"/>
      <c r="G6" s="64"/>
      <c r="H6" s="64"/>
      <c r="I6" s="65"/>
      <c r="J6" s="66"/>
      <c r="K6" s="67"/>
      <c r="L6" s="68"/>
      <c r="M6" s="62"/>
      <c r="N6" s="64"/>
      <c r="O6" s="64"/>
      <c r="P6" s="64"/>
      <c r="Q6" s="64"/>
      <c r="R6" s="64"/>
      <c r="S6" s="65"/>
    </row>
    <row r="7" spans="1:19" ht="15">
      <c r="A7" s="69"/>
      <c r="B7" s="70"/>
      <c r="C7" s="69"/>
      <c r="D7" s="71"/>
      <c r="E7" s="71" t="s">
        <v>2</v>
      </c>
      <c r="F7" s="71"/>
      <c r="G7" s="71"/>
      <c r="H7" s="71"/>
      <c r="I7" s="72"/>
      <c r="J7" s="73" t="s">
        <v>3</v>
      </c>
      <c r="K7" s="74"/>
      <c r="L7" s="75"/>
      <c r="M7" s="69"/>
      <c r="N7" s="202" t="s">
        <v>4</v>
      </c>
      <c r="O7" s="202"/>
      <c r="P7" s="202"/>
      <c r="Q7" s="202"/>
      <c r="R7" s="202"/>
      <c r="S7" s="203"/>
    </row>
    <row r="8" spans="1:19" ht="15.75" thickBot="1">
      <c r="A8" s="69"/>
      <c r="B8" s="78"/>
      <c r="C8" s="79" t="s">
        <v>1</v>
      </c>
      <c r="D8" s="80"/>
      <c r="E8" s="80" t="s">
        <v>1</v>
      </c>
      <c r="F8" s="80"/>
      <c r="G8" s="80" t="s">
        <v>1</v>
      </c>
      <c r="H8" s="80" t="s">
        <v>1</v>
      </c>
      <c r="I8" s="81" t="s">
        <v>1</v>
      </c>
      <c r="J8" s="79" t="s">
        <v>1</v>
      </c>
      <c r="K8" s="80" t="s">
        <v>1</v>
      </c>
      <c r="L8" s="81" t="s">
        <v>1</v>
      </c>
      <c r="M8" s="79" t="s">
        <v>1</v>
      </c>
      <c r="N8" s="80" t="s">
        <v>1</v>
      </c>
      <c r="O8" s="80"/>
      <c r="P8" s="80"/>
      <c r="Q8" s="80" t="s">
        <v>1</v>
      </c>
      <c r="R8" s="80"/>
      <c r="S8" s="81" t="s">
        <v>1</v>
      </c>
    </row>
    <row r="9" spans="1:19" ht="15.75" thickTop="1">
      <c r="A9" s="69"/>
      <c r="B9" s="82" t="s">
        <v>5</v>
      </c>
      <c r="C9" s="69"/>
      <c r="D9" s="71"/>
      <c r="E9" s="71"/>
      <c r="F9" s="71"/>
      <c r="G9" s="71"/>
      <c r="H9" s="71"/>
      <c r="I9" s="72"/>
      <c r="J9" s="73"/>
      <c r="K9" s="74"/>
      <c r="L9" s="75"/>
      <c r="M9" s="83"/>
      <c r="N9" s="76"/>
      <c r="O9" s="76"/>
      <c r="P9" s="76"/>
      <c r="Q9" s="76"/>
      <c r="R9" s="76"/>
      <c r="S9" s="77"/>
    </row>
    <row r="10" spans="1:19" ht="15">
      <c r="A10" s="83" t="s">
        <v>6</v>
      </c>
      <c r="B10" s="78"/>
      <c r="C10" s="84"/>
      <c r="D10" s="85"/>
      <c r="E10" s="71"/>
      <c r="F10" s="86" t="s">
        <v>75</v>
      </c>
      <c r="G10" s="86" t="s">
        <v>76</v>
      </c>
      <c r="H10" s="76" t="s">
        <v>7</v>
      </c>
      <c r="I10" s="77" t="s">
        <v>8</v>
      </c>
      <c r="J10" s="87"/>
      <c r="K10" s="88" t="s">
        <v>9</v>
      </c>
      <c r="L10" s="89" t="s">
        <v>10</v>
      </c>
      <c r="M10" s="83"/>
      <c r="N10" s="76" t="s">
        <v>11</v>
      </c>
      <c r="O10" s="76" t="s">
        <v>77</v>
      </c>
      <c r="P10" s="76" t="s">
        <v>54</v>
      </c>
      <c r="Q10" s="76" t="s">
        <v>49</v>
      </c>
      <c r="R10" s="76" t="s">
        <v>34</v>
      </c>
      <c r="S10" s="77" t="s">
        <v>35</v>
      </c>
    </row>
    <row r="11" spans="1:19" ht="15.75" thickBot="1">
      <c r="A11" s="133"/>
      <c r="B11" s="134" t="s">
        <v>12</v>
      </c>
      <c r="C11" s="135" t="s">
        <v>13</v>
      </c>
      <c r="D11" s="136" t="s">
        <v>74</v>
      </c>
      <c r="E11" s="137" t="s">
        <v>14</v>
      </c>
      <c r="F11" s="137" t="s">
        <v>15</v>
      </c>
      <c r="G11" s="137" t="s">
        <v>15</v>
      </c>
      <c r="H11" s="137" t="s">
        <v>16</v>
      </c>
      <c r="I11" s="138" t="s">
        <v>16</v>
      </c>
      <c r="J11" s="139" t="s">
        <v>13</v>
      </c>
      <c r="K11" s="140" t="s">
        <v>16</v>
      </c>
      <c r="L11" s="141" t="s">
        <v>16</v>
      </c>
      <c r="M11" s="135" t="s">
        <v>13</v>
      </c>
      <c r="N11" s="137" t="s">
        <v>16</v>
      </c>
      <c r="O11" s="137" t="s">
        <v>16</v>
      </c>
      <c r="P11" s="137" t="s">
        <v>16</v>
      </c>
      <c r="Q11" s="137" t="s">
        <v>16</v>
      </c>
      <c r="R11" s="137" t="s">
        <v>16</v>
      </c>
      <c r="S11" s="138" t="s">
        <v>16</v>
      </c>
    </row>
    <row r="12" spans="1:19" ht="15">
      <c r="A12" s="62"/>
      <c r="B12" s="142"/>
      <c r="C12" s="143"/>
      <c r="D12" s="144"/>
      <c r="E12" s="145"/>
      <c r="F12" s="144"/>
      <c r="G12" s="145"/>
      <c r="H12" s="145"/>
      <c r="I12" s="146"/>
      <c r="J12" s="143"/>
      <c r="K12" s="145"/>
      <c r="L12" s="146"/>
      <c r="M12" s="143"/>
      <c r="N12" s="145"/>
      <c r="O12" s="145"/>
      <c r="P12" s="145"/>
      <c r="Q12" s="145"/>
      <c r="R12" s="145"/>
      <c r="S12" s="146"/>
    </row>
    <row r="13" spans="1:19" ht="16.5" customHeight="1">
      <c r="A13" s="69" t="s">
        <v>17</v>
      </c>
      <c r="B13" s="92">
        <f aca="true" t="shared" si="0" ref="B13:S13">SUM(B14:B44)</f>
        <v>283366</v>
      </c>
      <c r="C13" s="73">
        <f t="shared" si="0"/>
        <v>38378</v>
      </c>
      <c r="D13" s="73">
        <f t="shared" si="0"/>
        <v>3498</v>
      </c>
      <c r="E13" s="74">
        <f t="shared" si="0"/>
        <v>3500</v>
      </c>
      <c r="F13" s="74">
        <f t="shared" si="0"/>
        <v>1760</v>
      </c>
      <c r="G13" s="74">
        <f t="shared" si="0"/>
        <v>1738</v>
      </c>
      <c r="H13" s="74">
        <f t="shared" si="0"/>
        <v>15300</v>
      </c>
      <c r="I13" s="75">
        <f t="shared" si="0"/>
        <v>16080</v>
      </c>
      <c r="J13" s="73">
        <f t="shared" si="0"/>
        <v>37486</v>
      </c>
      <c r="K13" s="74">
        <f t="shared" si="0"/>
        <v>19497</v>
      </c>
      <c r="L13" s="75">
        <f t="shared" si="0"/>
        <v>17989</v>
      </c>
      <c r="M13" s="73">
        <f t="shared" si="0"/>
        <v>207502</v>
      </c>
      <c r="N13" s="74">
        <f t="shared" si="0"/>
        <v>102195</v>
      </c>
      <c r="O13" s="74">
        <f t="shared" si="0"/>
        <v>83720</v>
      </c>
      <c r="P13" s="74">
        <f t="shared" si="0"/>
        <v>36079</v>
      </c>
      <c r="Q13" s="74">
        <f t="shared" si="0"/>
        <v>32170</v>
      </c>
      <c r="R13" s="74">
        <f t="shared" si="0"/>
        <v>12569</v>
      </c>
      <c r="S13" s="75">
        <f t="shared" si="0"/>
        <v>24489</v>
      </c>
    </row>
    <row r="14" spans="1:256" s="98" customFormat="1" ht="14.25" customHeight="1">
      <c r="A14" s="93" t="s">
        <v>55</v>
      </c>
      <c r="B14" s="94">
        <f aca="true" t="shared" si="1" ref="B14:B42">SUM(C14,J14,M14)</f>
        <v>26533</v>
      </c>
      <c r="C14" s="95">
        <f aca="true" t="shared" si="2" ref="C14:C42">SUM(E14:I14)</f>
        <v>3657</v>
      </c>
      <c r="D14" s="61">
        <v>320</v>
      </c>
      <c r="E14" s="96">
        <v>333</v>
      </c>
      <c r="F14" s="61">
        <v>162</v>
      </c>
      <c r="G14" s="96">
        <v>158</v>
      </c>
      <c r="H14" s="96">
        <v>1537</v>
      </c>
      <c r="I14" s="97">
        <v>1467</v>
      </c>
      <c r="J14" s="95">
        <f aca="true" t="shared" si="3" ref="J14:J42">SUM(K14:L14)</f>
        <v>3417</v>
      </c>
      <c r="K14" s="96">
        <v>1795</v>
      </c>
      <c r="L14" s="97">
        <v>1622</v>
      </c>
      <c r="M14" s="95">
        <f>+N14+P14+Q14+R14+S14</f>
        <v>19459</v>
      </c>
      <c r="N14" s="96">
        <v>9409</v>
      </c>
      <c r="O14" s="96">
        <v>7666</v>
      </c>
      <c r="P14" s="96">
        <v>3436</v>
      </c>
      <c r="Q14" s="96">
        <v>3087</v>
      </c>
      <c r="R14" s="96">
        <v>1201</v>
      </c>
      <c r="S14" s="97">
        <v>2326</v>
      </c>
      <c r="T14" s="2"/>
      <c r="U14" s="2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98" customFormat="1" ht="14.25" customHeight="1">
      <c r="A15" s="93" t="s">
        <v>84</v>
      </c>
      <c r="B15" s="90">
        <f t="shared" si="1"/>
        <v>34886</v>
      </c>
      <c r="C15" s="95">
        <f t="shared" si="2"/>
        <v>4737</v>
      </c>
      <c r="D15" s="61">
        <v>442</v>
      </c>
      <c r="E15" s="61">
        <v>440</v>
      </c>
      <c r="F15" s="61">
        <v>220</v>
      </c>
      <c r="G15" s="61">
        <v>218</v>
      </c>
      <c r="H15" s="61">
        <v>1847</v>
      </c>
      <c r="I15" s="61">
        <v>2012</v>
      </c>
      <c r="J15" s="95">
        <f t="shared" si="3"/>
        <v>4577</v>
      </c>
      <c r="K15" s="61">
        <v>2397</v>
      </c>
      <c r="L15" s="61">
        <v>2180</v>
      </c>
      <c r="M15" s="95">
        <f aca="true" t="shared" si="4" ref="M15:M44">+N15+P15+Q15+R15+S15</f>
        <v>25572</v>
      </c>
      <c r="N15" s="61">
        <v>13018</v>
      </c>
      <c r="O15" s="61">
        <v>10716</v>
      </c>
      <c r="P15" s="61">
        <v>4308</v>
      </c>
      <c r="Q15" s="61">
        <v>3898</v>
      </c>
      <c r="R15" s="61">
        <v>1466</v>
      </c>
      <c r="S15" s="108">
        <v>2882</v>
      </c>
      <c r="T15" s="2"/>
      <c r="U15" s="2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98" customFormat="1" ht="17.25" customHeight="1">
      <c r="A16" s="93" t="s">
        <v>85</v>
      </c>
      <c r="B16" s="90">
        <f t="shared" si="1"/>
        <v>37156</v>
      </c>
      <c r="C16" s="95">
        <f t="shared" si="2"/>
        <v>4970</v>
      </c>
      <c r="D16" s="61">
        <v>465</v>
      </c>
      <c r="E16" s="61">
        <v>460</v>
      </c>
      <c r="F16" s="61">
        <v>234</v>
      </c>
      <c r="G16" s="61">
        <v>226</v>
      </c>
      <c r="H16" s="61">
        <v>1958</v>
      </c>
      <c r="I16" s="61">
        <v>2092</v>
      </c>
      <c r="J16" s="95">
        <f t="shared" si="3"/>
        <v>5097</v>
      </c>
      <c r="K16" s="61">
        <v>2652</v>
      </c>
      <c r="L16" s="61">
        <v>2445</v>
      </c>
      <c r="M16" s="95">
        <f t="shared" si="4"/>
        <v>27089</v>
      </c>
      <c r="N16" s="61">
        <v>13724</v>
      </c>
      <c r="O16" s="61">
        <v>11220</v>
      </c>
      <c r="P16" s="61">
        <v>4601</v>
      </c>
      <c r="Q16" s="61">
        <v>4124</v>
      </c>
      <c r="R16" s="61">
        <v>1564</v>
      </c>
      <c r="S16" s="108">
        <v>3076</v>
      </c>
      <c r="T16" s="2"/>
      <c r="U16" s="2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100" customFormat="1" ht="17.25" customHeight="1">
      <c r="A17" s="99" t="s">
        <v>86</v>
      </c>
      <c r="B17" s="90">
        <f t="shared" si="1"/>
        <v>32948</v>
      </c>
      <c r="C17" s="91">
        <f t="shared" si="2"/>
        <v>4157</v>
      </c>
      <c r="D17" s="61">
        <v>386</v>
      </c>
      <c r="E17" s="61">
        <v>386</v>
      </c>
      <c r="F17" s="61">
        <v>192</v>
      </c>
      <c r="G17" s="61">
        <v>191</v>
      </c>
      <c r="H17" s="61">
        <v>1653</v>
      </c>
      <c r="I17" s="61">
        <v>1735</v>
      </c>
      <c r="J17" s="91">
        <f t="shared" si="3"/>
        <v>4345</v>
      </c>
      <c r="K17" s="61">
        <v>2211</v>
      </c>
      <c r="L17" s="61">
        <v>2134</v>
      </c>
      <c r="M17" s="95">
        <f t="shared" si="4"/>
        <v>24446</v>
      </c>
      <c r="N17" s="61">
        <v>12086</v>
      </c>
      <c r="O17" s="61">
        <v>10020</v>
      </c>
      <c r="P17" s="61">
        <v>4182</v>
      </c>
      <c r="Q17" s="61">
        <v>3743</v>
      </c>
      <c r="R17" s="61">
        <v>1491</v>
      </c>
      <c r="S17" s="108">
        <v>2944</v>
      </c>
      <c r="T17" s="2"/>
      <c r="U17" s="2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100" customFormat="1" ht="17.25" customHeight="1">
      <c r="A18" s="99" t="s">
        <v>87</v>
      </c>
      <c r="B18" s="90">
        <f t="shared" si="1"/>
        <v>25631</v>
      </c>
      <c r="C18" s="91">
        <f t="shared" si="2"/>
        <v>3195</v>
      </c>
      <c r="D18" s="61">
        <v>294</v>
      </c>
      <c r="E18" s="61">
        <v>294</v>
      </c>
      <c r="F18" s="61">
        <v>145</v>
      </c>
      <c r="G18" s="61">
        <v>144</v>
      </c>
      <c r="H18" s="61">
        <v>1256</v>
      </c>
      <c r="I18" s="61">
        <v>1356</v>
      </c>
      <c r="J18" s="91">
        <f t="shared" si="3"/>
        <v>3347</v>
      </c>
      <c r="K18" s="61">
        <v>1732</v>
      </c>
      <c r="L18" s="61">
        <v>1615</v>
      </c>
      <c r="M18" s="95">
        <f t="shared" si="4"/>
        <v>19089</v>
      </c>
      <c r="N18" s="61">
        <v>9220</v>
      </c>
      <c r="O18" s="61">
        <v>7630</v>
      </c>
      <c r="P18" s="61">
        <v>3200</v>
      </c>
      <c r="Q18" s="61">
        <v>3068</v>
      </c>
      <c r="R18" s="61">
        <v>1242</v>
      </c>
      <c r="S18" s="108">
        <v>2359</v>
      </c>
      <c r="T18" s="2"/>
      <c r="U18" s="2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1" ht="17.25" customHeight="1">
      <c r="A19" s="69" t="s">
        <v>56</v>
      </c>
      <c r="B19" s="101">
        <f t="shared" si="1"/>
        <v>11263</v>
      </c>
      <c r="C19" s="102">
        <f t="shared" si="2"/>
        <v>1703</v>
      </c>
      <c r="D19" s="61">
        <v>148</v>
      </c>
      <c r="E19" s="103">
        <v>145</v>
      </c>
      <c r="F19" s="61">
        <v>75</v>
      </c>
      <c r="G19" s="103">
        <v>73</v>
      </c>
      <c r="H19" s="103">
        <v>665</v>
      </c>
      <c r="I19" s="104">
        <v>745</v>
      </c>
      <c r="J19" s="102">
        <f t="shared" si="3"/>
        <v>1498</v>
      </c>
      <c r="K19" s="103">
        <v>809</v>
      </c>
      <c r="L19" s="104">
        <v>689</v>
      </c>
      <c r="M19" s="95">
        <f t="shared" si="4"/>
        <v>8062</v>
      </c>
      <c r="N19" s="103">
        <v>4090</v>
      </c>
      <c r="O19" s="103">
        <v>3424</v>
      </c>
      <c r="P19" s="103">
        <v>1522</v>
      </c>
      <c r="Q19" s="103">
        <v>1137</v>
      </c>
      <c r="R19" s="103">
        <v>451</v>
      </c>
      <c r="S19" s="104">
        <v>862</v>
      </c>
      <c r="T19" s="2"/>
      <c r="U19" s="2"/>
    </row>
    <row r="20" spans="1:256" s="4" customFormat="1" ht="17.25" customHeight="1">
      <c r="A20" s="105" t="s">
        <v>57</v>
      </c>
      <c r="B20" s="106">
        <f t="shared" si="1"/>
        <v>12373</v>
      </c>
      <c r="C20" s="107">
        <f t="shared" si="2"/>
        <v>1751</v>
      </c>
      <c r="D20" s="61">
        <v>142</v>
      </c>
      <c r="E20" s="61">
        <v>144</v>
      </c>
      <c r="F20" s="61">
        <v>69</v>
      </c>
      <c r="G20" s="61">
        <v>69</v>
      </c>
      <c r="H20" s="61">
        <v>730</v>
      </c>
      <c r="I20" s="61">
        <v>739</v>
      </c>
      <c r="J20" s="107">
        <f t="shared" si="3"/>
        <v>1646</v>
      </c>
      <c r="K20" s="61">
        <v>875</v>
      </c>
      <c r="L20" s="61">
        <v>771</v>
      </c>
      <c r="M20" s="95">
        <f t="shared" si="4"/>
        <v>8976</v>
      </c>
      <c r="N20" s="61">
        <v>4356</v>
      </c>
      <c r="O20" s="61">
        <v>3653</v>
      </c>
      <c r="P20" s="61">
        <v>1669</v>
      </c>
      <c r="Q20" s="61">
        <v>1382</v>
      </c>
      <c r="R20" s="61">
        <v>526</v>
      </c>
      <c r="S20" s="108">
        <v>1043</v>
      </c>
      <c r="T20" s="2"/>
      <c r="U20" s="2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4" customFormat="1" ht="17.25" customHeight="1">
      <c r="A21" s="105" t="s">
        <v>58</v>
      </c>
      <c r="B21" s="106">
        <f t="shared" si="1"/>
        <v>13706</v>
      </c>
      <c r="C21" s="107">
        <f t="shared" si="2"/>
        <v>1787</v>
      </c>
      <c r="D21" s="61">
        <v>160</v>
      </c>
      <c r="E21" s="61">
        <v>163</v>
      </c>
      <c r="F21" s="61">
        <v>75</v>
      </c>
      <c r="G21" s="61">
        <v>75</v>
      </c>
      <c r="H21" s="61">
        <v>712</v>
      </c>
      <c r="I21" s="108">
        <v>762</v>
      </c>
      <c r="J21" s="107">
        <f t="shared" si="3"/>
        <v>1807</v>
      </c>
      <c r="K21" s="61">
        <v>947</v>
      </c>
      <c r="L21" s="108">
        <v>860</v>
      </c>
      <c r="M21" s="95">
        <f t="shared" si="4"/>
        <v>10112</v>
      </c>
      <c r="N21" s="61">
        <v>4939</v>
      </c>
      <c r="O21" s="61">
        <v>4013</v>
      </c>
      <c r="P21" s="61">
        <v>1764</v>
      </c>
      <c r="Q21" s="61">
        <v>1540</v>
      </c>
      <c r="R21" s="61">
        <v>637</v>
      </c>
      <c r="S21" s="108">
        <v>1232</v>
      </c>
      <c r="T21" s="2"/>
      <c r="U21" s="2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4" customFormat="1" ht="17.25" customHeight="1">
      <c r="A22" s="105" t="s">
        <v>59</v>
      </c>
      <c r="B22" s="106">
        <f t="shared" si="1"/>
        <v>10117</v>
      </c>
      <c r="C22" s="107">
        <f t="shared" si="2"/>
        <v>1267</v>
      </c>
      <c r="D22" s="61">
        <v>113</v>
      </c>
      <c r="E22" s="61">
        <v>112</v>
      </c>
      <c r="F22" s="61">
        <v>56</v>
      </c>
      <c r="G22" s="61">
        <v>56</v>
      </c>
      <c r="H22" s="61">
        <v>502</v>
      </c>
      <c r="I22" s="61">
        <v>541</v>
      </c>
      <c r="J22" s="107">
        <f t="shared" si="3"/>
        <v>1294</v>
      </c>
      <c r="K22" s="61">
        <v>654</v>
      </c>
      <c r="L22" s="61">
        <v>640</v>
      </c>
      <c r="M22" s="95">
        <f t="shared" si="4"/>
        <v>7556</v>
      </c>
      <c r="N22" s="61">
        <v>3331</v>
      </c>
      <c r="O22" s="61">
        <v>2782</v>
      </c>
      <c r="P22" s="61">
        <v>1380</v>
      </c>
      <c r="Q22" s="61">
        <v>1187</v>
      </c>
      <c r="R22" s="61">
        <v>499</v>
      </c>
      <c r="S22" s="108">
        <v>1159</v>
      </c>
      <c r="T22" s="2"/>
      <c r="U22" s="2"/>
      <c r="V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4" customFormat="1" ht="17.25" customHeight="1">
      <c r="A23" s="105" t="s">
        <v>60</v>
      </c>
      <c r="B23" s="106">
        <f t="shared" si="1"/>
        <v>13899</v>
      </c>
      <c r="C23" s="107">
        <f t="shared" si="2"/>
        <v>2023</v>
      </c>
      <c r="D23" s="61">
        <v>207</v>
      </c>
      <c r="E23" s="61">
        <v>202</v>
      </c>
      <c r="F23" s="61">
        <v>104</v>
      </c>
      <c r="G23" s="61">
        <v>104</v>
      </c>
      <c r="H23" s="61">
        <v>790</v>
      </c>
      <c r="I23" s="108">
        <v>823</v>
      </c>
      <c r="J23" s="107">
        <f t="shared" si="3"/>
        <v>1831</v>
      </c>
      <c r="K23" s="61">
        <v>941</v>
      </c>
      <c r="L23" s="108">
        <v>890</v>
      </c>
      <c r="M23" s="95">
        <f t="shared" si="4"/>
        <v>10045</v>
      </c>
      <c r="N23" s="61">
        <v>5184</v>
      </c>
      <c r="O23" s="61">
        <v>4226</v>
      </c>
      <c r="P23" s="61">
        <v>1826</v>
      </c>
      <c r="Q23" s="61">
        <v>1424</v>
      </c>
      <c r="R23" s="61">
        <v>547</v>
      </c>
      <c r="S23" s="108">
        <v>1064</v>
      </c>
      <c r="T23" s="2"/>
      <c r="U23" s="2"/>
      <c r="V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4" customFormat="1" ht="17.25" customHeight="1">
      <c r="A24" s="105" t="s">
        <v>61</v>
      </c>
      <c r="B24" s="106">
        <f t="shared" si="1"/>
        <v>12889</v>
      </c>
      <c r="C24" s="107">
        <f t="shared" si="2"/>
        <v>1749</v>
      </c>
      <c r="D24" s="61">
        <v>161</v>
      </c>
      <c r="E24" s="61">
        <v>162</v>
      </c>
      <c r="F24" s="61">
        <v>81</v>
      </c>
      <c r="G24" s="61">
        <v>80</v>
      </c>
      <c r="H24" s="61">
        <v>708</v>
      </c>
      <c r="I24" s="61">
        <v>718</v>
      </c>
      <c r="J24" s="107">
        <f t="shared" si="3"/>
        <v>1721</v>
      </c>
      <c r="K24" s="61">
        <v>865</v>
      </c>
      <c r="L24" s="61">
        <v>856</v>
      </c>
      <c r="M24" s="95">
        <f t="shared" si="4"/>
        <v>9419</v>
      </c>
      <c r="N24" s="61">
        <v>4569</v>
      </c>
      <c r="O24" s="61">
        <v>3677</v>
      </c>
      <c r="P24" s="61">
        <v>1709</v>
      </c>
      <c r="Q24" s="61">
        <v>1523</v>
      </c>
      <c r="R24" s="61">
        <v>536</v>
      </c>
      <c r="S24" s="108">
        <v>1082</v>
      </c>
      <c r="T24" s="1"/>
      <c r="U24" s="2"/>
      <c r="V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4" customFormat="1" ht="17.25" customHeight="1">
      <c r="A25" s="105" t="s">
        <v>78</v>
      </c>
      <c r="B25" s="106">
        <f t="shared" si="1"/>
        <v>7594</v>
      </c>
      <c r="C25" s="107">
        <f t="shared" si="2"/>
        <v>1109</v>
      </c>
      <c r="D25" s="61">
        <v>90</v>
      </c>
      <c r="E25" s="61">
        <v>88</v>
      </c>
      <c r="F25" s="61">
        <v>48</v>
      </c>
      <c r="G25" s="61">
        <v>47</v>
      </c>
      <c r="H25" s="61">
        <v>448</v>
      </c>
      <c r="I25" s="61">
        <v>478</v>
      </c>
      <c r="J25" s="107">
        <f t="shared" si="3"/>
        <v>1020</v>
      </c>
      <c r="K25" s="61">
        <v>530</v>
      </c>
      <c r="L25" s="61">
        <v>490</v>
      </c>
      <c r="M25" s="95">
        <f t="shared" si="4"/>
        <v>5465</v>
      </c>
      <c r="N25" s="61">
        <v>2850</v>
      </c>
      <c r="O25" s="61">
        <v>2233</v>
      </c>
      <c r="P25" s="61">
        <v>880</v>
      </c>
      <c r="Q25" s="61">
        <v>790</v>
      </c>
      <c r="R25" s="61">
        <v>315</v>
      </c>
      <c r="S25" s="108">
        <v>630</v>
      </c>
      <c r="T25" s="1"/>
      <c r="U25" s="1"/>
      <c r="V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4" customFormat="1" ht="17.25" customHeight="1">
      <c r="A26" s="105" t="s">
        <v>62</v>
      </c>
      <c r="B26" s="106">
        <f t="shared" si="1"/>
        <v>7633</v>
      </c>
      <c r="C26" s="107">
        <f t="shared" si="2"/>
        <v>992</v>
      </c>
      <c r="D26" s="61">
        <v>94</v>
      </c>
      <c r="E26" s="61">
        <v>95</v>
      </c>
      <c r="F26" s="61">
        <v>47</v>
      </c>
      <c r="G26" s="61">
        <v>47</v>
      </c>
      <c r="H26" s="61">
        <v>393</v>
      </c>
      <c r="I26" s="108">
        <v>410</v>
      </c>
      <c r="J26" s="107">
        <f t="shared" si="3"/>
        <v>1018</v>
      </c>
      <c r="K26" s="61">
        <v>542</v>
      </c>
      <c r="L26" s="108">
        <v>476</v>
      </c>
      <c r="M26" s="95">
        <f t="shared" si="4"/>
        <v>5623</v>
      </c>
      <c r="N26" s="61">
        <v>2715</v>
      </c>
      <c r="O26" s="61">
        <v>2219</v>
      </c>
      <c r="P26" s="61">
        <v>995</v>
      </c>
      <c r="Q26" s="61">
        <v>949</v>
      </c>
      <c r="R26" s="61">
        <v>364</v>
      </c>
      <c r="S26" s="108">
        <v>600</v>
      </c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4" customFormat="1" ht="17.25" customHeight="1">
      <c r="A27" s="147" t="s">
        <v>79</v>
      </c>
      <c r="B27" s="106">
        <f t="shared" si="1"/>
        <v>3858</v>
      </c>
      <c r="C27" s="107">
        <f t="shared" si="2"/>
        <v>539</v>
      </c>
      <c r="D27" s="61">
        <v>47</v>
      </c>
      <c r="E27" s="61">
        <v>45</v>
      </c>
      <c r="F27" s="61">
        <v>26</v>
      </c>
      <c r="G27" s="61">
        <v>25</v>
      </c>
      <c r="H27" s="61">
        <v>208</v>
      </c>
      <c r="I27" s="61">
        <v>235</v>
      </c>
      <c r="J27" s="107">
        <f t="shared" si="3"/>
        <v>502</v>
      </c>
      <c r="K27" s="61">
        <v>267</v>
      </c>
      <c r="L27" s="61">
        <v>235</v>
      </c>
      <c r="M27" s="95">
        <f t="shared" si="4"/>
        <v>2817</v>
      </c>
      <c r="N27" s="61">
        <v>1462</v>
      </c>
      <c r="O27" s="61">
        <v>1210</v>
      </c>
      <c r="P27" s="61">
        <v>449</v>
      </c>
      <c r="Q27" s="61">
        <v>420</v>
      </c>
      <c r="R27" s="61">
        <v>157</v>
      </c>
      <c r="S27" s="108">
        <v>329</v>
      </c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4" customFormat="1" ht="17.25" customHeight="1">
      <c r="A28" s="147" t="s">
        <v>50</v>
      </c>
      <c r="B28" s="106">
        <f t="shared" si="1"/>
        <v>3641</v>
      </c>
      <c r="C28" s="107">
        <f t="shared" si="2"/>
        <v>554</v>
      </c>
      <c r="D28" s="61">
        <v>52</v>
      </c>
      <c r="E28" s="61">
        <v>51</v>
      </c>
      <c r="F28" s="61">
        <v>30</v>
      </c>
      <c r="G28" s="61">
        <v>29</v>
      </c>
      <c r="H28" s="61">
        <v>219</v>
      </c>
      <c r="I28" s="61">
        <v>225</v>
      </c>
      <c r="J28" s="107">
        <f t="shared" si="3"/>
        <v>472</v>
      </c>
      <c r="K28" s="61">
        <v>255</v>
      </c>
      <c r="L28" s="61">
        <v>217</v>
      </c>
      <c r="M28" s="95">
        <f t="shared" si="4"/>
        <v>2615</v>
      </c>
      <c r="N28" s="61">
        <v>1334</v>
      </c>
      <c r="O28" s="61">
        <v>980</v>
      </c>
      <c r="P28" s="61">
        <v>458</v>
      </c>
      <c r="Q28" s="61">
        <v>402</v>
      </c>
      <c r="R28" s="61">
        <v>151</v>
      </c>
      <c r="S28" s="108">
        <v>270</v>
      </c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15" s="4" customFormat="1" ht="17.25" customHeight="1">
      <c r="A29" s="147" t="s">
        <v>80</v>
      </c>
      <c r="B29" s="106">
        <f t="shared" si="1"/>
        <v>4155</v>
      </c>
      <c r="C29" s="107">
        <f t="shared" si="2"/>
        <v>587</v>
      </c>
      <c r="D29" s="61">
        <v>50</v>
      </c>
      <c r="E29" s="61">
        <v>52</v>
      </c>
      <c r="F29" s="61">
        <v>26</v>
      </c>
      <c r="G29" s="61">
        <v>26</v>
      </c>
      <c r="H29" s="61">
        <v>235</v>
      </c>
      <c r="I29" s="61">
        <v>248</v>
      </c>
      <c r="J29" s="107">
        <f>SUM(K29:L29)</f>
        <v>567</v>
      </c>
      <c r="K29" s="61">
        <v>289</v>
      </c>
      <c r="L29" s="61">
        <v>278</v>
      </c>
      <c r="M29" s="95">
        <f>+N29+P29+Q29+R29+S29</f>
        <v>3001</v>
      </c>
      <c r="N29" s="61">
        <v>1458</v>
      </c>
      <c r="O29" s="61">
        <v>1205</v>
      </c>
      <c r="P29" s="61">
        <v>537</v>
      </c>
      <c r="Q29" s="61">
        <v>480</v>
      </c>
      <c r="R29" s="61">
        <v>168</v>
      </c>
      <c r="S29" s="108">
        <v>358</v>
      </c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</row>
    <row r="30" spans="1:19" s="4" customFormat="1" ht="17.25" customHeight="1">
      <c r="A30" s="147" t="s">
        <v>51</v>
      </c>
      <c r="B30" s="106">
        <f t="shared" si="1"/>
        <v>2103</v>
      </c>
      <c r="C30" s="107">
        <f t="shared" si="2"/>
        <v>253</v>
      </c>
      <c r="D30" s="61">
        <v>22</v>
      </c>
      <c r="E30" s="61">
        <v>22</v>
      </c>
      <c r="F30" s="61">
        <v>10</v>
      </c>
      <c r="G30" s="61">
        <v>10</v>
      </c>
      <c r="H30" s="61">
        <v>105</v>
      </c>
      <c r="I30" s="61">
        <v>106</v>
      </c>
      <c r="J30" s="107">
        <f t="shared" si="3"/>
        <v>238</v>
      </c>
      <c r="K30" s="61">
        <v>120</v>
      </c>
      <c r="L30" s="61">
        <v>118</v>
      </c>
      <c r="M30" s="95">
        <f t="shared" si="4"/>
        <v>1612</v>
      </c>
      <c r="N30" s="61">
        <v>696</v>
      </c>
      <c r="O30" s="61">
        <v>586</v>
      </c>
      <c r="P30" s="61">
        <v>280</v>
      </c>
      <c r="Q30" s="61">
        <v>268</v>
      </c>
      <c r="R30" s="61">
        <v>138</v>
      </c>
      <c r="S30" s="108">
        <v>230</v>
      </c>
    </row>
    <row r="31" spans="1:19" s="4" customFormat="1" ht="17.25" customHeight="1">
      <c r="A31" s="147" t="s">
        <v>81</v>
      </c>
      <c r="B31" s="106">
        <f t="shared" si="1"/>
        <v>1507</v>
      </c>
      <c r="C31" s="107">
        <f t="shared" si="2"/>
        <v>222</v>
      </c>
      <c r="D31" s="61">
        <v>12</v>
      </c>
      <c r="E31" s="61">
        <v>13</v>
      </c>
      <c r="F31" s="61">
        <v>11</v>
      </c>
      <c r="G31" s="61">
        <v>11</v>
      </c>
      <c r="H31" s="61">
        <v>91</v>
      </c>
      <c r="I31" s="108">
        <v>96</v>
      </c>
      <c r="J31" s="107">
        <f>SUM(K31:L31)</f>
        <v>185</v>
      </c>
      <c r="K31" s="61">
        <v>99</v>
      </c>
      <c r="L31" s="108">
        <v>86</v>
      </c>
      <c r="M31" s="95">
        <f>+N31+P31+Q31+R31+S31</f>
        <v>1100</v>
      </c>
      <c r="N31" s="61">
        <v>475</v>
      </c>
      <c r="O31" s="61">
        <v>440</v>
      </c>
      <c r="P31" s="61">
        <v>178</v>
      </c>
      <c r="Q31" s="61">
        <v>191</v>
      </c>
      <c r="R31" s="61">
        <v>86</v>
      </c>
      <c r="S31" s="108">
        <v>170</v>
      </c>
    </row>
    <row r="32" spans="1:19" s="4" customFormat="1" ht="17.25" customHeight="1">
      <c r="A32" s="192" t="s">
        <v>89</v>
      </c>
      <c r="B32" s="106">
        <f t="shared" si="1"/>
        <v>1375</v>
      </c>
      <c r="C32" s="107">
        <f t="shared" si="2"/>
        <v>159</v>
      </c>
      <c r="D32" s="193">
        <v>19</v>
      </c>
      <c r="E32" s="193">
        <v>19</v>
      </c>
      <c r="F32" s="193">
        <v>9</v>
      </c>
      <c r="G32" s="193">
        <v>9</v>
      </c>
      <c r="H32" s="193">
        <v>59</v>
      </c>
      <c r="I32" s="193">
        <v>63</v>
      </c>
      <c r="J32" s="194">
        <f>SUM(K32:L32)</f>
        <v>178</v>
      </c>
      <c r="K32" s="193">
        <v>90</v>
      </c>
      <c r="L32" s="193">
        <v>88</v>
      </c>
      <c r="M32" s="195">
        <f>+N32+P32+Q32+R32+S32</f>
        <v>1038</v>
      </c>
      <c r="N32" s="193">
        <v>465</v>
      </c>
      <c r="O32" s="193">
        <v>331</v>
      </c>
      <c r="P32" s="193">
        <v>160</v>
      </c>
      <c r="Q32" s="193">
        <v>176</v>
      </c>
      <c r="R32" s="193">
        <v>72</v>
      </c>
      <c r="S32" s="196">
        <v>165</v>
      </c>
    </row>
    <row r="33" spans="1:19" s="4" customFormat="1" ht="17.25" customHeight="1">
      <c r="A33" s="105" t="s">
        <v>63</v>
      </c>
      <c r="B33" s="106">
        <f t="shared" si="1"/>
        <v>1686</v>
      </c>
      <c r="C33" s="107">
        <f t="shared" si="2"/>
        <v>233</v>
      </c>
      <c r="D33" s="61">
        <v>21</v>
      </c>
      <c r="E33" s="61">
        <v>22</v>
      </c>
      <c r="F33" s="61">
        <v>11</v>
      </c>
      <c r="G33" s="61">
        <v>11</v>
      </c>
      <c r="H33" s="61">
        <v>93</v>
      </c>
      <c r="I33" s="61">
        <v>96</v>
      </c>
      <c r="J33" s="107">
        <f t="shared" si="3"/>
        <v>206</v>
      </c>
      <c r="K33" s="61">
        <v>105</v>
      </c>
      <c r="L33" s="61">
        <v>101</v>
      </c>
      <c r="M33" s="95">
        <f t="shared" si="4"/>
        <v>1247</v>
      </c>
      <c r="N33" s="61">
        <v>600</v>
      </c>
      <c r="O33" s="61">
        <v>475</v>
      </c>
      <c r="P33" s="61">
        <v>235</v>
      </c>
      <c r="Q33" s="61">
        <v>190</v>
      </c>
      <c r="R33" s="61">
        <v>74</v>
      </c>
      <c r="S33" s="108">
        <v>148</v>
      </c>
    </row>
    <row r="34" spans="1:19" s="4" customFormat="1" ht="14.25" customHeight="1">
      <c r="A34" s="105" t="s">
        <v>64</v>
      </c>
      <c r="B34" s="106">
        <f t="shared" si="1"/>
        <v>850</v>
      </c>
      <c r="C34" s="107">
        <f t="shared" si="2"/>
        <v>117</v>
      </c>
      <c r="D34" s="61">
        <v>10</v>
      </c>
      <c r="E34" s="61">
        <v>11</v>
      </c>
      <c r="F34" s="61">
        <v>5</v>
      </c>
      <c r="G34" s="61">
        <v>5</v>
      </c>
      <c r="H34" s="61">
        <v>47</v>
      </c>
      <c r="I34" s="61">
        <v>49</v>
      </c>
      <c r="J34" s="107">
        <f t="shared" si="3"/>
        <v>107</v>
      </c>
      <c r="K34" s="61">
        <v>55</v>
      </c>
      <c r="L34" s="61">
        <v>52</v>
      </c>
      <c r="M34" s="95">
        <f t="shared" si="4"/>
        <v>626</v>
      </c>
      <c r="N34" s="61">
        <v>301</v>
      </c>
      <c r="O34" s="61">
        <v>242</v>
      </c>
      <c r="P34" s="61">
        <v>116</v>
      </c>
      <c r="Q34" s="61">
        <v>95</v>
      </c>
      <c r="R34" s="61">
        <v>39</v>
      </c>
      <c r="S34" s="108">
        <v>75</v>
      </c>
    </row>
    <row r="35" spans="1:19" s="4" customFormat="1" ht="14.25" customHeight="1">
      <c r="A35" s="105" t="s">
        <v>65</v>
      </c>
      <c r="B35" s="106">
        <f t="shared" si="1"/>
        <v>1579</v>
      </c>
      <c r="C35" s="107">
        <f t="shared" si="2"/>
        <v>227</v>
      </c>
      <c r="D35" s="61">
        <v>21</v>
      </c>
      <c r="E35" s="61">
        <v>22</v>
      </c>
      <c r="F35" s="61">
        <v>11</v>
      </c>
      <c r="G35" s="61">
        <v>11</v>
      </c>
      <c r="H35" s="61">
        <v>90</v>
      </c>
      <c r="I35" s="61">
        <v>93</v>
      </c>
      <c r="J35" s="107">
        <f t="shared" si="3"/>
        <v>201</v>
      </c>
      <c r="K35" s="61">
        <v>102</v>
      </c>
      <c r="L35" s="61">
        <v>99</v>
      </c>
      <c r="M35" s="95">
        <f t="shared" si="4"/>
        <v>1151</v>
      </c>
      <c r="N35" s="61">
        <v>574</v>
      </c>
      <c r="O35" s="61">
        <v>465</v>
      </c>
      <c r="P35" s="61">
        <v>225</v>
      </c>
      <c r="Q35" s="61">
        <v>150</v>
      </c>
      <c r="R35" s="61">
        <v>71</v>
      </c>
      <c r="S35" s="108">
        <v>131</v>
      </c>
    </row>
    <row r="36" spans="1:19" s="4" customFormat="1" ht="15">
      <c r="A36" s="105" t="s">
        <v>66</v>
      </c>
      <c r="B36" s="106">
        <f t="shared" si="1"/>
        <v>1867</v>
      </c>
      <c r="C36" s="107">
        <f t="shared" si="2"/>
        <v>313</v>
      </c>
      <c r="D36" s="61">
        <v>25</v>
      </c>
      <c r="E36" s="61">
        <v>25</v>
      </c>
      <c r="F36" s="61">
        <v>13</v>
      </c>
      <c r="G36" s="61">
        <v>13</v>
      </c>
      <c r="H36" s="61">
        <v>130</v>
      </c>
      <c r="I36" s="61">
        <v>132</v>
      </c>
      <c r="J36" s="107">
        <f t="shared" si="3"/>
        <v>286</v>
      </c>
      <c r="K36" s="61">
        <v>155</v>
      </c>
      <c r="L36" s="61">
        <v>131</v>
      </c>
      <c r="M36" s="95">
        <f t="shared" si="4"/>
        <v>1268</v>
      </c>
      <c r="N36" s="61">
        <v>549</v>
      </c>
      <c r="O36" s="61">
        <v>400</v>
      </c>
      <c r="P36" s="61">
        <v>251</v>
      </c>
      <c r="Q36" s="61">
        <v>214</v>
      </c>
      <c r="R36" s="61">
        <v>95</v>
      </c>
      <c r="S36" s="108">
        <v>159</v>
      </c>
    </row>
    <row r="37" spans="1:19" s="4" customFormat="1" ht="15">
      <c r="A37" s="105" t="s">
        <v>67</v>
      </c>
      <c r="B37" s="106">
        <f t="shared" si="1"/>
        <v>2583</v>
      </c>
      <c r="C37" s="107">
        <f t="shared" si="2"/>
        <v>433</v>
      </c>
      <c r="D37" s="61">
        <v>31</v>
      </c>
      <c r="E37" s="61">
        <v>29</v>
      </c>
      <c r="F37" s="61">
        <v>15</v>
      </c>
      <c r="G37" s="61">
        <v>15</v>
      </c>
      <c r="H37" s="61">
        <v>182</v>
      </c>
      <c r="I37" s="108">
        <v>192</v>
      </c>
      <c r="J37" s="107">
        <f t="shared" si="3"/>
        <v>347</v>
      </c>
      <c r="K37" s="61">
        <v>201</v>
      </c>
      <c r="L37" s="108">
        <v>146</v>
      </c>
      <c r="M37" s="95">
        <f t="shared" si="4"/>
        <v>1803</v>
      </c>
      <c r="N37" s="61">
        <v>786</v>
      </c>
      <c r="O37" s="61">
        <v>739</v>
      </c>
      <c r="P37" s="61">
        <v>314</v>
      </c>
      <c r="Q37" s="61">
        <v>323</v>
      </c>
      <c r="R37" s="61">
        <v>125</v>
      </c>
      <c r="S37" s="108">
        <v>255</v>
      </c>
    </row>
    <row r="38" spans="1:19" s="4" customFormat="1" ht="15">
      <c r="A38" s="105" t="s">
        <v>68</v>
      </c>
      <c r="B38" s="106">
        <f t="shared" si="1"/>
        <v>1193</v>
      </c>
      <c r="C38" s="107">
        <f t="shared" si="2"/>
        <v>163</v>
      </c>
      <c r="D38" s="61">
        <v>17</v>
      </c>
      <c r="E38" s="61">
        <v>17</v>
      </c>
      <c r="F38" s="61">
        <v>8</v>
      </c>
      <c r="G38" s="61">
        <v>8</v>
      </c>
      <c r="H38" s="61">
        <v>64</v>
      </c>
      <c r="I38" s="61">
        <v>66</v>
      </c>
      <c r="J38" s="107">
        <f t="shared" si="3"/>
        <v>158</v>
      </c>
      <c r="K38" s="61">
        <v>80</v>
      </c>
      <c r="L38" s="61">
        <v>78</v>
      </c>
      <c r="M38" s="95">
        <f t="shared" si="4"/>
        <v>872</v>
      </c>
      <c r="N38" s="61">
        <v>402</v>
      </c>
      <c r="O38" s="61">
        <v>299</v>
      </c>
      <c r="P38" s="61">
        <v>143</v>
      </c>
      <c r="Q38" s="61">
        <v>152</v>
      </c>
      <c r="R38" s="61">
        <v>55</v>
      </c>
      <c r="S38" s="108">
        <v>120</v>
      </c>
    </row>
    <row r="39" spans="1:19" s="4" customFormat="1" ht="15">
      <c r="A39" s="105" t="s">
        <v>69</v>
      </c>
      <c r="B39" s="106">
        <f t="shared" si="1"/>
        <v>1347</v>
      </c>
      <c r="C39" s="107">
        <f t="shared" si="2"/>
        <v>181</v>
      </c>
      <c r="D39" s="61">
        <v>17</v>
      </c>
      <c r="E39" s="61">
        <v>17</v>
      </c>
      <c r="F39" s="61">
        <v>9</v>
      </c>
      <c r="G39" s="61">
        <v>9</v>
      </c>
      <c r="H39" s="61">
        <v>72</v>
      </c>
      <c r="I39" s="61">
        <v>74</v>
      </c>
      <c r="J39" s="107">
        <f t="shared" si="3"/>
        <v>177</v>
      </c>
      <c r="K39" s="61">
        <v>90</v>
      </c>
      <c r="L39" s="61">
        <v>87</v>
      </c>
      <c r="M39" s="95">
        <f t="shared" si="4"/>
        <v>989</v>
      </c>
      <c r="N39" s="61">
        <v>456</v>
      </c>
      <c r="O39" s="61">
        <v>360</v>
      </c>
      <c r="P39" s="61">
        <v>149</v>
      </c>
      <c r="Q39" s="61">
        <v>179</v>
      </c>
      <c r="R39" s="61">
        <v>65</v>
      </c>
      <c r="S39" s="108">
        <v>140</v>
      </c>
    </row>
    <row r="40" spans="1:19" s="4" customFormat="1" ht="15">
      <c r="A40" s="105" t="s">
        <v>70</v>
      </c>
      <c r="B40" s="106">
        <f t="shared" si="1"/>
        <v>1106</v>
      </c>
      <c r="C40" s="107">
        <f t="shared" si="2"/>
        <v>148</v>
      </c>
      <c r="D40" s="61">
        <v>15</v>
      </c>
      <c r="E40" s="61">
        <v>15</v>
      </c>
      <c r="F40" s="61">
        <v>8</v>
      </c>
      <c r="G40" s="61">
        <v>8</v>
      </c>
      <c r="H40" s="61">
        <v>58</v>
      </c>
      <c r="I40" s="61">
        <v>59</v>
      </c>
      <c r="J40" s="107">
        <f t="shared" si="3"/>
        <v>153</v>
      </c>
      <c r="K40" s="61">
        <v>78</v>
      </c>
      <c r="L40" s="61">
        <v>75</v>
      </c>
      <c r="M40" s="95">
        <f t="shared" si="4"/>
        <v>805</v>
      </c>
      <c r="N40" s="61">
        <v>367</v>
      </c>
      <c r="O40" s="61">
        <v>290</v>
      </c>
      <c r="P40" s="61">
        <v>133</v>
      </c>
      <c r="Q40" s="61">
        <v>142</v>
      </c>
      <c r="R40" s="61">
        <v>49</v>
      </c>
      <c r="S40" s="108">
        <v>114</v>
      </c>
    </row>
    <row r="41" spans="1:19" s="4" customFormat="1" ht="15">
      <c r="A41" s="105" t="s">
        <v>71</v>
      </c>
      <c r="B41" s="106">
        <f t="shared" si="1"/>
        <v>2507</v>
      </c>
      <c r="C41" s="107">
        <f t="shared" si="2"/>
        <v>320</v>
      </c>
      <c r="D41" s="61">
        <v>25</v>
      </c>
      <c r="E41" s="61">
        <v>25</v>
      </c>
      <c r="F41" s="61">
        <v>13</v>
      </c>
      <c r="G41" s="61">
        <v>13</v>
      </c>
      <c r="H41" s="61">
        <v>131</v>
      </c>
      <c r="I41" s="61">
        <v>138</v>
      </c>
      <c r="J41" s="107">
        <f t="shared" si="3"/>
        <v>305</v>
      </c>
      <c r="K41" s="61">
        <v>155</v>
      </c>
      <c r="L41" s="61">
        <v>150</v>
      </c>
      <c r="M41" s="95">
        <f t="shared" si="4"/>
        <v>1882</v>
      </c>
      <c r="N41" s="61">
        <v>864</v>
      </c>
      <c r="O41" s="61">
        <v>678</v>
      </c>
      <c r="P41" s="61">
        <v>331</v>
      </c>
      <c r="Q41" s="61">
        <v>299</v>
      </c>
      <c r="R41" s="61">
        <v>120</v>
      </c>
      <c r="S41" s="108">
        <v>268</v>
      </c>
    </row>
    <row r="42" spans="1:19" s="4" customFormat="1" ht="15">
      <c r="A42" s="105" t="s">
        <v>72</v>
      </c>
      <c r="B42" s="106">
        <f t="shared" si="1"/>
        <v>1375</v>
      </c>
      <c r="C42" s="107">
        <f t="shared" si="2"/>
        <v>190</v>
      </c>
      <c r="D42" s="61">
        <v>16</v>
      </c>
      <c r="E42" s="61">
        <v>16</v>
      </c>
      <c r="F42" s="61">
        <v>9</v>
      </c>
      <c r="G42" s="61">
        <v>9</v>
      </c>
      <c r="H42" s="61">
        <v>77</v>
      </c>
      <c r="I42" s="61">
        <v>79</v>
      </c>
      <c r="J42" s="107">
        <f t="shared" si="3"/>
        <v>179</v>
      </c>
      <c r="K42" s="61">
        <v>90</v>
      </c>
      <c r="L42" s="61">
        <v>89</v>
      </c>
      <c r="M42" s="95">
        <f t="shared" si="4"/>
        <v>1006</v>
      </c>
      <c r="N42" s="61">
        <v>475</v>
      </c>
      <c r="O42" s="61">
        <v>381</v>
      </c>
      <c r="P42" s="61">
        <v>161</v>
      </c>
      <c r="Q42" s="61">
        <v>175</v>
      </c>
      <c r="R42" s="61">
        <v>65</v>
      </c>
      <c r="S42" s="108">
        <v>130</v>
      </c>
    </row>
    <row r="43" spans="1:19" s="4" customFormat="1" ht="15">
      <c r="A43" s="110"/>
      <c r="B43" s="106"/>
      <c r="C43" s="107"/>
      <c r="D43" s="61"/>
      <c r="E43" s="61"/>
      <c r="F43" s="61"/>
      <c r="G43" s="61"/>
      <c r="H43" s="61"/>
      <c r="I43" s="108"/>
      <c r="J43" s="107"/>
      <c r="K43" s="61"/>
      <c r="L43" s="108"/>
      <c r="M43" s="95"/>
      <c r="N43" s="61"/>
      <c r="O43" s="61"/>
      <c r="P43" s="61"/>
      <c r="Q43" s="61"/>
      <c r="R43" s="61"/>
      <c r="S43" s="108"/>
    </row>
    <row r="44" spans="1:19" s="4" customFormat="1" ht="25.5" customHeight="1" thickBot="1">
      <c r="A44" s="49" t="s">
        <v>18</v>
      </c>
      <c r="B44" s="50">
        <f>SUM(C44,J44,M44)</f>
        <v>4006</v>
      </c>
      <c r="C44" s="51">
        <f>SUM(E44:I44)</f>
        <v>642</v>
      </c>
      <c r="D44" s="52">
        <v>76</v>
      </c>
      <c r="E44" s="52">
        <v>75</v>
      </c>
      <c r="F44" s="52">
        <v>38</v>
      </c>
      <c r="G44" s="52">
        <v>38</v>
      </c>
      <c r="H44" s="52">
        <v>240</v>
      </c>
      <c r="I44" s="52">
        <v>251</v>
      </c>
      <c r="J44" s="51">
        <f>SUM(K44:L44)</f>
        <v>607</v>
      </c>
      <c r="K44" s="52">
        <v>316</v>
      </c>
      <c r="L44" s="52">
        <v>291</v>
      </c>
      <c r="M44" s="148">
        <f t="shared" si="4"/>
        <v>2757</v>
      </c>
      <c r="N44" s="52">
        <v>1440</v>
      </c>
      <c r="O44" s="52">
        <v>1160</v>
      </c>
      <c r="P44" s="52">
        <v>487</v>
      </c>
      <c r="Q44" s="52">
        <v>462</v>
      </c>
      <c r="R44" s="52">
        <v>200</v>
      </c>
      <c r="S44" s="53">
        <v>168</v>
      </c>
    </row>
    <row r="45" spans="1:19" s="4" customFormat="1" ht="15.75">
      <c r="A45" s="200" t="s">
        <v>91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</row>
    <row r="46" spans="1:19" s="4" customFormat="1" ht="15">
      <c r="A46" s="59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</row>
    <row r="47" spans="1:19" s="4" customFormat="1" ht="15">
      <c r="A47" s="59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</row>
    <row r="48" spans="2:19" s="4" customFormat="1" ht="15"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</row>
    <row r="49" spans="3:5" s="4" customFormat="1" ht="15">
      <c r="C49" s="129"/>
      <c r="E49" s="4" t="s">
        <v>19</v>
      </c>
    </row>
    <row r="50" s="4" customFormat="1" ht="15">
      <c r="C50" s="129"/>
    </row>
    <row r="51" s="4" customFormat="1" ht="15">
      <c r="G51" s="4" t="str">
        <f>+G3</f>
        <v>           SERVICIO DE SALUD ACONCAGUA  2020</v>
      </c>
    </row>
    <row r="52" spans="8:12" s="4" customFormat="1" ht="15">
      <c r="H52" s="5"/>
      <c r="I52" s="5"/>
      <c r="J52" s="5"/>
      <c r="K52" s="5"/>
      <c r="L52" s="5"/>
    </row>
    <row r="53" s="4" customFormat="1" ht="15"/>
    <row r="54" spans="1:19" s="4" customFormat="1" ht="15">
      <c r="A54" s="6"/>
      <c r="B54" s="7"/>
      <c r="C54" s="6"/>
      <c r="D54" s="8"/>
      <c r="E54" s="8"/>
      <c r="F54" s="8"/>
      <c r="G54" s="8"/>
      <c r="H54" s="8"/>
      <c r="I54" s="9"/>
      <c r="J54" s="10"/>
      <c r="K54" s="11"/>
      <c r="L54" s="12"/>
      <c r="M54" s="10"/>
      <c r="N54" s="11"/>
      <c r="O54" s="11"/>
      <c r="P54" s="11"/>
      <c r="Q54" s="11"/>
      <c r="R54" s="11"/>
      <c r="S54" s="12"/>
    </row>
    <row r="55" spans="1:19" s="4" customFormat="1" ht="15">
      <c r="A55" s="14"/>
      <c r="B55" s="15"/>
      <c r="C55" s="14"/>
      <c r="D55" s="59"/>
      <c r="E55" s="4" t="s">
        <v>2</v>
      </c>
      <c r="I55" s="16"/>
      <c r="J55" s="17" t="s">
        <v>20</v>
      </c>
      <c r="K55" s="18"/>
      <c r="L55" s="19"/>
      <c r="M55" s="17"/>
      <c r="N55" s="18" t="s">
        <v>21</v>
      </c>
      <c r="O55" s="18"/>
      <c r="P55" s="18"/>
      <c r="Q55" s="18"/>
      <c r="R55" s="18"/>
      <c r="S55" s="19"/>
    </row>
    <row r="56" spans="1:19" s="4" customFormat="1" ht="15">
      <c r="A56" s="14"/>
      <c r="B56" s="15"/>
      <c r="C56" s="21"/>
      <c r="D56" s="22"/>
      <c r="E56" s="22"/>
      <c r="F56" s="22"/>
      <c r="G56" s="22"/>
      <c r="H56" s="22"/>
      <c r="I56" s="23"/>
      <c r="J56" s="24"/>
      <c r="K56" s="25"/>
      <c r="L56" s="26"/>
      <c r="M56" s="24"/>
      <c r="N56" s="25"/>
      <c r="O56" s="25"/>
      <c r="P56" s="25"/>
      <c r="Q56" s="25"/>
      <c r="R56" s="25"/>
      <c r="S56" s="26"/>
    </row>
    <row r="57" spans="1:25" s="4" customFormat="1" ht="15">
      <c r="A57" s="14"/>
      <c r="B57" s="28" t="s">
        <v>5</v>
      </c>
      <c r="C57" s="14"/>
      <c r="D57" s="59"/>
      <c r="I57" s="16"/>
      <c r="J57" s="29"/>
      <c r="K57" s="30"/>
      <c r="L57" s="31"/>
      <c r="M57" s="29"/>
      <c r="N57" s="30"/>
      <c r="O57" s="30"/>
      <c r="P57" s="30"/>
      <c r="Q57" s="30"/>
      <c r="R57" s="30"/>
      <c r="S57" s="31"/>
      <c r="T57" s="128"/>
      <c r="V57" s="189"/>
      <c r="W57" s="128"/>
      <c r="X57" s="128"/>
      <c r="Y57" s="128"/>
    </row>
    <row r="58" spans="1:25" s="4" customFormat="1" ht="15">
      <c r="A58" s="33" t="s">
        <v>6</v>
      </c>
      <c r="B58" s="15"/>
      <c r="C58" s="14"/>
      <c r="D58" s="59"/>
      <c r="F58" s="86" t="s">
        <v>75</v>
      </c>
      <c r="G58" s="86" t="s">
        <v>76</v>
      </c>
      <c r="H58" s="5" t="s">
        <v>7</v>
      </c>
      <c r="I58" s="34" t="s">
        <v>8</v>
      </c>
      <c r="J58" s="35"/>
      <c r="K58" s="36" t="s">
        <v>9</v>
      </c>
      <c r="L58" s="37" t="s">
        <v>10</v>
      </c>
      <c r="M58" s="35"/>
      <c r="N58" s="36" t="s">
        <v>11</v>
      </c>
      <c r="O58" s="76" t="s">
        <v>77</v>
      </c>
      <c r="P58" s="76" t="s">
        <v>54</v>
      </c>
      <c r="Q58" s="76" t="s">
        <v>49</v>
      </c>
      <c r="R58" s="5" t="s">
        <v>34</v>
      </c>
      <c r="S58" s="34" t="s">
        <v>35</v>
      </c>
      <c r="V58" s="189"/>
      <c r="W58" s="128"/>
      <c r="X58" s="128"/>
      <c r="Y58" s="128"/>
    </row>
    <row r="59" spans="1:25" s="4" customFormat="1" ht="15">
      <c r="A59" s="14"/>
      <c r="B59" s="28" t="s">
        <v>12</v>
      </c>
      <c r="C59" s="33" t="s">
        <v>13</v>
      </c>
      <c r="D59" s="86" t="s">
        <v>74</v>
      </c>
      <c r="E59" s="5" t="s">
        <v>14</v>
      </c>
      <c r="F59" s="76" t="s">
        <v>15</v>
      </c>
      <c r="G59" s="76" t="s">
        <v>15</v>
      </c>
      <c r="H59" s="5" t="s">
        <v>16</v>
      </c>
      <c r="I59" s="34" t="s">
        <v>16</v>
      </c>
      <c r="J59" s="35" t="s">
        <v>13</v>
      </c>
      <c r="K59" s="36" t="s">
        <v>16</v>
      </c>
      <c r="L59" s="37" t="s">
        <v>16</v>
      </c>
      <c r="M59" s="35" t="s">
        <v>13</v>
      </c>
      <c r="N59" s="36" t="s">
        <v>16</v>
      </c>
      <c r="O59" s="76" t="s">
        <v>16</v>
      </c>
      <c r="P59" s="76" t="s">
        <v>16</v>
      </c>
      <c r="Q59" s="76" t="s">
        <v>16</v>
      </c>
      <c r="R59" s="36" t="s">
        <v>16</v>
      </c>
      <c r="S59" s="37" t="s">
        <v>16</v>
      </c>
      <c r="V59" s="189"/>
      <c r="X59" s="128"/>
      <c r="Y59" s="128"/>
    </row>
    <row r="60" spans="1:22" s="4" customFormat="1" ht="15">
      <c r="A60" s="21"/>
      <c r="B60" s="38"/>
      <c r="C60" s="21"/>
      <c r="D60" s="22"/>
      <c r="E60" s="22"/>
      <c r="F60" s="22"/>
      <c r="G60" s="22"/>
      <c r="H60" s="22"/>
      <c r="I60" s="23"/>
      <c r="J60" s="39"/>
      <c r="K60" s="40"/>
      <c r="L60" s="41"/>
      <c r="M60" s="24"/>
      <c r="N60" s="25"/>
      <c r="O60" s="25"/>
      <c r="P60" s="25"/>
      <c r="Q60" s="25"/>
      <c r="R60" s="25"/>
      <c r="S60" s="26"/>
      <c r="V60" s="189"/>
    </row>
    <row r="61" spans="1:22" s="4" customFormat="1" ht="15">
      <c r="A61" s="14"/>
      <c r="B61" s="15"/>
      <c r="C61" s="14"/>
      <c r="D61" s="59"/>
      <c r="I61" s="16"/>
      <c r="J61" s="17"/>
      <c r="K61" s="18"/>
      <c r="L61" s="19"/>
      <c r="M61" s="10"/>
      <c r="N61" s="11"/>
      <c r="O61" s="11"/>
      <c r="P61" s="11"/>
      <c r="Q61" s="11"/>
      <c r="R61" s="11"/>
      <c r="S61" s="13"/>
      <c r="V61" s="189"/>
    </row>
    <row r="62" spans="1:25" s="4" customFormat="1" ht="15">
      <c r="A62" s="14" t="s">
        <v>17</v>
      </c>
      <c r="B62" s="42">
        <f>SUM(B63:B93)</f>
        <v>238217.51510000002</v>
      </c>
      <c r="C62" s="17">
        <f>SUM(C63:C93)</f>
        <v>32310.483999999997</v>
      </c>
      <c r="D62" s="18">
        <f>SUM(D63:D90)</f>
        <v>2812.722</v>
      </c>
      <c r="E62" s="18">
        <f>SUM(E63:E91)</f>
        <v>2974.175</v>
      </c>
      <c r="F62" s="18">
        <f>SUM(F63:F91)</f>
        <v>1459.6559999999997</v>
      </c>
      <c r="G62" s="18">
        <f>SUM(G63:G91)</f>
        <v>1425.6139999999998</v>
      </c>
      <c r="H62" s="18">
        <f>SUM(H63:H91)</f>
        <v>12984.943</v>
      </c>
      <c r="I62" s="18">
        <f>SUM(I63:I91)</f>
        <v>13466.096</v>
      </c>
      <c r="J62" s="17">
        <f aca="true" t="shared" si="5" ref="I62:S62">SUM(J63:J93)</f>
        <v>31531.9731</v>
      </c>
      <c r="K62" s="18">
        <f t="shared" si="5"/>
        <v>15835.617999999999</v>
      </c>
      <c r="L62" s="19">
        <f t="shared" si="5"/>
        <v>15696.355099999999</v>
      </c>
      <c r="M62" s="17">
        <f t="shared" si="5"/>
        <v>174375.058</v>
      </c>
      <c r="N62" s="18">
        <f t="shared" si="5"/>
        <v>85028.43659999999</v>
      </c>
      <c r="O62" s="18">
        <f t="shared" si="5"/>
        <v>69036.61960000002</v>
      </c>
      <c r="P62" s="18">
        <f t="shared" si="5"/>
        <v>30752.649800000003</v>
      </c>
      <c r="Q62" s="18">
        <f t="shared" si="5"/>
        <v>26072.6013</v>
      </c>
      <c r="R62" s="61">
        <f t="shared" si="5"/>
        <v>10208.596100000002</v>
      </c>
      <c r="S62" s="20">
        <f t="shared" si="5"/>
        <v>22312.774200000003</v>
      </c>
      <c r="T62" s="20"/>
      <c r="U62" s="20"/>
      <c r="V62" s="190"/>
      <c r="W62" s="190"/>
      <c r="X62" s="190"/>
      <c r="Y62" s="190"/>
    </row>
    <row r="63" spans="1:25" s="4" customFormat="1" ht="15">
      <c r="A63" s="93" t="s">
        <v>55</v>
      </c>
      <c r="B63" s="42">
        <f aca="true" t="shared" si="6" ref="B63:B91">SUM(C63,J63,M63)</f>
        <v>23756.189000000002</v>
      </c>
      <c r="C63" s="17">
        <f aca="true" t="shared" si="7" ref="C63:C91">SUM(E63:I63)</f>
        <v>3538.205</v>
      </c>
      <c r="D63" s="18">
        <f>D14*0.9</f>
        <v>288</v>
      </c>
      <c r="E63" s="18">
        <f>E14*0.9</f>
        <v>299.7</v>
      </c>
      <c r="F63" s="18">
        <f>F14*0.99</f>
        <v>160.38</v>
      </c>
      <c r="G63" s="18">
        <f>G14*0.99</f>
        <v>156.42</v>
      </c>
      <c r="H63" s="18">
        <f>H14*0.977</f>
        <v>1501.649</v>
      </c>
      <c r="I63" s="18">
        <f>I14*0.968</f>
        <v>1420.056</v>
      </c>
      <c r="J63" s="17">
        <f aca="true" t="shared" si="8" ref="J63:J90">SUM(K63:L63)</f>
        <v>3155.924</v>
      </c>
      <c r="K63" s="18">
        <f>K14*0.916</f>
        <v>1644.22</v>
      </c>
      <c r="L63" s="18">
        <f>L14*0.932</f>
        <v>1511.7040000000002</v>
      </c>
      <c r="M63" s="95">
        <f>+N63+P63+Q63+R63+S63</f>
        <v>17062.06</v>
      </c>
      <c r="N63" s="18">
        <f>N14*0.87</f>
        <v>8185.83</v>
      </c>
      <c r="O63" s="18">
        <f>O14*0.857</f>
        <v>6569.762</v>
      </c>
      <c r="P63" s="18">
        <f>P14*0.851</f>
        <v>2924.036</v>
      </c>
      <c r="Q63" s="18">
        <f>Q14*0.835</f>
        <v>2577.645</v>
      </c>
      <c r="R63" s="18">
        <f>R14*0.875</f>
        <v>1050.875</v>
      </c>
      <c r="S63" s="18">
        <f>S14*0.999</f>
        <v>2323.674</v>
      </c>
      <c r="T63" s="44"/>
      <c r="V63" s="191"/>
      <c r="W63" s="186"/>
      <c r="X63" s="186"/>
      <c r="Y63" s="186"/>
    </row>
    <row r="64" spans="1:25" s="4" customFormat="1" ht="15">
      <c r="A64" s="93" t="s">
        <v>84</v>
      </c>
      <c r="B64" s="42">
        <f t="shared" si="6"/>
        <v>24392.405</v>
      </c>
      <c r="C64" s="17">
        <f t="shared" si="7"/>
        <v>3410.2439999999997</v>
      </c>
      <c r="D64" s="18">
        <f>D15*0.71</f>
        <v>313.82</v>
      </c>
      <c r="E64" s="18">
        <f>E15*0.71</f>
        <v>312.4</v>
      </c>
      <c r="F64" s="18">
        <f>F15*0.7</f>
        <v>154</v>
      </c>
      <c r="G64" s="18">
        <f>G15*0.7</f>
        <v>152.6</v>
      </c>
      <c r="H64" s="18">
        <f>H15*0.728</f>
        <v>1344.616</v>
      </c>
      <c r="I64" s="18">
        <f>I15*0.719</f>
        <v>1446.628</v>
      </c>
      <c r="J64" s="17">
        <f t="shared" si="8"/>
        <v>3529.103</v>
      </c>
      <c r="K64" s="18">
        <f>K15*0.753</f>
        <v>1804.941</v>
      </c>
      <c r="L64" s="18">
        <f>L15*0.7909</f>
        <v>1724.162</v>
      </c>
      <c r="M64" s="95">
        <f aca="true" t="shared" si="9" ref="M64:M90">+N64+P64+Q64+R64+S64</f>
        <v>17453.057999999997</v>
      </c>
      <c r="N64" s="18">
        <f>N15*0.69</f>
        <v>8982.42</v>
      </c>
      <c r="O64" s="18">
        <f>O15*0.692</f>
        <v>7415.472</v>
      </c>
      <c r="P64" s="18">
        <f>P15*0.651</f>
        <v>2804.5080000000003</v>
      </c>
      <c r="Q64" s="18">
        <f>Q15*0.624</f>
        <v>2432.352</v>
      </c>
      <c r="R64" s="18">
        <f>R15*0.641</f>
        <v>939.706</v>
      </c>
      <c r="S64" s="18">
        <f>S15*0.796</f>
        <v>2294.072</v>
      </c>
      <c r="T64" s="44"/>
      <c r="V64" s="191"/>
      <c r="W64" s="186"/>
      <c r="X64" s="186"/>
      <c r="Y64" s="186"/>
    </row>
    <row r="65" spans="1:25" s="4" customFormat="1" ht="15">
      <c r="A65" s="93" t="s">
        <v>85</v>
      </c>
      <c r="B65" s="42">
        <f t="shared" si="6"/>
        <v>33416.441</v>
      </c>
      <c r="C65" s="17">
        <f t="shared" si="7"/>
        <v>4875.266</v>
      </c>
      <c r="D65" s="18">
        <f>D16*0.99</f>
        <v>460.35</v>
      </c>
      <c r="E65" s="18">
        <f>E16*0.99</f>
        <v>455.4</v>
      </c>
      <c r="F65" s="18">
        <f>F16*0.99</f>
        <v>231.66</v>
      </c>
      <c r="G65" s="18">
        <f>G16*0.99</f>
        <v>223.74</v>
      </c>
      <c r="H65" s="18">
        <f>H16*0.967</f>
        <v>1893.386</v>
      </c>
      <c r="I65" s="18">
        <f>I16*0.99</f>
        <v>2071.08</v>
      </c>
      <c r="J65" s="17">
        <f t="shared" si="8"/>
        <v>4730.895</v>
      </c>
      <c r="K65" s="18">
        <f>K16*0.885</f>
        <v>2347.02</v>
      </c>
      <c r="L65" s="18">
        <f>L16*0.975</f>
        <v>2383.875</v>
      </c>
      <c r="M65" s="95">
        <f t="shared" si="9"/>
        <v>23810.28</v>
      </c>
      <c r="N65" s="18">
        <f>N16*0.932</f>
        <v>12790.768</v>
      </c>
      <c r="O65" s="18">
        <f>O16*0.91</f>
        <v>10210.2</v>
      </c>
      <c r="P65" s="18">
        <f>P16*0.824</f>
        <v>3791.2239999999997</v>
      </c>
      <c r="Q65" s="18">
        <f>Q16*0.799</f>
        <v>3295.076</v>
      </c>
      <c r="R65" s="18">
        <f>R16*0.79</f>
        <v>1235.56</v>
      </c>
      <c r="S65" s="18">
        <f>S16*0.877</f>
        <v>2697.652</v>
      </c>
      <c r="T65" s="44"/>
      <c r="V65" s="191"/>
      <c r="W65" s="186"/>
      <c r="X65" s="186"/>
      <c r="Y65" s="186"/>
    </row>
    <row r="66" spans="1:25" s="4" customFormat="1" ht="15">
      <c r="A66" s="99" t="s">
        <v>86</v>
      </c>
      <c r="B66" s="42">
        <f t="shared" si="6"/>
        <v>23184.863600000004</v>
      </c>
      <c r="C66" s="17">
        <f t="shared" si="7"/>
        <v>2857.7470000000003</v>
      </c>
      <c r="D66" s="18">
        <f>D17*0.76</f>
        <v>293.36</v>
      </c>
      <c r="E66" s="18">
        <f>E17*0.76</f>
        <v>293.36</v>
      </c>
      <c r="F66" s="18">
        <f>F17*0.65</f>
        <v>124.80000000000001</v>
      </c>
      <c r="G66" s="18">
        <f>G17*0.65</f>
        <v>124.15</v>
      </c>
      <c r="H66" s="18">
        <f>H17*0.729</f>
        <v>1205.037</v>
      </c>
      <c r="I66" s="18">
        <f>I17*0.64</f>
        <v>1110.4</v>
      </c>
      <c r="J66" s="17">
        <f t="shared" si="8"/>
        <v>2765.763</v>
      </c>
      <c r="K66" s="18">
        <f>K17*0.611</f>
        <v>1350.921</v>
      </c>
      <c r="L66" s="18">
        <f>L17*0.663</f>
        <v>1414.842</v>
      </c>
      <c r="M66" s="95">
        <f t="shared" si="9"/>
        <v>17561.353600000002</v>
      </c>
      <c r="N66" s="18">
        <f>N17*0.6511</f>
        <v>7869.1946</v>
      </c>
      <c r="O66" s="18">
        <f>O17*0.643</f>
        <v>6442.860000000001</v>
      </c>
      <c r="P66" s="18">
        <f>P17*0.802</f>
        <v>3353.9640000000004</v>
      </c>
      <c r="Q66" s="18">
        <f>Q17*0.804</f>
        <v>3009.3720000000003</v>
      </c>
      <c r="R66" s="18">
        <f>R17*0.653</f>
        <v>973.623</v>
      </c>
      <c r="S66" s="18">
        <f>S17*0.8</f>
        <v>2355.2000000000003</v>
      </c>
      <c r="T66" s="44"/>
      <c r="V66" s="191"/>
      <c r="W66" s="186"/>
      <c r="X66" s="186"/>
      <c r="Y66" s="186"/>
    </row>
    <row r="67" spans="1:25" s="4" customFormat="1" ht="15">
      <c r="A67" s="99" t="s">
        <v>87</v>
      </c>
      <c r="B67" s="42">
        <f t="shared" si="6"/>
        <v>20377.918</v>
      </c>
      <c r="C67" s="17">
        <f t="shared" si="7"/>
        <v>2378.092</v>
      </c>
      <c r="D67" s="18">
        <f>D18*0.6</f>
        <v>176.4</v>
      </c>
      <c r="E67" s="18">
        <f>E18*0.79</f>
        <v>232.26000000000002</v>
      </c>
      <c r="F67" s="18">
        <f>F18*0.7</f>
        <v>101.5</v>
      </c>
      <c r="G67" s="18">
        <f>G18*0.6</f>
        <v>86.39999999999999</v>
      </c>
      <c r="H67" s="18">
        <f>H18*0.72</f>
        <v>904.3199999999999</v>
      </c>
      <c r="I67" s="18">
        <f>I18*0.777</f>
        <v>1053.612</v>
      </c>
      <c r="J67" s="17">
        <f t="shared" si="8"/>
        <v>2547.115</v>
      </c>
      <c r="K67" s="18">
        <f>K18*0.72</f>
        <v>1247.04</v>
      </c>
      <c r="L67" s="18">
        <f>L18*0.805</f>
        <v>1300.075</v>
      </c>
      <c r="M67" s="95">
        <f t="shared" si="9"/>
        <v>15452.711000000001</v>
      </c>
      <c r="N67" s="18">
        <f>N18*0.7183</f>
        <v>6622.726000000001</v>
      </c>
      <c r="O67" s="18">
        <f>O18*0.717</f>
        <v>5470.71</v>
      </c>
      <c r="P67" s="18">
        <f>P18*0.893</f>
        <v>2857.6</v>
      </c>
      <c r="Q67" s="18">
        <f>Q18*0.832</f>
        <v>2552.576</v>
      </c>
      <c r="R67" s="18">
        <f>R18*0.894</f>
        <v>1110.348</v>
      </c>
      <c r="S67" s="18">
        <f>S18*0.979</f>
        <v>2309.461</v>
      </c>
      <c r="T67" s="44"/>
      <c r="V67" s="191"/>
      <c r="W67" s="186"/>
      <c r="X67" s="186"/>
      <c r="Y67" s="186"/>
    </row>
    <row r="68" spans="1:25" s="4" customFormat="1" ht="15">
      <c r="A68" s="69" t="s">
        <v>56</v>
      </c>
      <c r="B68" s="42">
        <f t="shared" si="6"/>
        <v>11215.0231</v>
      </c>
      <c r="C68" s="17">
        <f t="shared" si="7"/>
        <v>1701.4450000000002</v>
      </c>
      <c r="D68" s="18">
        <f>D19*0.999</f>
        <v>147.852</v>
      </c>
      <c r="E68" s="18">
        <f>E19*0.999</f>
        <v>144.855</v>
      </c>
      <c r="F68" s="18">
        <f>F19</f>
        <v>75</v>
      </c>
      <c r="G68" s="18">
        <f>G19</f>
        <v>73</v>
      </c>
      <c r="H68" s="18">
        <f>H19*0.999</f>
        <v>664.335</v>
      </c>
      <c r="I68" s="18">
        <f>I19*0.999</f>
        <v>744.255</v>
      </c>
      <c r="J68" s="17">
        <f t="shared" si="8"/>
        <v>1497.1221</v>
      </c>
      <c r="K68" s="18">
        <f>K19*0.999</f>
        <v>808.191</v>
      </c>
      <c r="L68" s="18">
        <f>L19*0.9999</f>
        <v>688.9311</v>
      </c>
      <c r="M68" s="95">
        <f t="shared" si="9"/>
        <v>8016.456</v>
      </c>
      <c r="N68" s="18">
        <f>N19*0.9999</f>
        <v>4089.591</v>
      </c>
      <c r="O68" s="18">
        <f>O19*0.9999</f>
        <v>3423.6576</v>
      </c>
      <c r="P68" s="18">
        <f>P19*0.9999</f>
        <v>1521.8478</v>
      </c>
      <c r="Q68" s="18">
        <f>Q19*0.9999</f>
        <v>1136.8863000000001</v>
      </c>
      <c r="R68" s="61">
        <f>R19*0.9999</f>
        <v>450.9549</v>
      </c>
      <c r="S68" s="20">
        <f>S19*0.948</f>
        <v>817.1759999999999</v>
      </c>
      <c r="T68" s="44"/>
      <c r="V68" s="191"/>
      <c r="W68" s="186"/>
      <c r="X68" s="186"/>
      <c r="Y68" s="186"/>
    </row>
    <row r="69" spans="1:25" s="4" customFormat="1" ht="15">
      <c r="A69" s="105" t="s">
        <v>57</v>
      </c>
      <c r="B69" s="42">
        <f t="shared" si="6"/>
        <v>10608.148000000001</v>
      </c>
      <c r="C69" s="17">
        <f t="shared" si="7"/>
        <v>1539.96</v>
      </c>
      <c r="D69" s="18">
        <f>D20*0.7</f>
        <v>99.39999999999999</v>
      </c>
      <c r="E69" s="18">
        <f>E20*0.83</f>
        <v>119.52</v>
      </c>
      <c r="F69" s="18">
        <f>F20*0.78</f>
        <v>53.82</v>
      </c>
      <c r="G69" s="18">
        <f>G20*0.78</f>
        <v>53.82</v>
      </c>
      <c r="H69" s="18">
        <f>H20*0.948</f>
        <v>692.04</v>
      </c>
      <c r="I69" s="18">
        <f>I20*0.84</f>
        <v>620.76</v>
      </c>
      <c r="J69" s="17">
        <f t="shared" si="8"/>
        <v>1494.019</v>
      </c>
      <c r="K69" s="18">
        <f>K20*0.836</f>
        <v>731.5</v>
      </c>
      <c r="L69" s="18">
        <f>L20*0.989</f>
        <v>762.519</v>
      </c>
      <c r="M69" s="95">
        <f t="shared" si="9"/>
        <v>7574.169</v>
      </c>
      <c r="N69" s="18">
        <f>N20*0.846</f>
        <v>3685.176</v>
      </c>
      <c r="O69" s="18">
        <f>O20*0.823</f>
        <v>3006.419</v>
      </c>
      <c r="P69" s="18">
        <f>P20*0.843</f>
        <v>1406.9669999999999</v>
      </c>
      <c r="Q69" s="18">
        <f>Q20*0.748</f>
        <v>1033.736</v>
      </c>
      <c r="R69" s="18">
        <f>R20*0.83</f>
        <v>436.58</v>
      </c>
      <c r="S69" s="18">
        <f>S20*0.97</f>
        <v>1011.7099999999999</v>
      </c>
      <c r="T69" s="44"/>
      <c r="V69" s="191"/>
      <c r="W69" s="186"/>
      <c r="X69" s="186"/>
      <c r="Y69" s="186"/>
    </row>
    <row r="70" spans="1:25" s="4" customFormat="1" ht="15">
      <c r="A70" s="105" t="s">
        <v>58</v>
      </c>
      <c r="B70" s="42">
        <f t="shared" si="6"/>
        <v>13649.4638</v>
      </c>
      <c r="C70" s="17">
        <f>SUM(E70:I70)</f>
        <v>1787</v>
      </c>
      <c r="D70" s="18">
        <f>D21*0.98</f>
        <v>156.8</v>
      </c>
      <c r="E70" s="18">
        <f>E21*1</f>
        <v>163</v>
      </c>
      <c r="F70" s="18">
        <f>F21</f>
        <v>75</v>
      </c>
      <c r="G70" s="18">
        <f>G21</f>
        <v>75</v>
      </c>
      <c r="H70" s="18">
        <f>H21*1</f>
        <v>712</v>
      </c>
      <c r="I70" s="18">
        <f>I21*1</f>
        <v>762</v>
      </c>
      <c r="J70" s="17">
        <f>SUM(K70:L70)</f>
        <v>1780.484</v>
      </c>
      <c r="K70" s="18">
        <f>K21*0.972</f>
        <v>920.4839999999999</v>
      </c>
      <c r="L70" s="18">
        <f>L21*1</f>
        <v>860</v>
      </c>
      <c r="M70" s="95">
        <f>+N70+P70+Q70+R70+S70</f>
        <v>10081.9798</v>
      </c>
      <c r="N70" s="18">
        <f>N21*1</f>
        <v>4939</v>
      </c>
      <c r="O70" s="18">
        <f>O21*1</f>
        <v>4013</v>
      </c>
      <c r="P70" s="18">
        <f>P21*1</f>
        <v>1764</v>
      </c>
      <c r="Q70" s="18">
        <f>Q21*0.981</f>
        <v>1510.74</v>
      </c>
      <c r="R70" s="61">
        <f>R21*0.999</f>
        <v>636.3629999999999</v>
      </c>
      <c r="S70" s="20">
        <f>S21*0.9999</f>
        <v>1231.8768</v>
      </c>
      <c r="T70" s="44"/>
      <c r="V70" s="191"/>
      <c r="W70" s="186"/>
      <c r="X70" s="186"/>
      <c r="Y70" s="186"/>
    </row>
    <row r="71" spans="1:25" s="4" customFormat="1" ht="15">
      <c r="A71" s="105" t="s">
        <v>59</v>
      </c>
      <c r="B71" s="42">
        <f t="shared" si="6"/>
        <v>8207.163</v>
      </c>
      <c r="C71" s="17">
        <f t="shared" si="7"/>
        <v>917.201</v>
      </c>
      <c r="D71" s="18">
        <f>D22*0.8</f>
        <v>90.4</v>
      </c>
      <c r="E71" s="18">
        <f>E22*0.829</f>
        <v>92.848</v>
      </c>
      <c r="F71" s="18">
        <f>F22*0.809</f>
        <v>45.304</v>
      </c>
      <c r="G71" s="18">
        <f>G22*0.768</f>
        <v>43.008</v>
      </c>
      <c r="H71" s="18">
        <f>H22*0.728</f>
        <v>365.456</v>
      </c>
      <c r="I71" s="18">
        <f>I22*0.685</f>
        <v>370.58500000000004</v>
      </c>
      <c r="J71" s="17">
        <f t="shared" si="8"/>
        <v>1028.946</v>
      </c>
      <c r="K71" s="18">
        <f>K22*0.719</f>
        <v>470.226</v>
      </c>
      <c r="L71" s="18">
        <f>L22*0.873</f>
        <v>558.72</v>
      </c>
      <c r="M71" s="95">
        <f t="shared" si="9"/>
        <v>6261.016000000001</v>
      </c>
      <c r="N71" s="18">
        <f>N22*0.812</f>
        <v>2704.7720000000004</v>
      </c>
      <c r="O71" s="18">
        <f>O22*0.822</f>
        <v>2286.804</v>
      </c>
      <c r="P71" s="18">
        <f>P22*0.873</f>
        <v>1204.74</v>
      </c>
      <c r="Q71" s="18">
        <f>Q22*0.752</f>
        <v>892.624</v>
      </c>
      <c r="R71" s="61">
        <f>R22*0.81</f>
        <v>404.19000000000005</v>
      </c>
      <c r="S71" s="20">
        <f>S22*0.91</f>
        <v>1054.69</v>
      </c>
      <c r="T71" s="44"/>
      <c r="V71" s="191"/>
      <c r="W71" s="186"/>
      <c r="X71" s="186"/>
      <c r="Y71" s="186"/>
    </row>
    <row r="72" spans="1:25" s="4" customFormat="1" ht="15">
      <c r="A72" s="105" t="s">
        <v>60</v>
      </c>
      <c r="B72" s="42">
        <f t="shared" si="6"/>
        <v>13727.6516</v>
      </c>
      <c r="C72" s="17">
        <f t="shared" si="7"/>
        <v>2023</v>
      </c>
      <c r="D72" s="18">
        <f>D23*0.95</f>
        <v>196.64999999999998</v>
      </c>
      <c r="E72" s="18">
        <f>E23*1</f>
        <v>202</v>
      </c>
      <c r="F72" s="18">
        <f>F23</f>
        <v>104</v>
      </c>
      <c r="G72" s="18">
        <f>G23</f>
        <v>104</v>
      </c>
      <c r="H72" s="18">
        <f>H23*1</f>
        <v>790</v>
      </c>
      <c r="I72" s="18">
        <f>I23*1</f>
        <v>823</v>
      </c>
      <c r="J72" s="17">
        <f>SUM(K72:L72)</f>
        <v>1831</v>
      </c>
      <c r="K72" s="18">
        <f>K23*1</f>
        <v>941</v>
      </c>
      <c r="L72" s="18">
        <f>L23*1</f>
        <v>890</v>
      </c>
      <c r="M72" s="95">
        <f>+N72+P72+Q72+R72+S72</f>
        <v>9873.6516</v>
      </c>
      <c r="N72" s="18">
        <f aca="true" t="shared" si="10" ref="N72:P73">N23*1</f>
        <v>5184</v>
      </c>
      <c r="O72" s="18">
        <f t="shared" si="10"/>
        <v>4226</v>
      </c>
      <c r="P72" s="18">
        <f t="shared" si="10"/>
        <v>1826</v>
      </c>
      <c r="Q72" s="18">
        <f>Q23*0.922</f>
        <v>1312.928</v>
      </c>
      <c r="R72" s="61">
        <f>R23*0.89</f>
        <v>486.83</v>
      </c>
      <c r="S72" s="20">
        <f>S23*0.9999</f>
        <v>1063.8936</v>
      </c>
      <c r="T72" s="44"/>
      <c r="V72" s="191"/>
      <c r="W72" s="186"/>
      <c r="X72" s="186"/>
      <c r="Y72" s="186"/>
    </row>
    <row r="73" spans="1:25" s="4" customFormat="1" ht="15">
      <c r="A73" s="105" t="s">
        <v>61</v>
      </c>
      <c r="B73" s="42">
        <f t="shared" si="6"/>
        <v>12577.677800000001</v>
      </c>
      <c r="C73" s="17">
        <f t="shared" si="7"/>
        <v>1668.836</v>
      </c>
      <c r="D73" s="18">
        <f>D24*0.9</f>
        <v>144.9</v>
      </c>
      <c r="E73" s="18">
        <f>E24*0.956</f>
        <v>154.87199999999999</v>
      </c>
      <c r="F73" s="18">
        <f>F24</f>
        <v>81</v>
      </c>
      <c r="G73" s="18">
        <f>G24</f>
        <v>80</v>
      </c>
      <c r="H73" s="18">
        <f>H24*0.98</f>
        <v>693.84</v>
      </c>
      <c r="I73" s="18">
        <f>I24*0.918</f>
        <v>659.124</v>
      </c>
      <c r="J73" s="17">
        <f>SUM(K73:L73)</f>
        <v>1624.228</v>
      </c>
      <c r="K73" s="18">
        <f>K24*0.9</f>
        <v>778.5</v>
      </c>
      <c r="L73" s="18">
        <f>L24*0.988</f>
        <v>845.728</v>
      </c>
      <c r="M73" s="95">
        <f>+N73+P73+Q73+R73+S73</f>
        <v>9284.613800000001</v>
      </c>
      <c r="N73" s="18">
        <f t="shared" si="10"/>
        <v>4569</v>
      </c>
      <c r="O73" s="18">
        <f t="shared" si="10"/>
        <v>3677</v>
      </c>
      <c r="P73" s="18">
        <f t="shared" si="10"/>
        <v>1709</v>
      </c>
      <c r="Q73" s="18">
        <f>Q24*0.95</f>
        <v>1446.85</v>
      </c>
      <c r="R73" s="61">
        <f>R24*0.94</f>
        <v>503.84</v>
      </c>
      <c r="S73" s="20">
        <f>S24*0.9759</f>
        <v>1055.9238</v>
      </c>
      <c r="T73" s="44"/>
      <c r="V73" s="191"/>
      <c r="W73" s="186"/>
      <c r="X73" s="186"/>
      <c r="Y73" s="186"/>
    </row>
    <row r="74" spans="1:25" s="4" customFormat="1" ht="15">
      <c r="A74" s="105" t="s">
        <v>78</v>
      </c>
      <c r="B74" s="42">
        <f t="shared" si="6"/>
        <v>6823.860000000001</v>
      </c>
      <c r="C74" s="17">
        <f t="shared" si="7"/>
        <v>717.49</v>
      </c>
      <c r="D74" s="18">
        <f>D25*0.73</f>
        <v>65.7</v>
      </c>
      <c r="E74" s="18">
        <f>E25*0.73</f>
        <v>64.24</v>
      </c>
      <c r="F74" s="18">
        <f>F25*0.49</f>
        <v>23.52</v>
      </c>
      <c r="G74" s="18">
        <f>G25*0.7</f>
        <v>32.9</v>
      </c>
      <c r="H74" s="18">
        <f>H25*0.58</f>
        <v>259.84</v>
      </c>
      <c r="I74" s="18">
        <f>I25*0.705</f>
        <v>336.99</v>
      </c>
      <c r="J74" s="17">
        <f t="shared" si="8"/>
        <v>782.22</v>
      </c>
      <c r="K74" s="18">
        <f>K25*0.764</f>
        <v>404.92</v>
      </c>
      <c r="L74" s="18">
        <f>L25*0.77</f>
        <v>377.3</v>
      </c>
      <c r="M74" s="95">
        <f t="shared" si="9"/>
        <v>5324.150000000001</v>
      </c>
      <c r="N74" s="18">
        <f>N25*0.975</f>
        <v>2778.75</v>
      </c>
      <c r="O74" s="18">
        <f>O25*0.99</f>
        <v>2210.67</v>
      </c>
      <c r="P74" s="18">
        <f>P25*0.99</f>
        <v>871.2</v>
      </c>
      <c r="Q74" s="18">
        <f>Q25*0.935</f>
        <v>738.6500000000001</v>
      </c>
      <c r="R74" s="61">
        <f>R25*0.99</f>
        <v>311.85</v>
      </c>
      <c r="S74" s="20">
        <f>S25*0.99</f>
        <v>623.7</v>
      </c>
      <c r="T74" s="44"/>
      <c r="V74" s="191"/>
      <c r="W74" s="186"/>
      <c r="X74" s="186"/>
      <c r="Y74" s="186"/>
    </row>
    <row r="75" spans="1:25" s="4" customFormat="1" ht="15">
      <c r="A75" s="105" t="s">
        <v>62</v>
      </c>
      <c r="B75" s="42">
        <f t="shared" si="6"/>
        <v>7400.477000000001</v>
      </c>
      <c r="C75" s="17">
        <f t="shared" si="7"/>
        <v>864.4180000000001</v>
      </c>
      <c r="D75" s="18">
        <f>D26*0.8</f>
        <v>75.2</v>
      </c>
      <c r="E75" s="18">
        <f>E26*0.95</f>
        <v>90.25</v>
      </c>
      <c r="F75" s="18">
        <f>F26*0.91</f>
        <v>42.77</v>
      </c>
      <c r="G75" s="18">
        <f>G26*0.91</f>
        <v>42.77</v>
      </c>
      <c r="H75" s="18">
        <f>H26*0.806</f>
        <v>316.75800000000004</v>
      </c>
      <c r="I75" s="18">
        <f>I26*0.907</f>
        <v>371.87</v>
      </c>
      <c r="J75" s="17">
        <f t="shared" si="8"/>
        <v>1012.764</v>
      </c>
      <c r="K75" s="18">
        <f>K26*1</f>
        <v>542</v>
      </c>
      <c r="L75" s="18">
        <f>L26*0.989</f>
        <v>470.764</v>
      </c>
      <c r="M75" s="95">
        <f t="shared" si="9"/>
        <v>5523.295</v>
      </c>
      <c r="N75" s="18">
        <f>N26*1</f>
        <v>2715</v>
      </c>
      <c r="O75" s="18">
        <f>O26*1</f>
        <v>2219</v>
      </c>
      <c r="P75" s="18">
        <f>P26*1</f>
        <v>995</v>
      </c>
      <c r="Q75" s="18">
        <f>Q26*0.983</f>
        <v>932.867</v>
      </c>
      <c r="R75" s="61">
        <f>R26*0.927</f>
        <v>337.428</v>
      </c>
      <c r="S75" s="20">
        <f>S26*0.905</f>
        <v>543</v>
      </c>
      <c r="T75" s="44"/>
      <c r="V75" s="191"/>
      <c r="W75" s="186"/>
      <c r="X75" s="186"/>
      <c r="Y75" s="186"/>
    </row>
    <row r="76" spans="1:25" s="4" customFormat="1" ht="15">
      <c r="A76" s="109" t="s">
        <v>79</v>
      </c>
      <c r="B76" s="42">
        <f t="shared" si="6"/>
        <v>3474.949</v>
      </c>
      <c r="C76" s="17">
        <f t="shared" si="7"/>
        <v>528.826</v>
      </c>
      <c r="D76" s="18">
        <f>D27*0.99</f>
        <v>46.53</v>
      </c>
      <c r="E76" s="18">
        <f>E27*0.99</f>
        <v>44.55</v>
      </c>
      <c r="F76" s="18">
        <f>F27*0.99</f>
        <v>25.74</v>
      </c>
      <c r="G76" s="18">
        <f>G27*0.99</f>
        <v>24.75</v>
      </c>
      <c r="H76" s="18">
        <f>H27*0.967</f>
        <v>201.136</v>
      </c>
      <c r="I76" s="18">
        <f>I27*0.99</f>
        <v>232.65</v>
      </c>
      <c r="J76" s="17">
        <f t="shared" si="8"/>
        <v>465.42</v>
      </c>
      <c r="K76" s="18">
        <f>K27*0.885</f>
        <v>236.29500000000002</v>
      </c>
      <c r="L76" s="18">
        <f>L27*0.975</f>
        <v>229.125</v>
      </c>
      <c r="M76" s="95">
        <f t="shared" si="9"/>
        <v>2480.703</v>
      </c>
      <c r="N76" s="18">
        <f>N27*0.932</f>
        <v>1362.584</v>
      </c>
      <c r="O76" s="18">
        <f>O27*0.91</f>
        <v>1101.1000000000001</v>
      </c>
      <c r="P76" s="18">
        <f>P27*0.824</f>
        <v>369.976</v>
      </c>
      <c r="Q76" s="18">
        <f>Q27*0.799</f>
        <v>335.58000000000004</v>
      </c>
      <c r="R76" s="18">
        <f>R27*0.79</f>
        <v>124.03</v>
      </c>
      <c r="S76" s="18">
        <f>S27*0.877</f>
        <v>288.533</v>
      </c>
      <c r="T76" s="44"/>
      <c r="V76" s="191"/>
      <c r="W76" s="186"/>
      <c r="X76" s="186"/>
      <c r="Y76" s="186"/>
    </row>
    <row r="77" spans="1:25" s="4" customFormat="1" ht="15">
      <c r="A77" s="109" t="s">
        <v>50</v>
      </c>
      <c r="B77" s="42">
        <f t="shared" si="6"/>
        <v>2883.56</v>
      </c>
      <c r="C77" s="17">
        <f t="shared" si="7"/>
        <v>422.26200000000006</v>
      </c>
      <c r="D77" s="18">
        <f>D28*0.6</f>
        <v>31.2</v>
      </c>
      <c r="E77" s="18">
        <f>E28*0.8</f>
        <v>40.800000000000004</v>
      </c>
      <c r="F77" s="18">
        <f>F28*0.809</f>
        <v>24.270000000000003</v>
      </c>
      <c r="G77" s="18">
        <f>G28*0.768</f>
        <v>22.272000000000002</v>
      </c>
      <c r="H77" s="18">
        <f>H28*0.73</f>
        <v>159.87</v>
      </c>
      <c r="I77" s="18">
        <f>I28*0.778</f>
        <v>175.05</v>
      </c>
      <c r="J77" s="17">
        <f t="shared" si="8"/>
        <v>359.37</v>
      </c>
      <c r="K77" s="18">
        <f>K28*0.72</f>
        <v>183.6</v>
      </c>
      <c r="L77" s="18">
        <f>L28*0.81</f>
        <v>175.77</v>
      </c>
      <c r="M77" s="95">
        <f t="shared" si="9"/>
        <v>2101.928</v>
      </c>
      <c r="N77" s="18">
        <f>N28*0.719</f>
        <v>959.146</v>
      </c>
      <c r="O77" s="18">
        <f>O28*0.717</f>
        <v>702.66</v>
      </c>
      <c r="P77" s="18">
        <f>P28*0.893</f>
        <v>408.994</v>
      </c>
      <c r="Q77" s="18">
        <f>Q28*0.832</f>
        <v>334.464</v>
      </c>
      <c r="R77" s="61">
        <f>R28*0.894</f>
        <v>134.994</v>
      </c>
      <c r="S77" s="20">
        <f>S28*0.979</f>
        <v>264.33</v>
      </c>
      <c r="T77" s="44"/>
      <c r="V77" s="191"/>
      <c r="W77" s="186"/>
      <c r="X77" s="186"/>
      <c r="Y77" s="186"/>
    </row>
    <row r="78" spans="1:25" s="4" customFormat="1" ht="15">
      <c r="A78" s="109" t="s">
        <v>80</v>
      </c>
      <c r="B78" s="42">
        <f t="shared" si="6"/>
        <v>3561.5280000000002</v>
      </c>
      <c r="C78" s="17">
        <f t="shared" si="7"/>
        <v>509.82</v>
      </c>
      <c r="D78" s="18">
        <f>D29*0.7</f>
        <v>35</v>
      </c>
      <c r="E78" s="18">
        <f>E29*0.8</f>
        <v>41.6</v>
      </c>
      <c r="F78" s="18">
        <f>F29*0.8</f>
        <v>20.8</v>
      </c>
      <c r="G78" s="18">
        <f>G29*0.7</f>
        <v>18.2</v>
      </c>
      <c r="H78" s="18">
        <f>H29*0.94</f>
        <v>220.89999999999998</v>
      </c>
      <c r="I78" s="18">
        <f>I29*0.84</f>
        <v>208.32</v>
      </c>
      <c r="J78" s="17">
        <f t="shared" si="8"/>
        <v>515.0899999999999</v>
      </c>
      <c r="K78" s="18">
        <f>K29*0.83</f>
        <v>239.86999999999998</v>
      </c>
      <c r="L78" s="18">
        <f>L29*0.99</f>
        <v>275.21999999999997</v>
      </c>
      <c r="M78" s="95">
        <f>+N78+P78+Q78+R78+S78</f>
        <v>2536.6180000000004</v>
      </c>
      <c r="N78" s="18">
        <f>N29*0.846</f>
        <v>1233.468</v>
      </c>
      <c r="O78" s="18">
        <f>O29*0.825</f>
        <v>994.125</v>
      </c>
      <c r="P78" s="18">
        <f>P29*0.85</f>
        <v>456.45</v>
      </c>
      <c r="Q78" s="18">
        <f>Q29*0.75</f>
        <v>360</v>
      </c>
      <c r="R78" s="18">
        <f>R29*0.83</f>
        <v>139.44</v>
      </c>
      <c r="S78" s="18">
        <f>S29*0.97</f>
        <v>347.26</v>
      </c>
      <c r="T78" s="44"/>
      <c r="V78" s="191"/>
      <c r="W78" s="186"/>
      <c r="X78" s="186"/>
      <c r="Y78" s="186"/>
    </row>
    <row r="79" spans="1:25" s="4" customFormat="1" ht="15">
      <c r="A79" s="109" t="s">
        <v>51</v>
      </c>
      <c r="B79" s="42">
        <f t="shared" si="6"/>
        <v>2051.9399999999996</v>
      </c>
      <c r="C79" s="17">
        <f t="shared" si="7"/>
        <v>242.37</v>
      </c>
      <c r="D79" s="18">
        <f>D30*0.9</f>
        <v>19.8</v>
      </c>
      <c r="E79" s="18">
        <f>E30*0.95</f>
        <v>20.9</v>
      </c>
      <c r="F79" s="18">
        <f aca="true" t="shared" si="11" ref="F79:G81">F30</f>
        <v>10</v>
      </c>
      <c r="G79" s="18">
        <f t="shared" si="11"/>
        <v>10</v>
      </c>
      <c r="H79" s="18">
        <f>H30*0.99</f>
        <v>103.95</v>
      </c>
      <c r="I79" s="18">
        <f>I30*0.92</f>
        <v>97.52000000000001</v>
      </c>
      <c r="J79" s="17">
        <f>SUM(K79:L79)</f>
        <v>223.62</v>
      </c>
      <c r="K79" s="18">
        <f>K30*0.89</f>
        <v>106.8</v>
      </c>
      <c r="L79" s="18">
        <f>L30*0.99</f>
        <v>116.82</v>
      </c>
      <c r="M79" s="95">
        <f>+N79+P79+Q79+R79+S79</f>
        <v>1585.9499999999998</v>
      </c>
      <c r="N79" s="18">
        <f aca="true" t="shared" si="12" ref="N79:P81">N30*1</f>
        <v>696</v>
      </c>
      <c r="O79" s="18">
        <f t="shared" si="12"/>
        <v>586</v>
      </c>
      <c r="P79" s="18">
        <f t="shared" si="12"/>
        <v>280</v>
      </c>
      <c r="Q79" s="18">
        <f>Q30*0.95</f>
        <v>254.6</v>
      </c>
      <c r="R79" s="61">
        <f>R30*0.95</f>
        <v>131.1</v>
      </c>
      <c r="S79" s="20">
        <f>S30*0.975</f>
        <v>224.25</v>
      </c>
      <c r="T79" s="44"/>
      <c r="V79" s="191"/>
      <c r="W79" s="186"/>
      <c r="X79" s="186"/>
      <c r="Y79" s="186"/>
    </row>
    <row r="80" spans="1:25" s="4" customFormat="1" ht="15">
      <c r="A80" s="109" t="s">
        <v>81</v>
      </c>
      <c r="B80" s="42">
        <f t="shared" si="6"/>
        <v>1505.0644</v>
      </c>
      <c r="C80" s="17">
        <f>SUM(E80:I80)</f>
        <v>222</v>
      </c>
      <c r="D80" s="18">
        <f>D31*0.98</f>
        <v>11.76</v>
      </c>
      <c r="E80" s="18">
        <f>E31*1</f>
        <v>13</v>
      </c>
      <c r="F80" s="18">
        <f t="shared" si="11"/>
        <v>11</v>
      </c>
      <c r="G80" s="18">
        <f t="shared" si="11"/>
        <v>11</v>
      </c>
      <c r="H80" s="18">
        <f>H31*1</f>
        <v>91</v>
      </c>
      <c r="I80" s="18">
        <f>I31*1</f>
        <v>96</v>
      </c>
      <c r="J80" s="17">
        <f>SUM(K80:L80)</f>
        <v>185</v>
      </c>
      <c r="K80" s="18">
        <f>K31*1</f>
        <v>99</v>
      </c>
      <c r="L80" s="18">
        <f>L31*1</f>
        <v>86</v>
      </c>
      <c r="M80" s="95">
        <f>+N80+P80+Q80+R80+S80</f>
        <v>1098.0644</v>
      </c>
      <c r="N80" s="18">
        <f t="shared" si="12"/>
        <v>475</v>
      </c>
      <c r="O80" s="18">
        <f t="shared" si="12"/>
        <v>440</v>
      </c>
      <c r="P80" s="18">
        <f t="shared" si="12"/>
        <v>178</v>
      </c>
      <c r="Q80" s="18">
        <f>Q31*0.99</f>
        <v>189.09</v>
      </c>
      <c r="R80" s="61">
        <f>R31*0.9999</f>
        <v>85.9914</v>
      </c>
      <c r="S80" s="20">
        <f>S31*0.9999</f>
        <v>169.983</v>
      </c>
      <c r="T80" s="44"/>
      <c r="V80" s="191"/>
      <c r="W80" s="186"/>
      <c r="X80" s="186"/>
      <c r="Y80" s="186"/>
    </row>
    <row r="81" spans="1:25" s="4" customFormat="1" ht="15">
      <c r="A81" s="192" t="s">
        <v>89</v>
      </c>
      <c r="B81" s="42">
        <f>SUM(C81,J81,M81)</f>
        <v>1373.2163</v>
      </c>
      <c r="C81" s="17">
        <f>SUM(E81:I81)</f>
        <v>159</v>
      </c>
      <c r="D81" s="18">
        <f>D32*0.98</f>
        <v>18.62</v>
      </c>
      <c r="E81" s="18">
        <f>E32*1</f>
        <v>19</v>
      </c>
      <c r="F81" s="18">
        <f t="shared" si="11"/>
        <v>9</v>
      </c>
      <c r="G81" s="18">
        <f t="shared" si="11"/>
        <v>9</v>
      </c>
      <c r="H81" s="18">
        <f>H32*1</f>
        <v>59</v>
      </c>
      <c r="I81" s="18">
        <f>I32*1</f>
        <v>63</v>
      </c>
      <c r="J81" s="17">
        <f>SUM(K81:L81)</f>
        <v>178</v>
      </c>
      <c r="K81" s="18">
        <f>K32*1</f>
        <v>90</v>
      </c>
      <c r="L81" s="18">
        <f>L32*1</f>
        <v>88</v>
      </c>
      <c r="M81" s="95">
        <f>+N81+P81+Q81+R81+S81</f>
        <v>1036.2163</v>
      </c>
      <c r="N81" s="18">
        <f t="shared" si="12"/>
        <v>465</v>
      </c>
      <c r="O81" s="18">
        <f t="shared" si="12"/>
        <v>331</v>
      </c>
      <c r="P81" s="18">
        <f t="shared" si="12"/>
        <v>160</v>
      </c>
      <c r="Q81" s="18">
        <f>Q32*0.99</f>
        <v>174.24</v>
      </c>
      <c r="R81" s="61">
        <f>R32*0.9999</f>
        <v>71.9928</v>
      </c>
      <c r="S81" s="20">
        <f>S32*0.9999</f>
        <v>164.9835</v>
      </c>
      <c r="T81" s="44"/>
      <c r="V81" s="191"/>
      <c r="W81" s="186"/>
      <c r="X81" s="186"/>
      <c r="Y81" s="186"/>
    </row>
    <row r="82" spans="1:25" s="4" customFormat="1" ht="15">
      <c r="A82" s="105" t="s">
        <v>63</v>
      </c>
      <c r="B82" s="42">
        <f t="shared" si="6"/>
        <v>1444.4899999999998</v>
      </c>
      <c r="C82" s="17">
        <f t="shared" si="7"/>
        <v>203.26</v>
      </c>
      <c r="D82" s="18">
        <f>D33*0.7</f>
        <v>14.7</v>
      </c>
      <c r="E82" s="18">
        <f aca="true" t="shared" si="13" ref="E82:G84">E33*0.8</f>
        <v>17.6</v>
      </c>
      <c r="F82" s="18">
        <f t="shared" si="13"/>
        <v>8.8</v>
      </c>
      <c r="G82" s="18">
        <f t="shared" si="13"/>
        <v>8.8</v>
      </c>
      <c r="H82" s="18">
        <f>H33*0.94</f>
        <v>87.42</v>
      </c>
      <c r="I82" s="18">
        <f>I33*0.84</f>
        <v>80.64</v>
      </c>
      <c r="J82" s="17">
        <f t="shared" si="8"/>
        <v>187.14</v>
      </c>
      <c r="K82" s="18">
        <f>K33*0.83</f>
        <v>87.14999999999999</v>
      </c>
      <c r="L82" s="18">
        <f>L33*0.99</f>
        <v>99.99</v>
      </c>
      <c r="M82" s="95">
        <f t="shared" si="9"/>
        <v>1054.09</v>
      </c>
      <c r="N82" s="18">
        <f>N33*0.846</f>
        <v>507.59999999999997</v>
      </c>
      <c r="O82" s="18">
        <f>O33*0.82</f>
        <v>389.5</v>
      </c>
      <c r="P82" s="18">
        <f>P33*0.85</f>
        <v>199.75</v>
      </c>
      <c r="Q82" s="18">
        <f>Q33*0.75</f>
        <v>142.5</v>
      </c>
      <c r="R82" s="18">
        <f>R33*0.82</f>
        <v>60.68</v>
      </c>
      <c r="S82" s="18">
        <f>S33*0.97</f>
        <v>143.56</v>
      </c>
      <c r="T82" s="44"/>
      <c r="V82" s="191"/>
      <c r="W82" s="186"/>
      <c r="X82" s="186"/>
      <c r="Y82" s="186"/>
    </row>
    <row r="83" spans="1:25" s="4" customFormat="1" ht="15">
      <c r="A83" s="105" t="s">
        <v>64</v>
      </c>
      <c r="B83" s="42">
        <f t="shared" si="6"/>
        <v>728.496</v>
      </c>
      <c r="C83" s="17">
        <f t="shared" si="7"/>
        <v>102.14</v>
      </c>
      <c r="D83" s="18">
        <f>D34*0.7</f>
        <v>7</v>
      </c>
      <c r="E83" s="18">
        <f t="shared" si="13"/>
        <v>8.8</v>
      </c>
      <c r="F83" s="18">
        <f t="shared" si="13"/>
        <v>4</v>
      </c>
      <c r="G83" s="18">
        <f t="shared" si="13"/>
        <v>4</v>
      </c>
      <c r="H83" s="18">
        <f>H34*0.94</f>
        <v>44.18</v>
      </c>
      <c r="I83" s="18">
        <f>I34*0.84</f>
        <v>41.16</v>
      </c>
      <c r="J83" s="17">
        <f t="shared" si="8"/>
        <v>97.13</v>
      </c>
      <c r="K83" s="18">
        <f>K34*0.83</f>
        <v>45.65</v>
      </c>
      <c r="L83" s="18">
        <f>L34*0.99</f>
        <v>51.48</v>
      </c>
      <c r="M83" s="95">
        <f t="shared" si="9"/>
        <v>529.226</v>
      </c>
      <c r="N83" s="18">
        <f>N34*0.846</f>
        <v>254.646</v>
      </c>
      <c r="O83" s="18">
        <f>O34*0.82</f>
        <v>198.44</v>
      </c>
      <c r="P83" s="18">
        <f>P34*0.85</f>
        <v>98.6</v>
      </c>
      <c r="Q83" s="18">
        <f>Q34*0.75</f>
        <v>71.25</v>
      </c>
      <c r="R83" s="18">
        <f>R34*0.82</f>
        <v>31.979999999999997</v>
      </c>
      <c r="S83" s="18">
        <f>S34*0.97</f>
        <v>72.75</v>
      </c>
      <c r="T83" s="44"/>
      <c r="V83" s="191"/>
      <c r="W83" s="186"/>
      <c r="X83" s="186"/>
      <c r="Y83" s="186"/>
    </row>
    <row r="84" spans="1:25" s="4" customFormat="1" ht="15">
      <c r="A84" s="105" t="s">
        <v>65</v>
      </c>
      <c r="B84" s="42">
        <f t="shared" si="6"/>
        <v>1355.234</v>
      </c>
      <c r="C84" s="17">
        <f t="shared" si="7"/>
        <v>197.92</v>
      </c>
      <c r="D84" s="18">
        <f>D35*0.7</f>
        <v>14.7</v>
      </c>
      <c r="E84" s="18">
        <f t="shared" si="13"/>
        <v>17.6</v>
      </c>
      <c r="F84" s="18">
        <f t="shared" si="13"/>
        <v>8.8</v>
      </c>
      <c r="G84" s="18">
        <f t="shared" si="13"/>
        <v>8.8</v>
      </c>
      <c r="H84" s="18">
        <f>H35*0.94</f>
        <v>84.6</v>
      </c>
      <c r="I84" s="18">
        <f>I35*0.84</f>
        <v>78.11999999999999</v>
      </c>
      <c r="J84" s="17">
        <f t="shared" si="8"/>
        <v>182.67000000000002</v>
      </c>
      <c r="K84" s="18">
        <f>K35*0.83</f>
        <v>84.66</v>
      </c>
      <c r="L84" s="18">
        <f>L35*0.99</f>
        <v>98.01</v>
      </c>
      <c r="M84" s="95">
        <f t="shared" si="9"/>
        <v>974.644</v>
      </c>
      <c r="N84" s="18">
        <f>N35*0.846</f>
        <v>485.604</v>
      </c>
      <c r="O84" s="18">
        <f>O35*0.82</f>
        <v>381.29999999999995</v>
      </c>
      <c r="P84" s="18">
        <f>P35*0.85</f>
        <v>191.25</v>
      </c>
      <c r="Q84" s="18">
        <f>Q35*0.75</f>
        <v>112.5</v>
      </c>
      <c r="R84" s="18">
        <f>R35*0.82</f>
        <v>58.22</v>
      </c>
      <c r="S84" s="18">
        <f>S35*0.97</f>
        <v>127.07</v>
      </c>
      <c r="T84" s="44"/>
      <c r="V84" s="191"/>
      <c r="W84" s="186"/>
      <c r="X84" s="186"/>
      <c r="Y84" s="186"/>
    </row>
    <row r="85" spans="1:25" s="4" customFormat="1" ht="15">
      <c r="A85" s="105" t="s">
        <v>66</v>
      </c>
      <c r="B85" s="42">
        <f t="shared" si="6"/>
        <v>1490.3690000000001</v>
      </c>
      <c r="C85" s="17">
        <f t="shared" si="7"/>
        <v>235.146</v>
      </c>
      <c r="D85" s="18">
        <f>D36*0.6</f>
        <v>15</v>
      </c>
      <c r="E85" s="18">
        <f>E36*0.8</f>
        <v>20</v>
      </c>
      <c r="F85" s="18">
        <f>F36*0.75</f>
        <v>9.75</v>
      </c>
      <c r="G85" s="18">
        <f>G36*0.6</f>
        <v>7.8</v>
      </c>
      <c r="H85" s="18">
        <f>H36*0.73</f>
        <v>94.89999999999999</v>
      </c>
      <c r="I85" s="18">
        <f>I36*0.778</f>
        <v>102.696</v>
      </c>
      <c r="J85" s="17">
        <f t="shared" si="8"/>
        <v>217.71</v>
      </c>
      <c r="K85" s="18">
        <f>K36*0.72</f>
        <v>111.6</v>
      </c>
      <c r="L85" s="18">
        <f>L36*0.81</f>
        <v>106.11000000000001</v>
      </c>
      <c r="M85" s="95">
        <f t="shared" si="9"/>
        <v>1037.5130000000001</v>
      </c>
      <c r="N85" s="18">
        <f>N36*0.719</f>
        <v>394.731</v>
      </c>
      <c r="O85" s="18">
        <f>O36*0.717</f>
        <v>286.8</v>
      </c>
      <c r="P85" s="18">
        <f>P36*0.893</f>
        <v>224.143</v>
      </c>
      <c r="Q85" s="18">
        <f>Q36*0.832</f>
        <v>178.048</v>
      </c>
      <c r="R85" s="18">
        <f>R36*0.894</f>
        <v>84.93</v>
      </c>
      <c r="S85" s="18">
        <f>S36*0.979</f>
        <v>155.661</v>
      </c>
      <c r="T85" s="44"/>
      <c r="V85" s="191"/>
      <c r="W85" s="186"/>
      <c r="X85" s="186"/>
      <c r="Y85" s="186"/>
    </row>
    <row r="86" spans="1:25" s="4" customFormat="1" ht="15">
      <c r="A86" s="105" t="s">
        <v>67</v>
      </c>
      <c r="B86" s="42">
        <f t="shared" si="6"/>
        <v>2548.2295000000004</v>
      </c>
      <c r="C86" s="17">
        <f t="shared" si="7"/>
        <v>433</v>
      </c>
      <c r="D86" s="18">
        <f>D37*0.98</f>
        <v>30.38</v>
      </c>
      <c r="E86" s="18">
        <f>E37*1</f>
        <v>29</v>
      </c>
      <c r="F86" s="18">
        <f>F37</f>
        <v>15</v>
      </c>
      <c r="G86" s="18">
        <f>G37</f>
        <v>15</v>
      </c>
      <c r="H86" s="18">
        <f>H37*1</f>
        <v>182</v>
      </c>
      <c r="I86" s="18">
        <f>I37*1</f>
        <v>192</v>
      </c>
      <c r="J86" s="17">
        <f>SUM(K86:L86)</f>
        <v>347</v>
      </c>
      <c r="K86" s="18">
        <f>K37*1</f>
        <v>201</v>
      </c>
      <c r="L86" s="18">
        <f>L37*1</f>
        <v>146</v>
      </c>
      <c r="M86" s="95">
        <f>+N86+P86+Q86+R86+S86</f>
        <v>1768.2295000000001</v>
      </c>
      <c r="N86" s="18">
        <f>N37*1</f>
        <v>786</v>
      </c>
      <c r="O86" s="18">
        <f>O37*1</f>
        <v>739</v>
      </c>
      <c r="P86" s="18">
        <f>P37*1</f>
        <v>314</v>
      </c>
      <c r="Q86" s="18">
        <f>Q37*0.935</f>
        <v>302.005</v>
      </c>
      <c r="R86" s="61">
        <f>R37*0.89</f>
        <v>111.25</v>
      </c>
      <c r="S86" s="20">
        <f>S37*0.9999</f>
        <v>254.9745</v>
      </c>
      <c r="T86" s="44"/>
      <c r="V86" s="191"/>
      <c r="W86" s="186"/>
      <c r="X86" s="186"/>
      <c r="Y86" s="186"/>
    </row>
    <row r="87" spans="1:25" s="4" customFormat="1" ht="15">
      <c r="A87" s="105" t="s">
        <v>68</v>
      </c>
      <c r="B87" s="42">
        <f t="shared" si="6"/>
        <v>993.408</v>
      </c>
      <c r="C87" s="17">
        <f t="shared" si="7"/>
        <v>119.64599999999999</v>
      </c>
      <c r="D87" s="18">
        <f>D38*0.8</f>
        <v>13.600000000000001</v>
      </c>
      <c r="E87" s="18">
        <f>E38*0.83</f>
        <v>14.11</v>
      </c>
      <c r="F87" s="18">
        <f>F38*0.809</f>
        <v>6.472</v>
      </c>
      <c r="G87" s="18">
        <f>G38*0.768</f>
        <v>6.144</v>
      </c>
      <c r="H87" s="18">
        <f>H38*0.73</f>
        <v>46.72</v>
      </c>
      <c r="I87" s="18">
        <f>I38*0.7</f>
        <v>46.199999999999996</v>
      </c>
      <c r="J87" s="17">
        <f t="shared" si="8"/>
        <v>126.22</v>
      </c>
      <c r="K87" s="18">
        <f>K38*0.71</f>
        <v>56.8</v>
      </c>
      <c r="L87" s="18">
        <f>L38*0.89</f>
        <v>69.42</v>
      </c>
      <c r="M87" s="95">
        <f t="shared" si="9"/>
        <v>747.542</v>
      </c>
      <c r="N87" s="18">
        <f>N38*0.87</f>
        <v>349.74</v>
      </c>
      <c r="O87" s="18">
        <f>O38*0.82</f>
        <v>245.17999999999998</v>
      </c>
      <c r="P87" s="18">
        <f>P38*0.9</f>
        <v>128.70000000000002</v>
      </c>
      <c r="Q87" s="18">
        <f>Q38*0.751</f>
        <v>114.152</v>
      </c>
      <c r="R87" s="61">
        <f>R38*0.81</f>
        <v>44.550000000000004</v>
      </c>
      <c r="S87" s="20">
        <f>S38*0.92</f>
        <v>110.4</v>
      </c>
      <c r="T87" s="44"/>
      <c r="V87" s="191"/>
      <c r="W87" s="186"/>
      <c r="X87" s="186"/>
      <c r="Y87" s="186"/>
    </row>
    <row r="88" spans="1:25" s="4" customFormat="1" ht="15">
      <c r="A88" s="105" t="s">
        <v>69</v>
      </c>
      <c r="B88" s="42">
        <f t="shared" si="6"/>
        <v>1120.692</v>
      </c>
      <c r="C88" s="17">
        <f t="shared" si="7"/>
        <v>132.663</v>
      </c>
      <c r="D88" s="18">
        <f>D39*0.8</f>
        <v>13.600000000000001</v>
      </c>
      <c r="E88" s="18">
        <f>E39*0.83</f>
        <v>14.11</v>
      </c>
      <c r="F88" s="18">
        <f>F39*0.809</f>
        <v>7.281000000000001</v>
      </c>
      <c r="G88" s="18">
        <f>G39*0.768</f>
        <v>6.912</v>
      </c>
      <c r="H88" s="18">
        <f>H39*0.73</f>
        <v>52.56</v>
      </c>
      <c r="I88" s="18">
        <f>I39*0.7</f>
        <v>51.8</v>
      </c>
      <c r="J88" s="17">
        <f t="shared" si="8"/>
        <v>141.33</v>
      </c>
      <c r="K88" s="18">
        <f>K39*0.71</f>
        <v>63.9</v>
      </c>
      <c r="L88" s="18">
        <f>L39*0.89</f>
        <v>77.43</v>
      </c>
      <c r="M88" s="95">
        <f t="shared" si="9"/>
        <v>846.6989999999998</v>
      </c>
      <c r="N88" s="18">
        <f>N39*0.87</f>
        <v>396.71999999999997</v>
      </c>
      <c r="O88" s="18">
        <f>O39*0.82</f>
        <v>295.2</v>
      </c>
      <c r="P88" s="18">
        <f>P39*0.9</f>
        <v>134.1</v>
      </c>
      <c r="Q88" s="18">
        <f>Q39*0.751</f>
        <v>134.429</v>
      </c>
      <c r="R88" s="61">
        <f>R39*0.81</f>
        <v>52.650000000000006</v>
      </c>
      <c r="S88" s="20">
        <f>S39*0.92</f>
        <v>128.8</v>
      </c>
      <c r="T88" s="44"/>
      <c r="V88" s="191"/>
      <c r="W88" s="186"/>
      <c r="X88" s="186"/>
      <c r="Y88" s="186"/>
    </row>
    <row r="89" spans="1:25" s="4" customFormat="1" ht="15">
      <c r="A89" s="105" t="s">
        <v>70</v>
      </c>
      <c r="B89" s="42">
        <f t="shared" si="6"/>
        <v>921.0380000000001</v>
      </c>
      <c r="C89" s="17">
        <f t="shared" si="7"/>
        <v>108.706</v>
      </c>
      <c r="D89" s="18">
        <f>D40*0.8</f>
        <v>12</v>
      </c>
      <c r="E89" s="18">
        <f>E40*0.83</f>
        <v>12.45</v>
      </c>
      <c r="F89" s="18">
        <f>F40*0.809</f>
        <v>6.472</v>
      </c>
      <c r="G89" s="18">
        <f>G40*0.768</f>
        <v>6.144</v>
      </c>
      <c r="H89" s="18">
        <f>H40*0.73</f>
        <v>42.339999999999996</v>
      </c>
      <c r="I89" s="18">
        <f>I40*0.7</f>
        <v>41.3</v>
      </c>
      <c r="J89" s="17">
        <f t="shared" si="8"/>
        <v>122.13</v>
      </c>
      <c r="K89" s="18">
        <f>K40*0.71</f>
        <v>55.379999999999995</v>
      </c>
      <c r="L89" s="18">
        <f>L40*0.89</f>
        <v>66.75</v>
      </c>
      <c r="M89" s="95">
        <f t="shared" si="9"/>
        <v>690.2020000000001</v>
      </c>
      <c r="N89" s="18">
        <f>N40*0.87</f>
        <v>319.29</v>
      </c>
      <c r="O89" s="18">
        <f>O40*0.82</f>
        <v>237.79999999999998</v>
      </c>
      <c r="P89" s="18">
        <f>P40*0.9</f>
        <v>119.7</v>
      </c>
      <c r="Q89" s="18">
        <f>Q40*0.751</f>
        <v>106.642</v>
      </c>
      <c r="R89" s="61">
        <f>R40*0.81</f>
        <v>39.690000000000005</v>
      </c>
      <c r="S89" s="20">
        <f>S40*0.92</f>
        <v>104.88000000000001</v>
      </c>
      <c r="T89" s="44"/>
      <c r="V89" s="191"/>
      <c r="W89" s="186"/>
      <c r="X89" s="186"/>
      <c r="Y89" s="186"/>
    </row>
    <row r="90" spans="1:25" s="4" customFormat="1" ht="15">
      <c r="A90" s="105" t="s">
        <v>71</v>
      </c>
      <c r="B90" s="42">
        <f t="shared" si="6"/>
        <v>2094.92</v>
      </c>
      <c r="C90" s="17">
        <f t="shared" si="7"/>
        <v>233.481</v>
      </c>
      <c r="D90" s="18">
        <f>D41*0.8</f>
        <v>20</v>
      </c>
      <c r="E90" s="18">
        <f>E41*0.83</f>
        <v>20.75</v>
      </c>
      <c r="F90" s="18">
        <f>F41*0.809</f>
        <v>10.517000000000001</v>
      </c>
      <c r="G90" s="18">
        <f>G41*0.768</f>
        <v>9.984</v>
      </c>
      <c r="H90" s="18">
        <f>H41*0.73</f>
        <v>95.63</v>
      </c>
      <c r="I90" s="18">
        <f>I41*0.7</f>
        <v>96.6</v>
      </c>
      <c r="J90" s="17">
        <f t="shared" si="8"/>
        <v>243.55</v>
      </c>
      <c r="K90" s="18">
        <f>K41*0.71</f>
        <v>110.05</v>
      </c>
      <c r="L90" s="18">
        <f>L41*0.89</f>
        <v>133.5</v>
      </c>
      <c r="M90" s="95">
        <f t="shared" si="9"/>
        <v>1617.889</v>
      </c>
      <c r="N90" s="18">
        <f>N41*0.87</f>
        <v>751.68</v>
      </c>
      <c r="O90" s="18">
        <f>O41*0.82</f>
        <v>555.9599999999999</v>
      </c>
      <c r="P90" s="18">
        <f>P41*0.9</f>
        <v>297.90000000000003</v>
      </c>
      <c r="Q90" s="18">
        <f>Q41*0.751</f>
        <v>224.549</v>
      </c>
      <c r="R90" s="61">
        <f>R41*0.81</f>
        <v>97.2</v>
      </c>
      <c r="S90" s="20">
        <f>S41*0.92</f>
        <v>246.56</v>
      </c>
      <c r="T90" s="44"/>
      <c r="V90" s="191"/>
      <c r="W90" s="186"/>
      <c r="X90" s="186"/>
      <c r="Y90" s="186"/>
    </row>
    <row r="91" spans="1:25" s="4" customFormat="1" ht="15">
      <c r="A91" s="105" t="s">
        <v>72</v>
      </c>
      <c r="B91" s="42">
        <f t="shared" si="6"/>
        <v>1333.1</v>
      </c>
      <c r="C91" s="17">
        <f t="shared" si="7"/>
        <v>181.34</v>
      </c>
      <c r="D91" s="18">
        <f>D42*0.9</f>
        <v>14.4</v>
      </c>
      <c r="E91" s="18">
        <f>E42*0.95</f>
        <v>15.2</v>
      </c>
      <c r="F91" s="18">
        <f>F42</f>
        <v>9</v>
      </c>
      <c r="G91" s="18">
        <f>G42</f>
        <v>9</v>
      </c>
      <c r="H91" s="18">
        <f>H42*0.98</f>
        <v>75.46</v>
      </c>
      <c r="I91" s="18">
        <f>I42*0.92</f>
        <v>72.68</v>
      </c>
      <c r="J91" s="17">
        <f>SUM(K91:L91)</f>
        <v>161.01</v>
      </c>
      <c r="K91" s="18">
        <f>K42*0.81</f>
        <v>72.9</v>
      </c>
      <c r="L91" s="18">
        <f>L42*0.99</f>
        <v>88.11</v>
      </c>
      <c r="M91" s="95">
        <f>+N91+P91+Q91+R91+S91</f>
        <v>990.75</v>
      </c>
      <c r="N91" s="18">
        <f>N42*1</f>
        <v>475</v>
      </c>
      <c r="O91" s="18">
        <f>O42*1</f>
        <v>381</v>
      </c>
      <c r="P91" s="18">
        <f>P42*1</f>
        <v>161</v>
      </c>
      <c r="Q91" s="18">
        <f>Q42*0.95</f>
        <v>166.25</v>
      </c>
      <c r="R91" s="61">
        <f>R42*0.95</f>
        <v>61.75</v>
      </c>
      <c r="S91" s="20">
        <f>S42*0.975</f>
        <v>126.75</v>
      </c>
      <c r="T91" s="44"/>
      <c r="V91" s="191"/>
      <c r="W91" s="186"/>
      <c r="X91" s="186"/>
      <c r="Y91" s="186"/>
    </row>
    <row r="92" spans="1:19" s="4" customFormat="1" ht="15">
      <c r="A92" s="59"/>
      <c r="B92" s="42"/>
      <c r="C92" s="17"/>
      <c r="D92" s="61"/>
      <c r="E92" s="18"/>
      <c r="F92" s="18"/>
      <c r="G92" s="18"/>
      <c r="H92" s="18"/>
      <c r="I92" s="19"/>
      <c r="J92" s="17"/>
      <c r="K92" s="18"/>
      <c r="L92" s="19"/>
      <c r="M92" s="96"/>
      <c r="N92" s="18"/>
      <c r="O92" s="18"/>
      <c r="P92" s="18"/>
      <c r="Q92" s="18"/>
      <c r="R92" s="18"/>
      <c r="S92" s="19"/>
    </row>
    <row r="93" spans="1:19" s="59" customFormat="1" ht="26.25" customHeight="1">
      <c r="A93" s="54" t="s">
        <v>18</v>
      </c>
      <c r="B93" s="55"/>
      <c r="C93" s="56"/>
      <c r="D93" s="57"/>
      <c r="E93" s="57"/>
      <c r="F93" s="57"/>
      <c r="G93" s="57"/>
      <c r="H93" s="57"/>
      <c r="I93" s="58"/>
      <c r="J93" s="56"/>
      <c r="K93" s="57"/>
      <c r="L93" s="58"/>
      <c r="M93" s="56"/>
      <c r="N93" s="57"/>
      <c r="O93" s="57"/>
      <c r="P93" s="57"/>
      <c r="Q93" s="57"/>
      <c r="R93" s="57"/>
      <c r="S93" s="58"/>
    </row>
    <row r="94" spans="2:19" s="4" customFormat="1" ht="15"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</row>
    <row r="95" s="4" customFormat="1" ht="15"/>
    <row r="96" s="4" customFormat="1" ht="15"/>
    <row r="97" s="4" customFormat="1" ht="15"/>
    <row r="98" s="4" customFormat="1" ht="15">
      <c r="E98" s="4" t="s">
        <v>22</v>
      </c>
    </row>
    <row r="99" s="4" customFormat="1" ht="15"/>
    <row r="100" s="4" customFormat="1" ht="15">
      <c r="G100" s="4" t="str">
        <f>+G3</f>
        <v>           SERVICIO DE SALUD ACONCAGUA  2020</v>
      </c>
    </row>
    <row r="101" s="4" customFormat="1" ht="15"/>
    <row r="102" s="4" customFormat="1" ht="15.75" thickBot="1">
      <c r="K102" s="59"/>
    </row>
    <row r="103" spans="1:19" s="4" customFormat="1" ht="15">
      <c r="A103" s="175"/>
      <c r="B103" s="180"/>
      <c r="C103" s="152"/>
      <c r="D103" s="152"/>
      <c r="E103" s="152"/>
      <c r="F103" s="152"/>
      <c r="G103" s="152"/>
      <c r="H103" s="152"/>
      <c r="I103" s="152"/>
      <c r="J103" s="152"/>
      <c r="K103" s="152"/>
      <c r="L103" s="184"/>
      <c r="M103" s="152"/>
      <c r="N103" s="152"/>
      <c r="O103" s="152"/>
      <c r="P103" s="152"/>
      <c r="Q103" s="185"/>
      <c r="R103"/>
      <c r="S103"/>
    </row>
    <row r="104" spans="1:19" s="4" customFormat="1" ht="15">
      <c r="A104" s="105"/>
      <c r="B104" s="181"/>
      <c r="C104" s="59"/>
      <c r="D104" s="59"/>
      <c r="E104" s="204" t="s">
        <v>23</v>
      </c>
      <c r="F104" s="204"/>
      <c r="G104" s="204"/>
      <c r="H104" s="204"/>
      <c r="I104" s="204"/>
      <c r="J104" s="204"/>
      <c r="K104" s="59"/>
      <c r="L104" s="114"/>
      <c r="M104" s="59"/>
      <c r="N104" s="59" t="s">
        <v>24</v>
      </c>
      <c r="O104" s="59"/>
      <c r="P104" s="59"/>
      <c r="Q104" s="168" t="s">
        <v>25</v>
      </c>
      <c r="R104"/>
      <c r="S104"/>
    </row>
    <row r="105" spans="1:19" s="4" customFormat="1" ht="15">
      <c r="A105" s="105"/>
      <c r="B105" s="181"/>
      <c r="C105" s="59"/>
      <c r="D105" s="59"/>
      <c r="E105" s="59"/>
      <c r="F105" s="59"/>
      <c r="G105" s="59"/>
      <c r="H105" s="59"/>
      <c r="I105" s="59"/>
      <c r="J105" s="59"/>
      <c r="K105" s="112"/>
      <c r="L105" s="114"/>
      <c r="M105" s="59"/>
      <c r="N105" s="59"/>
      <c r="O105" s="59"/>
      <c r="P105" s="59"/>
      <c r="Q105" s="168"/>
      <c r="R105"/>
      <c r="S105"/>
    </row>
    <row r="106" spans="1:19" s="4" customFormat="1" ht="15">
      <c r="A106" s="105"/>
      <c r="B106" s="182" t="s">
        <v>5</v>
      </c>
      <c r="C106" s="113"/>
      <c r="D106" s="113"/>
      <c r="E106" s="113"/>
      <c r="F106" s="113"/>
      <c r="G106" s="113"/>
      <c r="H106" s="113"/>
      <c r="I106" s="113"/>
      <c r="J106" s="113"/>
      <c r="K106" s="114"/>
      <c r="L106" s="116"/>
      <c r="M106" s="47"/>
      <c r="N106" s="47"/>
      <c r="O106" s="47"/>
      <c r="P106" s="47"/>
      <c r="Q106" s="168" t="s">
        <v>26</v>
      </c>
      <c r="R106"/>
      <c r="S106"/>
    </row>
    <row r="107" spans="1:23" s="4" customFormat="1" ht="15">
      <c r="A107" s="178" t="s">
        <v>6</v>
      </c>
      <c r="B107" s="181"/>
      <c r="C107" s="60" t="s">
        <v>27</v>
      </c>
      <c r="D107" s="60" t="s">
        <v>9</v>
      </c>
      <c r="E107" s="60" t="s">
        <v>10</v>
      </c>
      <c r="F107" s="60" t="s">
        <v>82</v>
      </c>
      <c r="G107" s="60" t="s">
        <v>52</v>
      </c>
      <c r="H107" s="60" t="s">
        <v>53</v>
      </c>
      <c r="I107" s="60" t="s">
        <v>28</v>
      </c>
      <c r="J107" s="60" t="s">
        <v>73</v>
      </c>
      <c r="K107" s="119" t="s">
        <v>49</v>
      </c>
      <c r="L107" s="120" t="s">
        <v>29</v>
      </c>
      <c r="M107" s="60" t="s">
        <v>12</v>
      </c>
      <c r="N107" s="60" t="s">
        <v>30</v>
      </c>
      <c r="O107" s="60" t="s">
        <v>31</v>
      </c>
      <c r="P107" s="60" t="s">
        <v>83</v>
      </c>
      <c r="Q107" s="168"/>
      <c r="R107" s="132"/>
      <c r="S107" s="132"/>
      <c r="T107" s="132"/>
      <c r="U107" s="132"/>
      <c r="V107" s="197"/>
      <c r="W107" s="197"/>
    </row>
    <row r="108" spans="1:22" s="4" customFormat="1" ht="15">
      <c r="A108" s="105"/>
      <c r="B108" s="182" t="s">
        <v>12</v>
      </c>
      <c r="C108" s="60" t="s">
        <v>16</v>
      </c>
      <c r="D108" s="60" t="s">
        <v>16</v>
      </c>
      <c r="E108" s="60" t="s">
        <v>16</v>
      </c>
      <c r="F108" s="60" t="s">
        <v>16</v>
      </c>
      <c r="G108" s="60" t="s">
        <v>16</v>
      </c>
      <c r="H108" s="60" t="s">
        <v>16</v>
      </c>
      <c r="I108" s="60" t="s">
        <v>16</v>
      </c>
      <c r="J108" s="60" t="s">
        <v>16</v>
      </c>
      <c r="K108" s="119" t="s">
        <v>16</v>
      </c>
      <c r="L108" s="120" t="s">
        <v>16</v>
      </c>
      <c r="M108" s="60"/>
      <c r="N108" s="60" t="s">
        <v>16</v>
      </c>
      <c r="O108" s="60" t="s">
        <v>16</v>
      </c>
      <c r="P108" s="60" t="s">
        <v>16</v>
      </c>
      <c r="Q108" s="168" t="s">
        <v>32</v>
      </c>
      <c r="R108" s="132"/>
      <c r="S108" s="132"/>
      <c r="T108" s="132"/>
      <c r="U108" s="132"/>
      <c r="V108" s="132"/>
    </row>
    <row r="109" spans="1:21" s="4" customFormat="1" ht="15.75" thickBot="1">
      <c r="A109" s="49"/>
      <c r="B109" s="183"/>
      <c r="C109" s="170"/>
      <c r="D109" s="170"/>
      <c r="E109" s="170"/>
      <c r="F109" s="170"/>
      <c r="G109" s="170"/>
      <c r="H109" s="170"/>
      <c r="I109" s="170"/>
      <c r="J109" s="170"/>
      <c r="K109" s="171"/>
      <c r="L109" s="172"/>
      <c r="M109" s="170"/>
      <c r="N109" s="170"/>
      <c r="O109" s="173"/>
      <c r="P109" s="173"/>
      <c r="Q109" s="174"/>
      <c r="R109" s="131"/>
      <c r="T109" s="127"/>
      <c r="U109" s="128"/>
    </row>
    <row r="110" spans="1:18" s="4" customFormat="1" ht="15">
      <c r="A110" s="15"/>
      <c r="B110" s="124"/>
      <c r="C110" s="125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5"/>
      <c r="R110"/>
    </row>
    <row r="111" spans="1:23" s="4" customFormat="1" ht="15">
      <c r="A111" s="15" t="s">
        <v>17</v>
      </c>
      <c r="B111" s="42">
        <f aca="true" t="shared" si="14" ref="B111:Q111">SUM(B112:B142)</f>
        <v>144014.87240000002</v>
      </c>
      <c r="C111" s="17">
        <f t="shared" si="14"/>
        <v>18879.8762</v>
      </c>
      <c r="D111" s="61">
        <f t="shared" si="14"/>
        <v>9717.340600000001</v>
      </c>
      <c r="E111" s="61">
        <f t="shared" si="14"/>
        <v>8867.6362</v>
      </c>
      <c r="F111" s="61">
        <f t="shared" si="14"/>
        <v>9204.6193</v>
      </c>
      <c r="G111" s="61">
        <f t="shared" si="14"/>
        <v>21808.55059999999</v>
      </c>
      <c r="H111" s="61">
        <f t="shared" si="14"/>
        <v>20189.574000000004</v>
      </c>
      <c r="I111" s="61">
        <f t="shared" si="14"/>
        <v>9293.074299999998</v>
      </c>
      <c r="J111" s="61">
        <f t="shared" si="14"/>
        <v>9187.674500000001</v>
      </c>
      <c r="K111" s="61">
        <f t="shared" si="14"/>
        <v>16615.120700000003</v>
      </c>
      <c r="L111" s="61">
        <f t="shared" si="14"/>
        <v>20251.406000000006</v>
      </c>
      <c r="M111" s="17">
        <f t="shared" si="14"/>
        <v>5775.636319999999</v>
      </c>
      <c r="N111" s="18">
        <f t="shared" si="14"/>
        <v>874.75</v>
      </c>
      <c r="O111" s="18">
        <f t="shared" si="14"/>
        <v>3721.5803879999994</v>
      </c>
      <c r="P111" s="18">
        <f t="shared" si="14"/>
        <v>1179.3059319999995</v>
      </c>
      <c r="Q111" s="42">
        <f t="shared" si="14"/>
        <v>3498</v>
      </c>
      <c r="R111" s="103"/>
      <c r="S111" s="103"/>
      <c r="T111" s="103"/>
      <c r="U111" s="103"/>
      <c r="V111" s="103"/>
      <c r="W111" s="103"/>
    </row>
    <row r="112" spans="1:28" s="4" customFormat="1" ht="15">
      <c r="A112" s="93" t="s">
        <v>55</v>
      </c>
      <c r="B112" s="42">
        <f>SUM(C112:L112)</f>
        <v>13408</v>
      </c>
      <c r="C112" s="18">
        <v>1778</v>
      </c>
      <c r="D112" s="18">
        <v>867</v>
      </c>
      <c r="E112" s="18">
        <v>842</v>
      </c>
      <c r="F112" s="18">
        <v>876</v>
      </c>
      <c r="G112" s="18">
        <v>2035</v>
      </c>
      <c r="H112" s="18">
        <v>1836</v>
      </c>
      <c r="I112" s="18">
        <v>887</v>
      </c>
      <c r="J112" s="18">
        <v>817</v>
      </c>
      <c r="K112" s="18">
        <v>1591</v>
      </c>
      <c r="L112" s="18">
        <v>1879</v>
      </c>
      <c r="M112" s="17">
        <f>SUM(N112:P112)</f>
        <v>539.865</v>
      </c>
      <c r="N112" s="18">
        <f aca="true" t="shared" si="15" ref="N112:N140">(+D14+E14)*0.125</f>
        <v>81.625</v>
      </c>
      <c r="O112" s="18">
        <f>(+F112+G112)*0.12</f>
        <v>349.32</v>
      </c>
      <c r="P112" s="18">
        <f>(+H112+I112)*0.04</f>
        <v>108.92</v>
      </c>
      <c r="Q112" s="42">
        <f aca="true" t="shared" si="16" ref="Q112:Q140">D14</f>
        <v>320</v>
      </c>
      <c r="R112" s="126"/>
      <c r="S112" s="186"/>
      <c r="T112" s="123"/>
      <c r="U112" s="123"/>
      <c r="V112" s="126"/>
      <c r="W112" s="44"/>
      <c r="AA112" s="123"/>
      <c r="AB112" s="123"/>
    </row>
    <row r="113" spans="1:28" s="4" customFormat="1" ht="15">
      <c r="A113" s="93" t="s">
        <v>84</v>
      </c>
      <c r="B113" s="42">
        <f aca="true" t="shared" si="17" ref="B113:B142">SUM(C113:L113)</f>
        <v>17826.443300000003</v>
      </c>
      <c r="C113" s="18">
        <f>C15*0.4891</f>
        <v>2316.8667</v>
      </c>
      <c r="D113" s="18">
        <f>K15*0.505</f>
        <v>1210.485</v>
      </c>
      <c r="E113" s="18">
        <f>L15*0.4899</f>
        <v>1067.982</v>
      </c>
      <c r="F113" s="18">
        <f>N15*0.092</f>
        <v>1197.656</v>
      </c>
      <c r="G113" s="18">
        <f>N15*0.217</f>
        <v>2824.906</v>
      </c>
      <c r="H113" s="18">
        <f>N15*0.1894</f>
        <v>2465.6092000000003</v>
      </c>
      <c r="I113" s="18">
        <f>P15*0.2518</f>
        <v>1084.7544</v>
      </c>
      <c r="J113" s="18">
        <f>P15*0.265</f>
        <v>1141.6200000000001</v>
      </c>
      <c r="K113" s="18">
        <f>Q15*0.524</f>
        <v>2042.5520000000001</v>
      </c>
      <c r="L113" s="18">
        <f>(R15+S15)*0.569</f>
        <v>2474.0119999999997</v>
      </c>
      <c r="M113" s="17">
        <f aca="true" t="shared" si="18" ref="M113:M142">SUM(N113:P113)</f>
        <v>734.9719839999999</v>
      </c>
      <c r="N113" s="18">
        <f t="shared" si="15"/>
        <v>110.25</v>
      </c>
      <c r="O113" s="18">
        <f aca="true" t="shared" si="19" ref="O113:O142">(+F113+G113)*0.12</f>
        <v>482.70743999999996</v>
      </c>
      <c r="P113" s="18">
        <f aca="true" t="shared" si="20" ref="P113:P142">(+H113+I113)*0.04</f>
        <v>142.01454400000003</v>
      </c>
      <c r="Q113" s="42">
        <f t="shared" si="16"/>
        <v>442</v>
      </c>
      <c r="R113" s="126"/>
      <c r="S113" s="186"/>
      <c r="T113" s="123"/>
      <c r="U113" s="123"/>
      <c r="V113" s="126"/>
      <c r="W113" s="44"/>
      <c r="AA113" s="123"/>
      <c r="AB113" s="123"/>
    </row>
    <row r="114" spans="1:28" s="4" customFormat="1" ht="15">
      <c r="A114" s="93" t="s">
        <v>85</v>
      </c>
      <c r="B114" s="42">
        <f t="shared" si="17"/>
        <v>18975.183</v>
      </c>
      <c r="C114" s="18">
        <f>C16*0.489</f>
        <v>2430.33</v>
      </c>
      <c r="D114" s="18">
        <f>K16*0.505</f>
        <v>1339.26</v>
      </c>
      <c r="E114" s="18">
        <f>L16*0.49</f>
        <v>1198.05</v>
      </c>
      <c r="F114" s="18">
        <f>N16*0.091</f>
        <v>1248.884</v>
      </c>
      <c r="G114" s="18">
        <f>N16*0.217</f>
        <v>2978.108</v>
      </c>
      <c r="H114" s="18">
        <f>N16*0.1895</f>
        <v>2600.698</v>
      </c>
      <c r="I114" s="18">
        <f>P16*0.252</f>
        <v>1159.452</v>
      </c>
      <c r="J114" s="18">
        <f>P16*0.265</f>
        <v>1219.265</v>
      </c>
      <c r="K114" s="18">
        <f>Q16*0.524</f>
        <v>2160.976</v>
      </c>
      <c r="L114" s="18">
        <f>(R16+S16)*0.569</f>
        <v>2640.16</v>
      </c>
      <c r="M114" s="17">
        <f t="shared" si="18"/>
        <v>773.2700399999999</v>
      </c>
      <c r="N114" s="18">
        <f t="shared" si="15"/>
        <v>115.625</v>
      </c>
      <c r="O114" s="18">
        <f t="shared" si="19"/>
        <v>507.23904</v>
      </c>
      <c r="P114" s="18">
        <f t="shared" si="20"/>
        <v>150.40599999999998</v>
      </c>
      <c r="Q114" s="42">
        <f t="shared" si="16"/>
        <v>465</v>
      </c>
      <c r="R114" s="126"/>
      <c r="S114" s="186"/>
      <c r="T114" s="123"/>
      <c r="U114" s="123"/>
      <c r="V114" s="126"/>
      <c r="W114" s="44"/>
      <c r="AA114" s="123"/>
      <c r="AB114" s="123"/>
    </row>
    <row r="115" spans="1:28" s="4" customFormat="1" ht="15">
      <c r="A115" s="99" t="s">
        <v>86</v>
      </c>
      <c r="B115" s="42">
        <f t="shared" si="17"/>
        <v>16830.1793</v>
      </c>
      <c r="C115" s="18">
        <f>C17*0.498</f>
        <v>2070.186</v>
      </c>
      <c r="D115" s="18">
        <f>K17*0.5006</f>
        <v>1106.8266</v>
      </c>
      <c r="E115" s="18">
        <f>L17*0.498</f>
        <v>1062.732</v>
      </c>
      <c r="F115" s="18">
        <f>N17*0.0887</f>
        <v>1072.0282</v>
      </c>
      <c r="G115" s="18">
        <f>N17*0.2036</f>
        <v>2460.7096</v>
      </c>
      <c r="H115" s="18">
        <f>N17*0.2003</f>
        <v>2420.8258</v>
      </c>
      <c r="I115" s="18">
        <f>P17*0.2667</f>
        <v>1115.3394</v>
      </c>
      <c r="J115" s="18">
        <f>P17*0.249</f>
        <v>1041.318</v>
      </c>
      <c r="K115" s="18">
        <f>Q17*0.5339</f>
        <v>1998.3877000000002</v>
      </c>
      <c r="L115" s="18">
        <f>(R17+S17)*0.5596</f>
        <v>2481.826</v>
      </c>
      <c r="M115" s="17">
        <f t="shared" si="18"/>
        <v>661.8751439999999</v>
      </c>
      <c r="N115" s="18">
        <f t="shared" si="15"/>
        <v>96.5</v>
      </c>
      <c r="O115" s="18">
        <f t="shared" si="19"/>
        <v>423.92853599999995</v>
      </c>
      <c r="P115" s="18">
        <f t="shared" si="20"/>
        <v>141.44660800000003</v>
      </c>
      <c r="Q115" s="42">
        <f t="shared" si="16"/>
        <v>386</v>
      </c>
      <c r="R115" s="126"/>
      <c r="S115" s="186"/>
      <c r="T115" s="123"/>
      <c r="U115" s="123"/>
      <c r="V115" s="126"/>
      <c r="W115" s="44"/>
      <c r="AA115" s="123"/>
      <c r="AB115" s="123"/>
    </row>
    <row r="116" spans="1:28" s="4" customFormat="1" ht="15">
      <c r="A116" s="99" t="s">
        <v>87</v>
      </c>
      <c r="B116" s="42">
        <f t="shared" si="17"/>
        <v>13107.901</v>
      </c>
      <c r="C116" s="18">
        <f>C18*0.498</f>
        <v>1591.11</v>
      </c>
      <c r="D116" s="18">
        <f>K18*0.5</f>
        <v>866</v>
      </c>
      <c r="E116" s="18">
        <f>L18*0.498</f>
        <v>804.27</v>
      </c>
      <c r="F116" s="18">
        <f>N18*0.0887</f>
        <v>817.814</v>
      </c>
      <c r="G116" s="18">
        <f>N18*0.2036</f>
        <v>1877.192</v>
      </c>
      <c r="H116" s="18">
        <f>N18*0.2002</f>
        <v>1845.8439999999998</v>
      </c>
      <c r="I116" s="18">
        <f>P18*0.267</f>
        <v>854.4000000000001</v>
      </c>
      <c r="J116" s="18">
        <f>P18*0.25</f>
        <v>800</v>
      </c>
      <c r="K116" s="18">
        <f>Q18*0.534</f>
        <v>1638.3120000000001</v>
      </c>
      <c r="L116" s="18">
        <f>(R18+S18)*0.559</f>
        <v>2012.9590000000003</v>
      </c>
      <c r="M116" s="17">
        <f t="shared" si="18"/>
        <v>504.91047999999995</v>
      </c>
      <c r="N116" s="18">
        <f t="shared" si="15"/>
        <v>73.5</v>
      </c>
      <c r="O116" s="18">
        <f t="shared" si="19"/>
        <v>323.40072</v>
      </c>
      <c r="P116" s="18">
        <f t="shared" si="20"/>
        <v>108.00975999999999</v>
      </c>
      <c r="Q116" s="42">
        <f t="shared" si="16"/>
        <v>294</v>
      </c>
      <c r="R116" s="126"/>
      <c r="S116" s="186"/>
      <c r="T116" s="123"/>
      <c r="U116" s="123"/>
      <c r="V116" s="126"/>
      <c r="W116" s="44"/>
      <c r="AA116" s="123"/>
      <c r="AB116" s="123"/>
    </row>
    <row r="117" spans="1:28" s="4" customFormat="1" ht="15">
      <c r="A117" s="69" t="s">
        <v>56</v>
      </c>
      <c r="B117" s="42">
        <f t="shared" si="17"/>
        <v>5671</v>
      </c>
      <c r="C117" s="18">
        <v>814</v>
      </c>
      <c r="D117" s="18">
        <v>402</v>
      </c>
      <c r="E117" s="18">
        <v>334</v>
      </c>
      <c r="F117" s="18">
        <v>347</v>
      </c>
      <c r="G117" s="18">
        <v>889</v>
      </c>
      <c r="H117" s="18">
        <v>877</v>
      </c>
      <c r="I117" s="18">
        <v>405</v>
      </c>
      <c r="J117" s="18">
        <v>366</v>
      </c>
      <c r="K117" s="18">
        <v>545</v>
      </c>
      <c r="L117" s="18">
        <v>692</v>
      </c>
      <c r="M117" s="17">
        <f t="shared" si="18"/>
        <v>236.225</v>
      </c>
      <c r="N117" s="18">
        <f t="shared" si="15"/>
        <v>36.625</v>
      </c>
      <c r="O117" s="18">
        <f t="shared" si="19"/>
        <v>148.32</v>
      </c>
      <c r="P117" s="18">
        <f t="shared" si="20"/>
        <v>51.28</v>
      </c>
      <c r="Q117" s="42">
        <f t="shared" si="16"/>
        <v>148</v>
      </c>
      <c r="R117" s="126"/>
      <c r="S117" s="186"/>
      <c r="T117" s="123"/>
      <c r="U117" s="123"/>
      <c r="V117" s="126"/>
      <c r="W117" s="44"/>
      <c r="AA117" s="123"/>
      <c r="AB117" s="123"/>
    </row>
    <row r="118" spans="1:28" s="4" customFormat="1" ht="15">
      <c r="A118" s="105" t="s">
        <v>57</v>
      </c>
      <c r="B118" s="42">
        <f t="shared" si="17"/>
        <v>6290.817000000001</v>
      </c>
      <c r="C118" s="18">
        <f>C20*0.495</f>
        <v>866.745</v>
      </c>
      <c r="D118" s="18">
        <f>K20*0.502</f>
        <v>439.25</v>
      </c>
      <c r="E118" s="198">
        <f>L20*0.486</f>
        <v>374.706</v>
      </c>
      <c r="F118" s="198">
        <f>N20*0.086</f>
        <v>374.616</v>
      </c>
      <c r="G118" s="198">
        <f>N20*0.214</f>
        <v>932.184</v>
      </c>
      <c r="H118" s="198">
        <f>N20*0.215</f>
        <v>936.54</v>
      </c>
      <c r="I118" s="198">
        <f>P20*0.261</f>
        <v>435.60900000000004</v>
      </c>
      <c r="J118" s="198">
        <f>P20*0.252</f>
        <v>420.588</v>
      </c>
      <c r="K118" s="198">
        <f>Q20*0.497</f>
        <v>686.854</v>
      </c>
      <c r="L118" s="198">
        <f>(R20+S20)*0.525</f>
        <v>823.725</v>
      </c>
      <c r="M118" s="17">
        <f t="shared" si="18"/>
        <v>247.45195999999999</v>
      </c>
      <c r="N118" s="18">
        <f t="shared" si="15"/>
        <v>35.75</v>
      </c>
      <c r="O118" s="18">
        <f t="shared" si="19"/>
        <v>156.816</v>
      </c>
      <c r="P118" s="18">
        <f t="shared" si="20"/>
        <v>54.88596</v>
      </c>
      <c r="Q118" s="42">
        <f t="shared" si="16"/>
        <v>142</v>
      </c>
      <c r="R118" s="126"/>
      <c r="S118" s="186"/>
      <c r="T118" s="123"/>
      <c r="U118" s="123"/>
      <c r="V118" s="126"/>
      <c r="W118" s="44"/>
      <c r="AA118" s="123"/>
      <c r="AB118" s="123"/>
    </row>
    <row r="119" spans="1:28" s="4" customFormat="1" ht="15">
      <c r="A119" s="105" t="s">
        <v>58</v>
      </c>
      <c r="B119" s="42">
        <f t="shared" si="17"/>
        <v>6905.7143</v>
      </c>
      <c r="C119" s="198">
        <f>C21*0.507</f>
        <v>906.009</v>
      </c>
      <c r="D119" s="198">
        <f>K21*0.509</f>
        <v>482.023</v>
      </c>
      <c r="E119" s="198">
        <f>L21*0.477</f>
        <v>410.21999999999997</v>
      </c>
      <c r="F119" s="198">
        <f>N21*0.0857</f>
        <v>423.2723</v>
      </c>
      <c r="G119" s="198">
        <f>N21*0.214</f>
        <v>1056.946</v>
      </c>
      <c r="H119" s="198">
        <f>N21*0.206</f>
        <v>1017.434</v>
      </c>
      <c r="I119" s="198">
        <f>P21*0.256</f>
        <v>451.584</v>
      </c>
      <c r="J119" s="198">
        <f>P21*0.244</f>
        <v>430.416</v>
      </c>
      <c r="K119" s="198">
        <f>Q21*0.503</f>
        <v>774.62</v>
      </c>
      <c r="L119" s="198">
        <f>(R21+S21)*0.51</f>
        <v>953.19</v>
      </c>
      <c r="M119" s="17">
        <f t="shared" si="18"/>
        <v>276.761916</v>
      </c>
      <c r="N119" s="18">
        <f t="shared" si="15"/>
        <v>40.375</v>
      </c>
      <c r="O119" s="18">
        <f t="shared" si="19"/>
        <v>177.626196</v>
      </c>
      <c r="P119" s="18">
        <f t="shared" si="20"/>
        <v>58.76072</v>
      </c>
      <c r="Q119" s="42">
        <f t="shared" si="16"/>
        <v>160</v>
      </c>
      <c r="R119" s="126"/>
      <c r="S119" s="186"/>
      <c r="T119" s="123"/>
      <c r="U119" s="123"/>
      <c r="V119" s="126"/>
      <c r="W119" s="44"/>
      <c r="AA119" s="123"/>
      <c r="AB119" s="123"/>
    </row>
    <row r="120" spans="1:28" s="4" customFormat="1" ht="15">
      <c r="A120" s="105" t="s">
        <v>59</v>
      </c>
      <c r="B120" s="199">
        <f t="shared" si="17"/>
        <v>5141.609</v>
      </c>
      <c r="C120" s="198">
        <f>C22*0.502</f>
        <v>636.034</v>
      </c>
      <c r="D120" s="198">
        <f>K22*0.48</f>
        <v>313.92</v>
      </c>
      <c r="E120" s="198">
        <f>L22*0.48</f>
        <v>307.2</v>
      </c>
      <c r="F120" s="198">
        <f>N22*0.095</f>
        <v>316.445</v>
      </c>
      <c r="G120" s="198">
        <f>N22*0.21</f>
        <v>699.51</v>
      </c>
      <c r="H120" s="198">
        <f>N22*0.2</f>
        <v>666.2</v>
      </c>
      <c r="I120" s="198">
        <f>P22*0.25</f>
        <v>345</v>
      </c>
      <c r="J120" s="198">
        <f>P22*0.255</f>
        <v>351.90000000000003</v>
      </c>
      <c r="K120" s="198">
        <f>Q22*0.5</f>
        <v>593.5</v>
      </c>
      <c r="L120" s="198">
        <f>(R22+S22)*0.55</f>
        <v>911.9000000000001</v>
      </c>
      <c r="M120" s="17">
        <f t="shared" si="18"/>
        <v>190.48760000000001</v>
      </c>
      <c r="N120" s="18">
        <f t="shared" si="15"/>
        <v>28.125</v>
      </c>
      <c r="O120" s="18">
        <f t="shared" si="19"/>
        <v>121.9146</v>
      </c>
      <c r="P120" s="18">
        <f t="shared" si="20"/>
        <v>40.448</v>
      </c>
      <c r="Q120" s="42">
        <f t="shared" si="16"/>
        <v>113</v>
      </c>
      <c r="R120" s="126"/>
      <c r="S120" s="186"/>
      <c r="T120" s="123"/>
      <c r="U120" s="123"/>
      <c r="V120" s="126"/>
      <c r="W120" s="44"/>
      <c r="AA120" s="123"/>
      <c r="AB120" s="123"/>
    </row>
    <row r="121" spans="1:28" s="4" customFormat="1" ht="15">
      <c r="A121" s="105" t="s">
        <v>60</v>
      </c>
      <c r="B121" s="199">
        <f t="shared" si="17"/>
        <v>7055.6814</v>
      </c>
      <c r="C121" s="198">
        <f>C23*0.4978</f>
        <v>1007.0494</v>
      </c>
      <c r="D121" s="198">
        <f>K23*0.499</f>
        <v>469.559</v>
      </c>
      <c r="E121" s="198">
        <f>L23*0.484</f>
        <v>430.76</v>
      </c>
      <c r="F121" s="198">
        <f>N23*0.085</f>
        <v>440.64000000000004</v>
      </c>
      <c r="G121" s="198">
        <f>N23*0.227</f>
        <v>1176.768</v>
      </c>
      <c r="H121" s="198">
        <f>N23*0.1995</f>
        <v>1034.208</v>
      </c>
      <c r="I121" s="198">
        <f>P23*0.266</f>
        <v>485.716</v>
      </c>
      <c r="J121" s="198">
        <f>P23*0.25</f>
        <v>456.5</v>
      </c>
      <c r="K121" s="198">
        <f>Q23*0.509</f>
        <v>724.816</v>
      </c>
      <c r="L121" s="198">
        <f>(R23+S23)*0.515</f>
        <v>829.6650000000001</v>
      </c>
      <c r="M121" s="17">
        <f t="shared" si="18"/>
        <v>306.01092</v>
      </c>
      <c r="N121" s="18">
        <f t="shared" si="15"/>
        <v>51.125</v>
      </c>
      <c r="O121" s="18">
        <f t="shared" si="19"/>
        <v>194.08896000000001</v>
      </c>
      <c r="P121" s="18">
        <f t="shared" si="20"/>
        <v>60.79696</v>
      </c>
      <c r="Q121" s="42">
        <f t="shared" si="16"/>
        <v>207</v>
      </c>
      <c r="R121" s="126"/>
      <c r="S121" s="186"/>
      <c r="T121" s="123"/>
      <c r="U121" s="123"/>
      <c r="V121" s="126"/>
      <c r="W121" s="44"/>
      <c r="AA121" s="123"/>
      <c r="AB121" s="123"/>
    </row>
    <row r="122" spans="1:28" s="4" customFormat="1" ht="15">
      <c r="A122" s="105" t="s">
        <v>61</v>
      </c>
      <c r="B122" s="199">
        <f t="shared" si="17"/>
        <v>6507.9451</v>
      </c>
      <c r="C122" s="198">
        <f>C24*0.4839</f>
        <v>846.3411</v>
      </c>
      <c r="D122" s="198">
        <f>K24*0.482</f>
        <v>416.93</v>
      </c>
      <c r="E122" s="198">
        <f>L24*0.4977</f>
        <v>426.03119999999996</v>
      </c>
      <c r="F122" s="198">
        <f>N24*0.0967</f>
        <v>441.8223</v>
      </c>
      <c r="G122" s="198">
        <f>N24*0.216</f>
        <v>986.904</v>
      </c>
      <c r="H122" s="198">
        <f>N24*0.193</f>
        <v>881.817</v>
      </c>
      <c r="I122" s="198">
        <f>P24*0.2405</f>
        <v>411.0145</v>
      </c>
      <c r="J122" s="198">
        <f>P24*0.28</f>
        <v>478.52000000000004</v>
      </c>
      <c r="K122" s="198">
        <f>Q24*0.505</f>
        <v>769.115</v>
      </c>
      <c r="L122" s="198">
        <f>(R24+S24)*0.525</f>
        <v>849.45</v>
      </c>
      <c r="M122" s="17">
        <f t="shared" si="18"/>
        <v>263.535416</v>
      </c>
      <c r="N122" s="18">
        <f t="shared" si="15"/>
        <v>40.375</v>
      </c>
      <c r="O122" s="18">
        <f t="shared" si="19"/>
        <v>171.447156</v>
      </c>
      <c r="P122" s="18">
        <f t="shared" si="20"/>
        <v>51.71326</v>
      </c>
      <c r="Q122" s="42">
        <f t="shared" si="16"/>
        <v>161</v>
      </c>
      <c r="R122" s="126"/>
      <c r="S122" s="186"/>
      <c r="T122" s="123"/>
      <c r="U122" s="123"/>
      <c r="V122" s="126"/>
      <c r="W122" s="44"/>
      <c r="AA122" s="123"/>
      <c r="AB122" s="123"/>
    </row>
    <row r="123" spans="1:28" s="4" customFormat="1" ht="15">
      <c r="A123" s="105" t="s">
        <v>78</v>
      </c>
      <c r="B123" s="199">
        <f t="shared" si="17"/>
        <v>3877.3949999999995</v>
      </c>
      <c r="C123" s="18">
        <f>C25*0.49</f>
        <v>543.41</v>
      </c>
      <c r="D123" s="18">
        <f>K25*0.505</f>
        <v>267.65</v>
      </c>
      <c r="E123" s="18">
        <f>L25*0.49</f>
        <v>240.1</v>
      </c>
      <c r="F123" s="18">
        <f>N25*0.091</f>
        <v>259.34999999999997</v>
      </c>
      <c r="G123" s="18">
        <f>N25*0.217</f>
        <v>618.45</v>
      </c>
      <c r="H123" s="18">
        <f>N25*0.189</f>
        <v>538.65</v>
      </c>
      <c r="I123" s="18">
        <f>P25*0.252</f>
        <v>221.76</v>
      </c>
      <c r="J123" s="18">
        <f>P25*0.265</f>
        <v>233.20000000000002</v>
      </c>
      <c r="K123" s="18">
        <f>Q25*0.528</f>
        <v>417.12</v>
      </c>
      <c r="L123" s="18">
        <f>(R25+S25)*0.569</f>
        <v>537.7049999999999</v>
      </c>
      <c r="M123" s="17">
        <f t="shared" si="18"/>
        <v>158.0024</v>
      </c>
      <c r="N123" s="18">
        <f t="shared" si="15"/>
        <v>22.25</v>
      </c>
      <c r="O123" s="18">
        <f t="shared" si="19"/>
        <v>105.33599999999998</v>
      </c>
      <c r="P123" s="18">
        <f t="shared" si="20"/>
        <v>30.4164</v>
      </c>
      <c r="Q123" s="42">
        <f t="shared" si="16"/>
        <v>90</v>
      </c>
      <c r="R123" s="126"/>
      <c r="S123" s="186"/>
      <c r="T123" s="123"/>
      <c r="U123" s="123"/>
      <c r="V123" s="126"/>
      <c r="W123" s="44"/>
      <c r="AA123" s="123"/>
      <c r="AB123" s="123"/>
    </row>
    <row r="124" spans="1:28" s="4" customFormat="1" ht="15">
      <c r="A124" s="105" t="s">
        <v>62</v>
      </c>
      <c r="B124" s="199">
        <f t="shared" si="17"/>
        <v>3831</v>
      </c>
      <c r="C124" s="198">
        <v>457</v>
      </c>
      <c r="D124" s="198">
        <v>270</v>
      </c>
      <c r="E124" s="198">
        <v>241</v>
      </c>
      <c r="F124" s="198">
        <v>246</v>
      </c>
      <c r="G124" s="198">
        <v>577</v>
      </c>
      <c r="H124" s="198">
        <v>538</v>
      </c>
      <c r="I124" s="198">
        <v>256</v>
      </c>
      <c r="J124" s="198">
        <v>255</v>
      </c>
      <c r="K124" s="198">
        <v>482</v>
      </c>
      <c r="L124" s="198">
        <v>509</v>
      </c>
      <c r="M124" s="17">
        <f t="shared" si="18"/>
        <v>154.14499999999998</v>
      </c>
      <c r="N124" s="18">
        <f t="shared" si="15"/>
        <v>23.625</v>
      </c>
      <c r="O124" s="18">
        <f t="shared" si="19"/>
        <v>98.75999999999999</v>
      </c>
      <c r="P124" s="18">
        <f t="shared" si="20"/>
        <v>31.76</v>
      </c>
      <c r="Q124" s="42">
        <f t="shared" si="16"/>
        <v>94</v>
      </c>
      <c r="R124" s="126"/>
      <c r="S124" s="186"/>
      <c r="T124" s="123"/>
      <c r="U124" s="123"/>
      <c r="V124" s="126"/>
      <c r="W124" s="44"/>
      <c r="AA124" s="123"/>
      <c r="AB124" s="123"/>
    </row>
    <row r="125" spans="1:28" s="4" customFormat="1" ht="15">
      <c r="A125" s="109" t="s">
        <v>79</v>
      </c>
      <c r="B125" s="199">
        <f t="shared" si="17"/>
        <v>1969.4599999999998</v>
      </c>
      <c r="C125" s="18">
        <f>C27*0.49</f>
        <v>264.11</v>
      </c>
      <c r="D125" s="18">
        <f>K27*0.505</f>
        <v>134.835</v>
      </c>
      <c r="E125" s="18">
        <f>L27*0.49</f>
        <v>115.14999999999999</v>
      </c>
      <c r="F125" s="18">
        <f>N27*0.092</f>
        <v>134.504</v>
      </c>
      <c r="G125" s="18">
        <f>N27*0.217</f>
        <v>317.254</v>
      </c>
      <c r="H125" s="18">
        <f>N27*0.189</f>
        <v>276.318</v>
      </c>
      <c r="I125" s="18">
        <f>P27*0.252</f>
        <v>113.148</v>
      </c>
      <c r="J125" s="18">
        <f>P27*0.265</f>
        <v>118.985</v>
      </c>
      <c r="K125" s="18">
        <f>Q27*0.524</f>
        <v>220.08</v>
      </c>
      <c r="L125" s="198">
        <f>(R27+S27)*0.566</f>
        <v>275.07599999999996</v>
      </c>
      <c r="M125" s="17">
        <f t="shared" si="18"/>
        <v>81.28960000000001</v>
      </c>
      <c r="N125" s="18">
        <f t="shared" si="15"/>
        <v>11.5</v>
      </c>
      <c r="O125" s="18">
        <f t="shared" si="19"/>
        <v>54.21096</v>
      </c>
      <c r="P125" s="18">
        <f t="shared" si="20"/>
        <v>15.57864</v>
      </c>
      <c r="Q125" s="42">
        <f t="shared" si="16"/>
        <v>47</v>
      </c>
      <c r="R125" s="126"/>
      <c r="S125" s="186"/>
      <c r="T125" s="123"/>
      <c r="U125" s="123"/>
      <c r="V125" s="126"/>
      <c r="W125" s="44"/>
      <c r="AA125" s="123"/>
      <c r="AB125" s="123"/>
    </row>
    <row r="126" spans="1:28" s="4" customFormat="1" ht="15">
      <c r="A126" s="109" t="s">
        <v>50</v>
      </c>
      <c r="B126" s="199">
        <f t="shared" si="17"/>
        <v>1855.278</v>
      </c>
      <c r="C126" s="18">
        <f>C28*0.498</f>
        <v>275.892</v>
      </c>
      <c r="D126" s="18">
        <f>K28*0.5</f>
        <v>127.5</v>
      </c>
      <c r="E126" s="18">
        <f>L28*0.5</f>
        <v>108.5</v>
      </c>
      <c r="F126" s="18">
        <f>N28*0.0885</f>
        <v>118.059</v>
      </c>
      <c r="G126" s="18">
        <f>N28*0.204</f>
        <v>272.13599999999997</v>
      </c>
      <c r="H126" s="18">
        <f>N28*0.2</f>
        <v>266.8</v>
      </c>
      <c r="I126" s="18">
        <f>P28*0.267</f>
        <v>122.286</v>
      </c>
      <c r="J126" s="18">
        <f>P28*0.25</f>
        <v>114.5</v>
      </c>
      <c r="K126" s="18">
        <f>Q28*0.533</f>
        <v>214.26600000000002</v>
      </c>
      <c r="L126" s="18">
        <f>(R28+S28)*0.559</f>
        <v>235.33900000000003</v>
      </c>
      <c r="M126" s="17">
        <f t="shared" si="18"/>
        <v>75.26183999999999</v>
      </c>
      <c r="N126" s="18">
        <f t="shared" si="15"/>
        <v>12.875</v>
      </c>
      <c r="O126" s="18">
        <f t="shared" si="19"/>
        <v>46.82339999999999</v>
      </c>
      <c r="P126" s="18">
        <f t="shared" si="20"/>
        <v>15.563440000000002</v>
      </c>
      <c r="Q126" s="42">
        <f t="shared" si="16"/>
        <v>52</v>
      </c>
      <c r="R126" s="126"/>
      <c r="S126" s="186"/>
      <c r="T126" s="123"/>
      <c r="U126" s="123"/>
      <c r="V126" s="126"/>
      <c r="W126" s="44"/>
      <c r="AA126" s="123"/>
      <c r="AB126" s="123"/>
    </row>
    <row r="127" spans="1:28" s="4" customFormat="1" ht="15">
      <c r="A127" s="109" t="s">
        <v>80</v>
      </c>
      <c r="B127" s="199">
        <f t="shared" si="17"/>
        <v>2106.2490000000003</v>
      </c>
      <c r="C127" s="18">
        <f>C29*0.495</f>
        <v>290.565</v>
      </c>
      <c r="D127" s="18">
        <f>K29*0.5</f>
        <v>144.5</v>
      </c>
      <c r="E127" s="198">
        <f>L29*0.47</f>
        <v>130.66</v>
      </c>
      <c r="F127" s="198">
        <f>N29*0.086</f>
        <v>125.38799999999999</v>
      </c>
      <c r="G127" s="198">
        <f>N29*0.214</f>
        <v>312.012</v>
      </c>
      <c r="H127" s="198">
        <f>N29*0.215</f>
        <v>313.46999999999997</v>
      </c>
      <c r="I127" s="198">
        <f>P29*0.26</f>
        <v>139.62</v>
      </c>
      <c r="J127" s="198">
        <f>P29*0.252</f>
        <v>135.324</v>
      </c>
      <c r="K127" s="198">
        <f>Q29*0.497</f>
        <v>238.56</v>
      </c>
      <c r="L127" s="198">
        <f>(R29+S29)*0.525</f>
        <v>276.15000000000003</v>
      </c>
      <c r="M127" s="17">
        <f t="shared" si="18"/>
        <v>83.3616</v>
      </c>
      <c r="N127" s="18">
        <f t="shared" si="15"/>
        <v>12.75</v>
      </c>
      <c r="O127" s="18">
        <f t="shared" si="19"/>
        <v>52.48799999999999</v>
      </c>
      <c r="P127" s="18">
        <f t="shared" si="20"/>
        <v>18.1236</v>
      </c>
      <c r="Q127" s="42">
        <f t="shared" si="16"/>
        <v>50</v>
      </c>
      <c r="R127" s="126"/>
      <c r="S127" s="186"/>
      <c r="T127" s="123"/>
      <c r="U127" s="123"/>
      <c r="V127" s="126"/>
      <c r="W127" s="44"/>
      <c r="AA127" s="123"/>
      <c r="AB127" s="123"/>
    </row>
    <row r="128" spans="1:28" s="4" customFormat="1" ht="15">
      <c r="A128" s="109" t="s">
        <v>51</v>
      </c>
      <c r="B128" s="199">
        <f t="shared" si="17"/>
        <v>1063.769</v>
      </c>
      <c r="C128" s="198">
        <f>C30*0.483</f>
        <v>122.199</v>
      </c>
      <c r="D128" s="198">
        <f>K30*0.481</f>
        <v>57.72</v>
      </c>
      <c r="E128" s="198">
        <f>L30*0.497</f>
        <v>58.646</v>
      </c>
      <c r="F128" s="198">
        <f>N30*0.096</f>
        <v>66.816</v>
      </c>
      <c r="G128" s="198">
        <f>N30*0.215</f>
        <v>149.64</v>
      </c>
      <c r="H128" s="198">
        <f>N30*0.193</f>
        <v>134.328</v>
      </c>
      <c r="I128" s="198">
        <f>P30*0.241</f>
        <v>67.48</v>
      </c>
      <c r="J128" s="198">
        <f>P30*0.28</f>
        <v>78.4</v>
      </c>
      <c r="K128" s="198">
        <f>Q30*0.505</f>
        <v>135.34</v>
      </c>
      <c r="L128" s="198">
        <f>(R30+S30)*0.525</f>
        <v>193.20000000000002</v>
      </c>
      <c r="M128" s="17">
        <f t="shared" si="18"/>
        <v>39.547039999999996</v>
      </c>
      <c r="N128" s="18">
        <f t="shared" si="15"/>
        <v>5.5</v>
      </c>
      <c r="O128" s="18">
        <f t="shared" si="19"/>
        <v>25.974719999999998</v>
      </c>
      <c r="P128" s="18">
        <f t="shared" si="20"/>
        <v>8.07232</v>
      </c>
      <c r="Q128" s="42">
        <f t="shared" si="16"/>
        <v>22</v>
      </c>
      <c r="R128" s="126"/>
      <c r="S128" s="186"/>
      <c r="T128" s="123"/>
      <c r="U128" s="123"/>
      <c r="V128" s="126"/>
      <c r="W128" s="44"/>
      <c r="AA128" s="123"/>
      <c r="AB128" s="123"/>
    </row>
    <row r="129" spans="1:28" s="4" customFormat="1" ht="15">
      <c r="A129" s="109" t="s">
        <v>81</v>
      </c>
      <c r="B129" s="199">
        <f t="shared" si="17"/>
        <v>754.701</v>
      </c>
      <c r="C129" s="198">
        <f>C31*0.506</f>
        <v>112.33200000000001</v>
      </c>
      <c r="D129" s="198">
        <f>K31*0.508</f>
        <v>50.292</v>
      </c>
      <c r="E129" s="198">
        <f>L31*0.476</f>
        <v>40.936</v>
      </c>
      <c r="F129" s="198">
        <f>N31*0.085</f>
        <v>40.375</v>
      </c>
      <c r="G129" s="198">
        <f>N31*0.212</f>
        <v>100.7</v>
      </c>
      <c r="H129" s="198">
        <f>N31*0.205</f>
        <v>97.375</v>
      </c>
      <c r="I129" s="198">
        <f>P31*0.255</f>
        <v>45.39</v>
      </c>
      <c r="J129" s="198">
        <f>P31*0.245</f>
        <v>43.61</v>
      </c>
      <c r="K129" s="198">
        <f>Q31*0.501</f>
        <v>95.691</v>
      </c>
      <c r="L129" s="198">
        <f>(R31+S31)*0.5</f>
        <v>128</v>
      </c>
      <c r="M129" s="17">
        <f t="shared" si="18"/>
        <v>25.764599999999998</v>
      </c>
      <c r="N129" s="18">
        <f t="shared" si="15"/>
        <v>3.125</v>
      </c>
      <c r="O129" s="18">
        <f t="shared" si="19"/>
        <v>16.929</v>
      </c>
      <c r="P129" s="18">
        <f t="shared" si="20"/>
        <v>5.7105999999999995</v>
      </c>
      <c r="Q129" s="42">
        <f t="shared" si="16"/>
        <v>12</v>
      </c>
      <c r="R129" s="126"/>
      <c r="S129" s="186"/>
      <c r="T129" s="123"/>
      <c r="U129" s="123"/>
      <c r="V129" s="126"/>
      <c r="W129" s="44"/>
      <c r="AA129" s="123"/>
      <c r="AB129" s="123"/>
    </row>
    <row r="130" spans="1:28" s="4" customFormat="1" ht="15">
      <c r="A130" s="192" t="s">
        <v>89</v>
      </c>
      <c r="B130" s="199">
        <f>SUM(C130:L130)</f>
        <v>698.9150000000001</v>
      </c>
      <c r="C130" s="198">
        <f>C32*0.5</f>
        <v>79.5</v>
      </c>
      <c r="D130" s="198">
        <f>K32*0.48</f>
        <v>43.199999999999996</v>
      </c>
      <c r="E130" s="198">
        <f>L32*0.48</f>
        <v>42.239999999999995</v>
      </c>
      <c r="F130" s="198">
        <f>N32*0.095</f>
        <v>44.175</v>
      </c>
      <c r="G130" s="198">
        <f>N32*0.21</f>
        <v>97.64999999999999</v>
      </c>
      <c r="H130" s="198">
        <f>N32*0.2</f>
        <v>93</v>
      </c>
      <c r="I130" s="198">
        <f>P32*0.25</f>
        <v>40</v>
      </c>
      <c r="J130" s="198">
        <f>P32*0.255</f>
        <v>40.8</v>
      </c>
      <c r="K130" s="198">
        <f>Q32*0.5</f>
        <v>88</v>
      </c>
      <c r="L130" s="198">
        <f>(R32+S32)*0.55</f>
        <v>130.35000000000002</v>
      </c>
      <c r="M130" s="17">
        <f>SUM(N130:P130)</f>
        <v>27.089</v>
      </c>
      <c r="N130" s="18">
        <f t="shared" si="15"/>
        <v>4.75</v>
      </c>
      <c r="O130" s="18">
        <f>(+F130+G130)*0.12</f>
        <v>17.019</v>
      </c>
      <c r="P130" s="18">
        <f>(+H130+I130)*0.04</f>
        <v>5.32</v>
      </c>
      <c r="Q130" s="42">
        <f t="shared" si="16"/>
        <v>19</v>
      </c>
      <c r="R130" s="126"/>
      <c r="S130" s="186"/>
      <c r="T130" s="123"/>
      <c r="U130" s="123"/>
      <c r="V130" s="126"/>
      <c r="W130" s="44"/>
      <c r="AA130" s="123"/>
      <c r="AB130" s="123"/>
    </row>
    <row r="131" spans="1:28" s="4" customFormat="1" ht="15">
      <c r="A131" s="105" t="s">
        <v>63</v>
      </c>
      <c r="B131" s="199">
        <f t="shared" si="17"/>
        <v>856.959</v>
      </c>
      <c r="C131" s="18">
        <f>C33*0.495</f>
        <v>115.335</v>
      </c>
      <c r="D131" s="18">
        <f>K33*0.5</f>
        <v>52.5</v>
      </c>
      <c r="E131" s="198">
        <f>L33*0.47</f>
        <v>47.47</v>
      </c>
      <c r="F131" s="198">
        <f>N33*0.086</f>
        <v>51.599999999999994</v>
      </c>
      <c r="G131" s="198">
        <f>N33*0.22</f>
        <v>132</v>
      </c>
      <c r="H131" s="198">
        <f>N33*0.213</f>
        <v>127.8</v>
      </c>
      <c r="I131" s="198">
        <f>P33*0.26</f>
        <v>61.1</v>
      </c>
      <c r="J131" s="198">
        <f>P33*0.252</f>
        <v>59.22</v>
      </c>
      <c r="K131" s="198">
        <f>Q33*0.495</f>
        <v>94.05</v>
      </c>
      <c r="L131" s="198">
        <f>(R33+S33)*0.522</f>
        <v>115.884</v>
      </c>
      <c r="M131" s="17">
        <f t="shared" si="18"/>
        <v>34.963</v>
      </c>
      <c r="N131" s="18">
        <f t="shared" si="15"/>
        <v>5.375</v>
      </c>
      <c r="O131" s="18">
        <f t="shared" si="19"/>
        <v>22.032</v>
      </c>
      <c r="P131" s="18">
        <f t="shared" si="20"/>
        <v>7.556</v>
      </c>
      <c r="Q131" s="42">
        <f t="shared" si="16"/>
        <v>21</v>
      </c>
      <c r="R131" s="126"/>
      <c r="S131" s="186"/>
      <c r="T131" s="123"/>
      <c r="U131" s="123"/>
      <c r="V131" s="126"/>
      <c r="W131" s="44"/>
      <c r="AA131" s="123"/>
      <c r="AB131" s="123"/>
    </row>
    <row r="132" spans="1:28" s="4" customFormat="1" ht="15">
      <c r="A132" s="105" t="s">
        <v>64</v>
      </c>
      <c r="B132" s="199">
        <f t="shared" si="17"/>
        <v>426.563</v>
      </c>
      <c r="C132" s="18">
        <f>C34*0.492</f>
        <v>57.564</v>
      </c>
      <c r="D132" s="18">
        <f>K34*0.5</f>
        <v>27.5</v>
      </c>
      <c r="E132" s="198">
        <f>L34*0.47</f>
        <v>24.439999999999998</v>
      </c>
      <c r="F132" s="198">
        <f>N34*0.089</f>
        <v>26.788999999999998</v>
      </c>
      <c r="G132" s="198">
        <f>N34*0.22</f>
        <v>66.22</v>
      </c>
      <c r="H132" s="198">
        <f>N34*0.195</f>
        <v>58.695</v>
      </c>
      <c r="I132" s="198">
        <f>P34*0.26</f>
        <v>30.16</v>
      </c>
      <c r="J132" s="198">
        <f>P34*0.252</f>
        <v>29.232</v>
      </c>
      <c r="K132" s="198">
        <f>Q34*0.495</f>
        <v>47.025</v>
      </c>
      <c r="L132" s="198">
        <f>(R34+S34)*0.517</f>
        <v>58.938</v>
      </c>
      <c r="M132" s="17">
        <f t="shared" si="18"/>
        <v>17.34028</v>
      </c>
      <c r="N132" s="18">
        <f t="shared" si="15"/>
        <v>2.625</v>
      </c>
      <c r="O132" s="18">
        <f t="shared" si="19"/>
        <v>11.16108</v>
      </c>
      <c r="P132" s="18">
        <f t="shared" si="20"/>
        <v>3.5542000000000002</v>
      </c>
      <c r="Q132" s="42">
        <f t="shared" si="16"/>
        <v>10</v>
      </c>
      <c r="R132" s="126"/>
      <c r="S132" s="186"/>
      <c r="T132" s="123"/>
      <c r="U132" s="123"/>
      <c r="V132" s="126"/>
      <c r="W132" s="44"/>
      <c r="AA132" s="123"/>
      <c r="AB132" s="123"/>
    </row>
    <row r="133" spans="1:28" s="4" customFormat="1" ht="15">
      <c r="A133" s="105" t="s">
        <v>65</v>
      </c>
      <c r="B133" s="199">
        <f t="shared" si="17"/>
        <v>790.8050000000001</v>
      </c>
      <c r="C133" s="18">
        <f>C35*0.485</f>
        <v>110.095</v>
      </c>
      <c r="D133" s="18">
        <f>K35*0.5</f>
        <v>51</v>
      </c>
      <c r="E133" s="198">
        <f>L35*0.47</f>
        <v>46.529999999999994</v>
      </c>
      <c r="F133" s="198">
        <f>N35*0.089</f>
        <v>51.086</v>
      </c>
      <c r="G133" s="198">
        <f>N35*0.22</f>
        <v>126.28</v>
      </c>
      <c r="H133" s="198">
        <f>N35*0.195</f>
        <v>111.93</v>
      </c>
      <c r="I133" s="198">
        <f>P35*0.26</f>
        <v>58.5</v>
      </c>
      <c r="J133" s="198">
        <f>P35*0.252</f>
        <v>56.7</v>
      </c>
      <c r="K133" s="198">
        <f>Q35*0.495</f>
        <v>74.25</v>
      </c>
      <c r="L133" s="198">
        <f>(R35+S35)*0.517</f>
        <v>104.434</v>
      </c>
      <c r="M133" s="17">
        <f t="shared" si="18"/>
        <v>33.47612</v>
      </c>
      <c r="N133" s="18">
        <f t="shared" si="15"/>
        <v>5.375</v>
      </c>
      <c r="O133" s="18">
        <f t="shared" si="19"/>
        <v>21.28392</v>
      </c>
      <c r="P133" s="18">
        <f t="shared" si="20"/>
        <v>6.817200000000001</v>
      </c>
      <c r="Q133" s="42">
        <f t="shared" si="16"/>
        <v>21</v>
      </c>
      <c r="R133" s="126"/>
      <c r="S133" s="186"/>
      <c r="T133" s="123"/>
      <c r="U133" s="123"/>
      <c r="V133" s="126"/>
      <c r="W133" s="44"/>
      <c r="AA133" s="123"/>
      <c r="AB133" s="123"/>
    </row>
    <row r="134" spans="1:28" s="4" customFormat="1" ht="15">
      <c r="A134" s="105" t="s">
        <v>66</v>
      </c>
      <c r="B134" s="199">
        <f t="shared" si="17"/>
        <v>955.0715</v>
      </c>
      <c r="C134" s="18">
        <f>C36*0.498</f>
        <v>155.874</v>
      </c>
      <c r="D134" s="18">
        <f>K36*0.5</f>
        <v>77.5</v>
      </c>
      <c r="E134" s="18">
        <f>L36*0.5</f>
        <v>65.5</v>
      </c>
      <c r="F134" s="18">
        <f>N36*0.0885</f>
        <v>48.5865</v>
      </c>
      <c r="G134" s="18">
        <f>N36*0.204</f>
        <v>111.996</v>
      </c>
      <c r="H134" s="18">
        <f>N36*0.2</f>
        <v>109.80000000000001</v>
      </c>
      <c r="I134" s="18">
        <f>P36*0.267</f>
        <v>67.01700000000001</v>
      </c>
      <c r="J134" s="18">
        <f>P36*0.25</f>
        <v>62.75</v>
      </c>
      <c r="K134" s="18">
        <f>Q36*0.533</f>
        <v>114.06200000000001</v>
      </c>
      <c r="L134" s="18">
        <f>(R36+S36)*0.559</f>
        <v>141.98600000000002</v>
      </c>
      <c r="M134" s="17">
        <f t="shared" si="18"/>
        <v>32.59258</v>
      </c>
      <c r="N134" s="18">
        <f t="shared" si="15"/>
        <v>6.25</v>
      </c>
      <c r="O134" s="18">
        <f t="shared" si="19"/>
        <v>19.269899999999996</v>
      </c>
      <c r="P134" s="18">
        <f t="shared" si="20"/>
        <v>7.07268</v>
      </c>
      <c r="Q134" s="42">
        <f t="shared" si="16"/>
        <v>25</v>
      </c>
      <c r="R134" s="126"/>
      <c r="S134" s="186"/>
      <c r="T134" s="123"/>
      <c r="U134" s="123"/>
      <c r="V134" s="126"/>
      <c r="W134" s="44"/>
      <c r="AA134" s="123"/>
      <c r="AB134" s="123"/>
    </row>
    <row r="135" spans="1:28" s="4" customFormat="1" ht="15">
      <c r="A135" s="105" t="s">
        <v>67</v>
      </c>
      <c r="B135" s="199">
        <f t="shared" si="17"/>
        <v>1307.083</v>
      </c>
      <c r="C135" s="198">
        <f>C37*0.497</f>
        <v>215.201</v>
      </c>
      <c r="D135" s="198">
        <f>K37*0.5</f>
        <v>100.5</v>
      </c>
      <c r="E135" s="198">
        <f>L37*0.48</f>
        <v>70.08</v>
      </c>
      <c r="F135" s="198">
        <f>N37*0.085</f>
        <v>66.81</v>
      </c>
      <c r="G135" s="198">
        <f>N37*0.225</f>
        <v>176.85</v>
      </c>
      <c r="H135" s="198">
        <f>N37*0.199</f>
        <v>156.41400000000002</v>
      </c>
      <c r="I135" s="198">
        <f>P37*0.265</f>
        <v>83.21000000000001</v>
      </c>
      <c r="J135" s="198">
        <f>P37*0.25</f>
        <v>78.5</v>
      </c>
      <c r="K135" s="198">
        <f>Q37*0.506</f>
        <v>163.438</v>
      </c>
      <c r="L135" s="198">
        <f>(R37+S37)*0.516</f>
        <v>196.08</v>
      </c>
      <c r="M135" s="17">
        <f t="shared" si="18"/>
        <v>46.32416</v>
      </c>
      <c r="N135" s="18">
        <f t="shared" si="15"/>
        <v>7.5</v>
      </c>
      <c r="O135" s="18">
        <f t="shared" si="19"/>
        <v>29.239199999999997</v>
      </c>
      <c r="P135" s="18">
        <f t="shared" si="20"/>
        <v>9.58496</v>
      </c>
      <c r="Q135" s="42">
        <f t="shared" si="16"/>
        <v>31</v>
      </c>
      <c r="R135" s="126"/>
      <c r="S135" s="186"/>
      <c r="T135" s="123"/>
      <c r="U135" s="123"/>
      <c r="V135" s="126"/>
      <c r="W135" s="44"/>
      <c r="AA135" s="123"/>
      <c r="AB135" s="123"/>
    </row>
    <row r="136" spans="1:28" s="4" customFormat="1" ht="15">
      <c r="A136" s="105" t="s">
        <v>68</v>
      </c>
      <c r="B136" s="199">
        <f t="shared" si="17"/>
        <v>604.815</v>
      </c>
      <c r="C136" s="198">
        <f>C38*0.5</f>
        <v>81.5</v>
      </c>
      <c r="D136" s="198">
        <f>K38*0.48</f>
        <v>38.4</v>
      </c>
      <c r="E136" s="198">
        <f>L38*0.48</f>
        <v>37.44</v>
      </c>
      <c r="F136" s="198">
        <f>N38*0.095</f>
        <v>38.19</v>
      </c>
      <c r="G136" s="198">
        <f>N38*0.21</f>
        <v>84.42</v>
      </c>
      <c r="H136" s="198">
        <f>N38*0.2</f>
        <v>80.4</v>
      </c>
      <c r="I136" s="198">
        <f>P38*0.25</f>
        <v>35.75</v>
      </c>
      <c r="J136" s="198">
        <f>P38*0.255</f>
        <v>36.465</v>
      </c>
      <c r="K136" s="198">
        <f>Q38*0.5</f>
        <v>76</v>
      </c>
      <c r="L136" s="198">
        <f>(R38+S38)*0.55</f>
        <v>96.25000000000001</v>
      </c>
      <c r="M136" s="17">
        <f t="shared" si="18"/>
        <v>23.6092</v>
      </c>
      <c r="N136" s="18">
        <f t="shared" si="15"/>
        <v>4.25</v>
      </c>
      <c r="O136" s="18">
        <f t="shared" si="19"/>
        <v>14.713199999999999</v>
      </c>
      <c r="P136" s="18">
        <f t="shared" si="20"/>
        <v>4.646</v>
      </c>
      <c r="Q136" s="42">
        <f t="shared" si="16"/>
        <v>17</v>
      </c>
      <c r="R136" s="126"/>
      <c r="S136" s="186"/>
      <c r="T136" s="123"/>
      <c r="U136" s="123"/>
      <c r="V136" s="126"/>
      <c r="W136" s="44"/>
      <c r="AA136" s="123"/>
      <c r="AB136" s="123"/>
    </row>
    <row r="137" spans="1:28" s="4" customFormat="1" ht="15">
      <c r="A137" s="105" t="s">
        <v>69</v>
      </c>
      <c r="B137" s="199">
        <f t="shared" si="17"/>
        <v>678.63</v>
      </c>
      <c r="C137" s="198">
        <f>C39*0.5</f>
        <v>90.5</v>
      </c>
      <c r="D137" s="198">
        <f>K39*0.48</f>
        <v>43.199999999999996</v>
      </c>
      <c r="E137" s="198">
        <f>L39*0.48</f>
        <v>41.76</v>
      </c>
      <c r="F137" s="198">
        <f>N39*0.095</f>
        <v>43.32</v>
      </c>
      <c r="G137" s="198">
        <f>N39*0.21</f>
        <v>95.75999999999999</v>
      </c>
      <c r="H137" s="198">
        <f>N39*0.2</f>
        <v>91.2</v>
      </c>
      <c r="I137" s="198">
        <f>P39*0.25</f>
        <v>37.25</v>
      </c>
      <c r="J137" s="198">
        <f>P39*0.255</f>
        <v>37.995</v>
      </c>
      <c r="K137" s="198">
        <f>Q39*0.48</f>
        <v>85.92</v>
      </c>
      <c r="L137" s="198">
        <f>(R39+S39)*0.545</f>
        <v>111.72500000000001</v>
      </c>
      <c r="M137" s="17">
        <f t="shared" si="18"/>
        <v>26.077599999999997</v>
      </c>
      <c r="N137" s="18">
        <f t="shared" si="15"/>
        <v>4.25</v>
      </c>
      <c r="O137" s="18">
        <f t="shared" si="19"/>
        <v>16.6896</v>
      </c>
      <c r="P137" s="18">
        <f t="shared" si="20"/>
        <v>5.138</v>
      </c>
      <c r="Q137" s="42">
        <f t="shared" si="16"/>
        <v>17</v>
      </c>
      <c r="R137" s="126"/>
      <c r="S137" s="186"/>
      <c r="T137" s="123"/>
      <c r="U137" s="123"/>
      <c r="V137" s="126"/>
      <c r="W137" s="44"/>
      <c r="AA137" s="123"/>
      <c r="AB137" s="123"/>
    </row>
    <row r="138" spans="1:28" s="4" customFormat="1" ht="15">
      <c r="A138" s="105" t="s">
        <v>70</v>
      </c>
      <c r="B138" s="199">
        <f t="shared" si="17"/>
        <v>557.6800000000001</v>
      </c>
      <c r="C138" s="198">
        <f>C40*0.5</f>
        <v>74</v>
      </c>
      <c r="D138" s="198">
        <f>K40*0.5</f>
        <v>39</v>
      </c>
      <c r="E138" s="198">
        <f>L40*0.48</f>
        <v>36</v>
      </c>
      <c r="F138" s="198">
        <f>N40*0.095</f>
        <v>34.865</v>
      </c>
      <c r="G138" s="198">
        <f>N40*0.21</f>
        <v>77.07</v>
      </c>
      <c r="H138" s="198">
        <f>N40*0.2</f>
        <v>73.4</v>
      </c>
      <c r="I138" s="198">
        <f>P40*0.25</f>
        <v>33.25</v>
      </c>
      <c r="J138" s="198">
        <f>P40*0.255</f>
        <v>33.915</v>
      </c>
      <c r="K138" s="198">
        <f>Q40*0.48</f>
        <v>68.16</v>
      </c>
      <c r="L138" s="198">
        <f>(R40+S40)*0.54</f>
        <v>88.02000000000001</v>
      </c>
      <c r="M138" s="17">
        <f t="shared" si="18"/>
        <v>21.4482</v>
      </c>
      <c r="N138" s="18">
        <f t="shared" si="15"/>
        <v>3.75</v>
      </c>
      <c r="O138" s="18">
        <f t="shared" si="19"/>
        <v>13.4322</v>
      </c>
      <c r="P138" s="18">
        <f t="shared" si="20"/>
        <v>4.266</v>
      </c>
      <c r="Q138" s="42">
        <f t="shared" si="16"/>
        <v>15</v>
      </c>
      <c r="R138" s="126"/>
      <c r="S138" s="186"/>
      <c r="T138" s="123"/>
      <c r="U138" s="123"/>
      <c r="V138" s="126"/>
      <c r="W138" s="44"/>
      <c r="AA138" s="123"/>
      <c r="AB138" s="123"/>
    </row>
    <row r="139" spans="1:28" s="4" customFormat="1" ht="15">
      <c r="A139" s="105" t="s">
        <v>71</v>
      </c>
      <c r="B139" s="199">
        <f t="shared" si="17"/>
        <v>1238.2505</v>
      </c>
      <c r="C139" s="198">
        <f>C41*0.5</f>
        <v>160</v>
      </c>
      <c r="D139" s="198">
        <f>K41*0.5</f>
        <v>77.5</v>
      </c>
      <c r="E139" s="198">
        <f>L41*0.49</f>
        <v>73.5</v>
      </c>
      <c r="F139" s="198">
        <f>N41*0.092</f>
        <v>79.488</v>
      </c>
      <c r="G139" s="198">
        <f>N41*0.215</f>
        <v>185.76</v>
      </c>
      <c r="H139" s="198">
        <f>N41*0.187</f>
        <v>161.568</v>
      </c>
      <c r="I139" s="198">
        <f>P41*0.234</f>
        <v>77.45400000000001</v>
      </c>
      <c r="J139" s="198">
        <f>P41*0.2555</f>
        <v>84.5705</v>
      </c>
      <c r="K139" s="198">
        <f>Q41*0.47</f>
        <v>140.53</v>
      </c>
      <c r="L139" s="198">
        <f>(R41+S41)*0.51</f>
        <v>197.88</v>
      </c>
      <c r="M139" s="17">
        <f t="shared" si="18"/>
        <v>47.64063999999999</v>
      </c>
      <c r="N139" s="18">
        <f t="shared" si="15"/>
        <v>6.25</v>
      </c>
      <c r="O139" s="18">
        <f t="shared" si="19"/>
        <v>31.829759999999997</v>
      </c>
      <c r="P139" s="18">
        <f t="shared" si="20"/>
        <v>9.560880000000001</v>
      </c>
      <c r="Q139" s="42">
        <f t="shared" si="16"/>
        <v>25</v>
      </c>
      <c r="R139" s="126"/>
      <c r="S139" s="186"/>
      <c r="T139" s="123"/>
      <c r="U139" s="123"/>
      <c r="V139" s="126"/>
      <c r="W139" s="44"/>
      <c r="AA139" s="123"/>
      <c r="AB139" s="123"/>
    </row>
    <row r="140" spans="1:28" s="4" customFormat="1" ht="15">
      <c r="A140" s="105" t="s">
        <v>72</v>
      </c>
      <c r="B140" s="199">
        <f t="shared" si="17"/>
        <v>690.74</v>
      </c>
      <c r="C140" s="198">
        <f>C42*0.483</f>
        <v>91.77</v>
      </c>
      <c r="D140" s="198">
        <f>K42*0.481</f>
        <v>43.29</v>
      </c>
      <c r="E140" s="198">
        <f>L42*0.497</f>
        <v>44.233</v>
      </c>
      <c r="F140" s="198">
        <f>N42*0.096</f>
        <v>45.6</v>
      </c>
      <c r="G140" s="198">
        <f>N42*0.215</f>
        <v>102.125</v>
      </c>
      <c r="H140" s="198">
        <f>N42*0.19</f>
        <v>90.25</v>
      </c>
      <c r="I140" s="198">
        <f>P42*0.241</f>
        <v>38.801</v>
      </c>
      <c r="J140" s="198">
        <f>P42*0.271</f>
        <v>43.631</v>
      </c>
      <c r="K140" s="198">
        <f>Q42*0.51</f>
        <v>89.25</v>
      </c>
      <c r="L140" s="198">
        <f>(R42+S42)*0.522</f>
        <v>101.79</v>
      </c>
      <c r="M140" s="17">
        <f t="shared" si="18"/>
        <v>26.88904</v>
      </c>
      <c r="N140" s="18">
        <f t="shared" si="15"/>
        <v>4</v>
      </c>
      <c r="O140" s="18">
        <f t="shared" si="19"/>
        <v>17.727</v>
      </c>
      <c r="P140" s="18">
        <f t="shared" si="20"/>
        <v>5.162039999999999</v>
      </c>
      <c r="Q140" s="42">
        <f t="shared" si="16"/>
        <v>16</v>
      </c>
      <c r="R140" s="126"/>
      <c r="S140" s="186"/>
      <c r="T140" s="123"/>
      <c r="U140" s="123"/>
      <c r="V140" s="126"/>
      <c r="W140" s="44"/>
      <c r="AA140" s="123"/>
      <c r="AB140" s="123"/>
    </row>
    <row r="141" spans="2:28" s="59" customFormat="1" ht="26.25" customHeight="1">
      <c r="B141" s="42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17"/>
      <c r="N141" s="61"/>
      <c r="O141" s="61"/>
      <c r="P141" s="61"/>
      <c r="Q141" s="42"/>
      <c r="R141" s="126"/>
      <c r="S141" s="186"/>
      <c r="T141" s="123"/>
      <c r="U141" s="123"/>
      <c r="V141" s="126"/>
      <c r="W141" s="44"/>
      <c r="Y141" s="4"/>
      <c r="Z141" s="4"/>
      <c r="AA141" s="123"/>
      <c r="AB141" s="123"/>
    </row>
    <row r="142" spans="1:28" s="4" customFormat="1" ht="15">
      <c r="A142" s="54" t="s">
        <v>18</v>
      </c>
      <c r="B142" s="55">
        <f t="shared" si="17"/>
        <v>2031.035</v>
      </c>
      <c r="C142" s="18">
        <f>C44*0.499</f>
        <v>320.358</v>
      </c>
      <c r="D142" s="18">
        <f>K44*0.5</f>
        <v>158</v>
      </c>
      <c r="E142" s="18">
        <f>L44*0.5</f>
        <v>145.5</v>
      </c>
      <c r="F142" s="18">
        <f>N44*0.0885</f>
        <v>127.44</v>
      </c>
      <c r="G142" s="18">
        <f>N44*0.2</f>
        <v>288</v>
      </c>
      <c r="H142" s="18">
        <f>N44*0.2</f>
        <v>288</v>
      </c>
      <c r="I142" s="18">
        <f>P44*0.267</f>
        <v>130.029</v>
      </c>
      <c r="J142" s="18">
        <f>P44*0.25</f>
        <v>121.75</v>
      </c>
      <c r="K142" s="18">
        <f>Q44*0.533</f>
        <v>246.246</v>
      </c>
      <c r="L142" s="18">
        <f>(R44+S44)*0.559</f>
        <v>205.71200000000002</v>
      </c>
      <c r="M142" s="56">
        <f t="shared" si="18"/>
        <v>85.44896</v>
      </c>
      <c r="N142" s="57">
        <f>(+D44+E44)*0.125</f>
        <v>18.875</v>
      </c>
      <c r="O142" s="57">
        <f t="shared" si="19"/>
        <v>49.852799999999995</v>
      </c>
      <c r="P142" s="57">
        <f t="shared" si="20"/>
        <v>16.72116</v>
      </c>
      <c r="Q142" s="55">
        <f>D44</f>
        <v>76</v>
      </c>
      <c r="R142" s="126"/>
      <c r="S142" s="186"/>
      <c r="T142" s="123"/>
      <c r="U142" s="123"/>
      <c r="V142" s="126"/>
      <c r="W142" s="44"/>
      <c r="AA142" s="123"/>
      <c r="AB142" s="123"/>
    </row>
    <row r="143" spans="2:23" s="4" customFormat="1" ht="15"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</row>
    <row r="144" spans="2:23" s="4" customFormat="1" ht="15"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</row>
    <row r="145" spans="2:12" s="4" customFormat="1" ht="15"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</row>
    <row r="146" spans="2:12" s="4" customFormat="1" ht="15"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</row>
    <row r="147" spans="2:12" s="4" customFormat="1" ht="15"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</row>
    <row r="148" spans="2:12" s="4" customFormat="1" ht="15"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</row>
    <row r="149" spans="2:11" s="4" customFormat="1" ht="15">
      <c r="B149" s="44"/>
      <c r="C149" s="44"/>
      <c r="D149" s="44"/>
      <c r="E149" s="44"/>
      <c r="F149" s="44"/>
      <c r="G149" s="44"/>
      <c r="H149" s="44"/>
      <c r="I149" s="44"/>
      <c r="J149" s="44"/>
      <c r="K149" s="44"/>
    </row>
    <row r="150" s="4" customFormat="1" ht="15">
      <c r="E150" s="4" t="s">
        <v>33</v>
      </c>
    </row>
    <row r="151" s="4" customFormat="1" ht="15"/>
    <row r="152" s="4" customFormat="1" ht="15">
      <c r="G152" s="4" t="str">
        <f>+G3</f>
        <v>           SERVICIO DE SALUD ACONCAGUA  2020</v>
      </c>
    </row>
    <row r="153" s="4" customFormat="1" ht="15"/>
    <row r="154" s="4" customFormat="1" ht="15.75" thickBot="1">
      <c r="K154" s="59"/>
    </row>
    <row r="155" spans="1:18" s="4" customFormat="1" ht="15">
      <c r="A155" s="175"/>
      <c r="B155" s="180"/>
      <c r="C155" s="152"/>
      <c r="D155" s="152"/>
      <c r="E155" s="152"/>
      <c r="F155" s="152"/>
      <c r="G155" s="152"/>
      <c r="H155" s="152"/>
      <c r="I155" s="152"/>
      <c r="J155" s="152"/>
      <c r="K155" s="152"/>
      <c r="L155" s="166"/>
      <c r="M155" s="152"/>
      <c r="N155" s="152"/>
      <c r="O155" s="152"/>
      <c r="P155" s="166"/>
      <c r="Q155" s="166"/>
      <c r="R155"/>
    </row>
    <row r="156" spans="1:18" s="4" customFormat="1" ht="15">
      <c r="A156" s="105"/>
      <c r="B156" s="181"/>
      <c r="C156" s="59"/>
      <c r="D156" s="59"/>
      <c r="E156" s="204" t="s">
        <v>23</v>
      </c>
      <c r="F156" s="204"/>
      <c r="G156" s="204"/>
      <c r="H156" s="204"/>
      <c r="I156" s="204"/>
      <c r="J156" s="204"/>
      <c r="K156" s="59"/>
      <c r="L156" s="176"/>
      <c r="M156" s="59"/>
      <c r="N156" s="59" t="s">
        <v>24</v>
      </c>
      <c r="O156" s="59"/>
      <c r="P156" s="176"/>
      <c r="Q156" s="167" t="s">
        <v>25</v>
      </c>
      <c r="R156"/>
    </row>
    <row r="157" spans="1:18" s="4" customFormat="1" ht="15.75" thickBot="1">
      <c r="A157" s="105"/>
      <c r="B157" s="181"/>
      <c r="C157" s="179" t="s">
        <v>1</v>
      </c>
      <c r="D157" s="170"/>
      <c r="E157" s="170"/>
      <c r="F157" s="170"/>
      <c r="G157" s="170"/>
      <c r="H157" s="170"/>
      <c r="I157" s="170"/>
      <c r="J157" s="170"/>
      <c r="K157" s="170"/>
      <c r="L157" s="177"/>
      <c r="M157" s="170"/>
      <c r="N157" s="170"/>
      <c r="O157" s="170"/>
      <c r="P157" s="177"/>
      <c r="Q157" s="167"/>
      <c r="R157"/>
    </row>
    <row r="158" spans="1:19" s="4" customFormat="1" ht="15">
      <c r="A158" s="105"/>
      <c r="B158" s="182" t="s">
        <v>5</v>
      </c>
      <c r="C158" s="59"/>
      <c r="D158" s="59"/>
      <c r="E158" s="59"/>
      <c r="F158" s="59"/>
      <c r="G158" s="59"/>
      <c r="H158" s="59"/>
      <c r="I158" s="59"/>
      <c r="J158" s="59"/>
      <c r="K158" s="114"/>
      <c r="L158" s="120"/>
      <c r="M158" s="118"/>
      <c r="N158" s="60"/>
      <c r="O158" s="60"/>
      <c r="P158" s="60"/>
      <c r="Q158" s="168" t="s">
        <v>26</v>
      </c>
      <c r="R158"/>
      <c r="S158" s="60"/>
    </row>
    <row r="159" spans="1:23" s="4" customFormat="1" ht="15">
      <c r="A159" s="178" t="s">
        <v>6</v>
      </c>
      <c r="B159" s="181"/>
      <c r="C159" s="60" t="s">
        <v>27</v>
      </c>
      <c r="D159" s="60" t="s">
        <v>9</v>
      </c>
      <c r="E159" s="60" t="s">
        <v>10</v>
      </c>
      <c r="F159" s="60" t="s">
        <v>82</v>
      </c>
      <c r="G159" s="60" t="s">
        <v>52</v>
      </c>
      <c r="H159" s="60" t="s">
        <v>53</v>
      </c>
      <c r="I159" s="60" t="s">
        <v>28</v>
      </c>
      <c r="J159" s="60" t="s">
        <v>73</v>
      </c>
      <c r="K159" s="119" t="s">
        <v>49</v>
      </c>
      <c r="L159" s="120" t="s">
        <v>29</v>
      </c>
      <c r="M159" s="118" t="s">
        <v>12</v>
      </c>
      <c r="N159" s="60" t="s">
        <v>30</v>
      </c>
      <c r="O159" s="60" t="s">
        <v>31</v>
      </c>
      <c r="P159" s="60" t="s">
        <v>83</v>
      </c>
      <c r="Q159" s="168"/>
      <c r="R159" s="132"/>
      <c r="S159" s="201" t="s">
        <v>92</v>
      </c>
      <c r="T159" s="132"/>
      <c r="U159" s="132"/>
      <c r="V159" s="188"/>
      <c r="W159" s="188"/>
    </row>
    <row r="160" spans="1:22" s="4" customFormat="1" ht="15">
      <c r="A160" s="105"/>
      <c r="B160" s="182" t="s">
        <v>12</v>
      </c>
      <c r="C160" s="60" t="s">
        <v>16</v>
      </c>
      <c r="D160" s="60" t="s">
        <v>16</v>
      </c>
      <c r="E160" s="60" t="s">
        <v>16</v>
      </c>
      <c r="F160" s="60" t="s">
        <v>16</v>
      </c>
      <c r="G160" s="60" t="s">
        <v>16</v>
      </c>
      <c r="H160" s="60" t="s">
        <v>16</v>
      </c>
      <c r="I160" s="60" t="s">
        <v>16</v>
      </c>
      <c r="J160" s="60" t="s">
        <v>16</v>
      </c>
      <c r="K160" s="119" t="s">
        <v>16</v>
      </c>
      <c r="L160" s="120" t="s">
        <v>16</v>
      </c>
      <c r="M160" s="118"/>
      <c r="N160" s="60" t="s">
        <v>16</v>
      </c>
      <c r="O160" s="60" t="s">
        <v>16</v>
      </c>
      <c r="P160" s="60" t="s">
        <v>16</v>
      </c>
      <c r="Q160" s="168" t="s">
        <v>32</v>
      </c>
      <c r="R160" s="132"/>
      <c r="S160" s="60" t="s">
        <v>16</v>
      </c>
      <c r="T160" s="132"/>
      <c r="U160" s="132"/>
      <c r="V160" s="132"/>
    </row>
    <row r="161" spans="1:21" s="4" customFormat="1" ht="15.75" thickBot="1">
      <c r="A161" s="49"/>
      <c r="B161" s="183"/>
      <c r="C161" s="170"/>
      <c r="D161" s="170"/>
      <c r="E161" s="170"/>
      <c r="F161" s="170"/>
      <c r="G161" s="170"/>
      <c r="H161" s="170"/>
      <c r="I161" s="170"/>
      <c r="J161" s="170"/>
      <c r="K161" s="171"/>
      <c r="L161" s="172"/>
      <c r="M161" s="169"/>
      <c r="N161" s="170"/>
      <c r="O161" s="173"/>
      <c r="P161" s="173"/>
      <c r="Q161" s="174"/>
      <c r="R161" s="131"/>
      <c r="T161" s="127"/>
      <c r="U161" s="128"/>
    </row>
    <row r="162" spans="1:18" s="4" customFormat="1" ht="15">
      <c r="A162" s="15"/>
      <c r="B162" s="15"/>
      <c r="C162" s="14"/>
      <c r="D162" s="59"/>
      <c r="E162" s="59"/>
      <c r="F162" s="59"/>
      <c r="G162" s="59"/>
      <c r="H162" s="59"/>
      <c r="I162" s="59"/>
      <c r="J162" s="59"/>
      <c r="K162" s="59"/>
      <c r="L162" s="61"/>
      <c r="M162" s="61"/>
      <c r="N162" s="61"/>
      <c r="O162" s="61"/>
      <c r="P162" s="61"/>
      <c r="Q162" s="19"/>
      <c r="R162"/>
    </row>
    <row r="163" spans="1:23" s="4" customFormat="1" ht="15">
      <c r="A163" s="15" t="s">
        <v>17</v>
      </c>
      <c r="B163" s="42">
        <f aca="true" t="shared" si="21" ref="B163:Q163">SUM(B164:B194)</f>
        <v>121650.08117370002</v>
      </c>
      <c r="C163" s="17">
        <f t="shared" si="21"/>
        <v>15949.4095975</v>
      </c>
      <c r="D163" s="61">
        <f t="shared" si="21"/>
        <v>8197.617443000001</v>
      </c>
      <c r="E163" s="61">
        <f t="shared" si="21"/>
        <v>7472.307440000001</v>
      </c>
      <c r="F163" s="61">
        <f t="shared" si="21"/>
        <v>7765.5383974</v>
      </c>
      <c r="G163" s="18">
        <f t="shared" si="21"/>
        <v>18457.833573</v>
      </c>
      <c r="H163" s="18">
        <f t="shared" si="21"/>
        <v>17062.3142026</v>
      </c>
      <c r="I163" s="18">
        <f t="shared" si="21"/>
        <v>7861.086814000001</v>
      </c>
      <c r="J163" s="18">
        <f t="shared" si="21"/>
        <v>7779.627433000001</v>
      </c>
      <c r="K163" s="61">
        <f t="shared" si="21"/>
        <v>13992.2701512</v>
      </c>
      <c r="L163" s="61">
        <f t="shared" si="21"/>
        <v>17112.076121999995</v>
      </c>
      <c r="M163" s="18">
        <f t="shared" si="21"/>
        <v>4552.149887999998</v>
      </c>
      <c r="N163" s="18">
        <f t="shared" si="21"/>
        <v>684.6999999999998</v>
      </c>
      <c r="O163" s="18">
        <f t="shared" si="21"/>
        <v>2937.3820703999995</v>
      </c>
      <c r="P163" s="18">
        <f t="shared" si="21"/>
        <v>930.0678175999999</v>
      </c>
      <c r="Q163" s="19">
        <f t="shared" si="21"/>
        <v>2533.4480000000003</v>
      </c>
      <c r="R163" s="103"/>
      <c r="S163" s="103">
        <f>SUM(S164:S192)</f>
        <v>22370.820248469998</v>
      </c>
      <c r="T163" s="103"/>
      <c r="U163" s="103"/>
      <c r="V163" s="103"/>
      <c r="W163" s="103"/>
    </row>
    <row r="164" spans="1:23" s="4" customFormat="1" ht="15">
      <c r="A164" s="93" t="s">
        <v>55</v>
      </c>
      <c r="B164" s="42">
        <f>SUM(C164:L164)</f>
        <v>11664.959999999997</v>
      </c>
      <c r="C164" s="18">
        <f>C112*0.87</f>
        <v>1546.86</v>
      </c>
      <c r="D164" s="18">
        <f aca="true" t="shared" si="22" ref="D164:L164">D112*0.87</f>
        <v>754.29</v>
      </c>
      <c r="E164" s="18">
        <f t="shared" si="22"/>
        <v>732.54</v>
      </c>
      <c r="F164" s="18">
        <f t="shared" si="22"/>
        <v>762.12</v>
      </c>
      <c r="G164" s="18">
        <f t="shared" si="22"/>
        <v>1770.45</v>
      </c>
      <c r="H164" s="18">
        <f t="shared" si="22"/>
        <v>1597.32</v>
      </c>
      <c r="I164" s="18">
        <f t="shared" si="22"/>
        <v>771.6899999999999</v>
      </c>
      <c r="J164" s="18">
        <f t="shared" si="22"/>
        <v>710.79</v>
      </c>
      <c r="K164" s="18">
        <f t="shared" si="22"/>
        <v>1384.17</v>
      </c>
      <c r="L164" s="18">
        <f t="shared" si="22"/>
        <v>1634.73</v>
      </c>
      <c r="M164" s="18">
        <f aca="true" t="shared" si="23" ref="M164:M192">SUM(N164:P164)</f>
        <v>431.89200000000005</v>
      </c>
      <c r="N164" s="18">
        <f aca="true" t="shared" si="24" ref="N164:P179">N112*0.8</f>
        <v>65.3</v>
      </c>
      <c r="O164" s="18">
        <f t="shared" si="24"/>
        <v>279.456</v>
      </c>
      <c r="P164" s="18">
        <f t="shared" si="24"/>
        <v>87.13600000000001</v>
      </c>
      <c r="Q164" s="19">
        <f>Q112*0.91</f>
        <v>291.2</v>
      </c>
      <c r="R164" s="126"/>
      <c r="S164" s="186">
        <f>+J164+K164+0.035*L164</f>
        <v>2152.17555</v>
      </c>
      <c r="T164" s="123"/>
      <c r="U164" s="123"/>
      <c r="V164" s="126"/>
      <c r="W164" s="44"/>
    </row>
    <row r="165" spans="1:23" s="4" customFormat="1" ht="15">
      <c r="A165" s="93" t="s">
        <v>84</v>
      </c>
      <c r="B165" s="42">
        <f aca="true" t="shared" si="25" ref="B165:B192">SUM(C165:L165)</f>
        <v>12121.981444000001</v>
      </c>
      <c r="C165" s="18">
        <f>C113*0.68</f>
        <v>1575.469356</v>
      </c>
      <c r="D165" s="18">
        <f aca="true" t="shared" si="26" ref="D165:L165">D113*0.68</f>
        <v>823.1298</v>
      </c>
      <c r="E165" s="18">
        <f t="shared" si="26"/>
        <v>726.22776</v>
      </c>
      <c r="F165" s="18">
        <f t="shared" si="26"/>
        <v>814.40608</v>
      </c>
      <c r="G165" s="18">
        <f t="shared" si="26"/>
        <v>1920.9360800000002</v>
      </c>
      <c r="H165" s="18">
        <f t="shared" si="26"/>
        <v>1676.6142560000003</v>
      </c>
      <c r="I165" s="18">
        <f t="shared" si="26"/>
        <v>737.6329920000001</v>
      </c>
      <c r="J165" s="18">
        <f t="shared" si="26"/>
        <v>776.3016000000001</v>
      </c>
      <c r="K165" s="18">
        <f t="shared" si="26"/>
        <v>1388.9353600000002</v>
      </c>
      <c r="L165" s="18">
        <f t="shared" si="26"/>
        <v>1682.32816</v>
      </c>
      <c r="M165" s="18">
        <f t="shared" si="23"/>
        <v>587.9775872</v>
      </c>
      <c r="N165" s="18">
        <f t="shared" si="24"/>
        <v>88.2</v>
      </c>
      <c r="O165" s="18">
        <f t="shared" si="24"/>
        <v>386.165952</v>
      </c>
      <c r="P165" s="18">
        <f t="shared" si="24"/>
        <v>113.61163520000002</v>
      </c>
      <c r="Q165" s="19">
        <f>Q113*0.784</f>
        <v>346.528</v>
      </c>
      <c r="R165" s="126"/>
      <c r="S165" s="186">
        <f aca="true" t="shared" si="27" ref="S165:S192">+J165+K165+0.035*L165</f>
        <v>2224.1184456</v>
      </c>
      <c r="T165" s="123"/>
      <c r="U165" s="123"/>
      <c r="V165" s="126"/>
      <c r="W165" s="44"/>
    </row>
    <row r="166" spans="1:23" s="4" customFormat="1" ht="15">
      <c r="A166" s="93" t="s">
        <v>85</v>
      </c>
      <c r="B166" s="42">
        <f t="shared" si="25"/>
        <v>17077.6647</v>
      </c>
      <c r="C166" s="18">
        <f>C114*0.9</f>
        <v>2187.297</v>
      </c>
      <c r="D166" s="18">
        <f aca="true" t="shared" si="28" ref="D166:L166">D114*0.9</f>
        <v>1205.334</v>
      </c>
      <c r="E166" s="18">
        <f t="shared" si="28"/>
        <v>1078.245</v>
      </c>
      <c r="F166" s="18">
        <f t="shared" si="28"/>
        <v>1123.9956</v>
      </c>
      <c r="G166" s="18">
        <f t="shared" si="28"/>
        <v>2680.2972000000004</v>
      </c>
      <c r="H166" s="18">
        <f t="shared" si="28"/>
        <v>2340.6282</v>
      </c>
      <c r="I166" s="18">
        <f t="shared" si="28"/>
        <v>1043.5068</v>
      </c>
      <c r="J166" s="18">
        <f t="shared" si="28"/>
        <v>1097.3385</v>
      </c>
      <c r="K166" s="18">
        <f t="shared" si="28"/>
        <v>1944.8784</v>
      </c>
      <c r="L166" s="18">
        <f t="shared" si="28"/>
        <v>2376.144</v>
      </c>
      <c r="M166" s="18">
        <f t="shared" si="23"/>
        <v>618.616032</v>
      </c>
      <c r="N166" s="18">
        <f t="shared" si="24"/>
        <v>92.5</v>
      </c>
      <c r="O166" s="18">
        <f t="shared" si="24"/>
        <v>405.79123200000004</v>
      </c>
      <c r="P166" s="18">
        <f t="shared" si="24"/>
        <v>120.32479999999998</v>
      </c>
      <c r="Q166" s="19">
        <f>Q114*0.784</f>
        <v>364.56</v>
      </c>
      <c r="R166" s="126"/>
      <c r="S166" s="186">
        <f t="shared" si="27"/>
        <v>3125.38194</v>
      </c>
      <c r="T166" s="123"/>
      <c r="U166" s="123"/>
      <c r="V166" s="126"/>
      <c r="W166" s="44"/>
    </row>
    <row r="167" spans="1:23" s="4" customFormat="1" ht="15">
      <c r="A167" s="99" t="s">
        <v>86</v>
      </c>
      <c r="B167" s="42">
        <f t="shared" si="25"/>
        <v>12286.030889000001</v>
      </c>
      <c r="C167" s="18">
        <f>C115*0.73</f>
        <v>1511.23578</v>
      </c>
      <c r="D167" s="18">
        <f aca="true" t="shared" si="29" ref="D167:L167">D115*0.73</f>
        <v>807.983418</v>
      </c>
      <c r="E167" s="18">
        <f t="shared" si="29"/>
        <v>775.79436</v>
      </c>
      <c r="F167" s="18">
        <f t="shared" si="29"/>
        <v>782.5805859999999</v>
      </c>
      <c r="G167" s="18">
        <f t="shared" si="29"/>
        <v>1796.318008</v>
      </c>
      <c r="H167" s="18">
        <f t="shared" si="29"/>
        <v>1767.202834</v>
      </c>
      <c r="I167" s="18">
        <f t="shared" si="29"/>
        <v>814.197762</v>
      </c>
      <c r="J167" s="18">
        <f t="shared" si="29"/>
        <v>760.16214</v>
      </c>
      <c r="K167" s="18">
        <f t="shared" si="29"/>
        <v>1458.8230210000002</v>
      </c>
      <c r="L167" s="18">
        <f t="shared" si="29"/>
        <v>1811.73298</v>
      </c>
      <c r="M167" s="18">
        <f t="shared" si="23"/>
        <v>529.5001152</v>
      </c>
      <c r="N167" s="18">
        <f t="shared" si="24"/>
        <v>77.2</v>
      </c>
      <c r="O167" s="18">
        <f t="shared" si="24"/>
        <v>339.14282879999996</v>
      </c>
      <c r="P167" s="18">
        <f t="shared" si="24"/>
        <v>113.15728640000003</v>
      </c>
      <c r="Q167" s="19">
        <f>Q115*0.67</f>
        <v>258.62</v>
      </c>
      <c r="R167" s="126"/>
      <c r="S167" s="186">
        <f t="shared" si="27"/>
        <v>2282.3958153</v>
      </c>
      <c r="T167" s="123"/>
      <c r="U167" s="123"/>
      <c r="V167" s="126"/>
      <c r="W167" s="44"/>
    </row>
    <row r="168" spans="1:23" s="4" customFormat="1" ht="15">
      <c r="A168" s="99" t="s">
        <v>87</v>
      </c>
      <c r="B168" s="42">
        <f t="shared" si="25"/>
        <v>10682.939314999998</v>
      </c>
      <c r="C168" s="18">
        <f>C116*0.815</f>
        <v>1296.7546499999999</v>
      </c>
      <c r="D168" s="18">
        <f aca="true" t="shared" si="30" ref="D168:L168">D116*0.815</f>
        <v>705.79</v>
      </c>
      <c r="E168" s="18">
        <f t="shared" si="30"/>
        <v>655.4800499999999</v>
      </c>
      <c r="F168" s="18">
        <f t="shared" si="30"/>
        <v>666.5184099999999</v>
      </c>
      <c r="G168" s="18">
        <f t="shared" si="30"/>
        <v>1529.91148</v>
      </c>
      <c r="H168" s="18">
        <f t="shared" si="30"/>
        <v>1504.3628599999997</v>
      </c>
      <c r="I168" s="18">
        <f t="shared" si="30"/>
        <v>696.336</v>
      </c>
      <c r="J168" s="18">
        <f t="shared" si="30"/>
        <v>652</v>
      </c>
      <c r="K168" s="18">
        <f t="shared" si="30"/>
        <v>1335.22428</v>
      </c>
      <c r="L168" s="18">
        <f t="shared" si="30"/>
        <v>1640.5615850000002</v>
      </c>
      <c r="M168" s="18">
        <f t="shared" si="23"/>
        <v>403.928384</v>
      </c>
      <c r="N168" s="18">
        <f t="shared" si="24"/>
        <v>58.800000000000004</v>
      </c>
      <c r="O168" s="18">
        <f t="shared" si="24"/>
        <v>258.720576</v>
      </c>
      <c r="P168" s="18">
        <f t="shared" si="24"/>
        <v>86.40780799999999</v>
      </c>
      <c r="Q168" s="19">
        <f>Q116*0.67</f>
        <v>196.98000000000002</v>
      </c>
      <c r="R168" s="126"/>
      <c r="S168" s="186">
        <f t="shared" si="27"/>
        <v>2044.643935475</v>
      </c>
      <c r="T168" s="123"/>
      <c r="U168" s="123"/>
      <c r="V168" s="126"/>
      <c r="W168" s="44"/>
    </row>
    <row r="169" spans="1:23" s="4" customFormat="1" ht="15">
      <c r="A169" s="69" t="s">
        <v>56</v>
      </c>
      <c r="B169" s="42">
        <f t="shared" si="25"/>
        <v>5665.329</v>
      </c>
      <c r="C169" s="18">
        <f>C117*0.999</f>
        <v>813.186</v>
      </c>
      <c r="D169" s="18">
        <f aca="true" t="shared" si="31" ref="D169:L169">D117*0.999</f>
        <v>401.598</v>
      </c>
      <c r="E169" s="18">
        <f t="shared" si="31"/>
        <v>333.666</v>
      </c>
      <c r="F169" s="18">
        <f t="shared" si="31"/>
        <v>346.653</v>
      </c>
      <c r="G169" s="18">
        <f t="shared" si="31"/>
        <v>888.111</v>
      </c>
      <c r="H169" s="18">
        <f t="shared" si="31"/>
        <v>876.123</v>
      </c>
      <c r="I169" s="18">
        <f t="shared" si="31"/>
        <v>404.595</v>
      </c>
      <c r="J169" s="18">
        <f t="shared" si="31"/>
        <v>365.634</v>
      </c>
      <c r="K169" s="18">
        <f t="shared" si="31"/>
        <v>544.455</v>
      </c>
      <c r="L169" s="18">
        <f t="shared" si="31"/>
        <v>691.308</v>
      </c>
      <c r="M169" s="18">
        <f t="shared" si="23"/>
        <v>188.98000000000002</v>
      </c>
      <c r="N169" s="18">
        <f t="shared" si="24"/>
        <v>29.3</v>
      </c>
      <c r="O169" s="18">
        <f t="shared" si="24"/>
        <v>118.656</v>
      </c>
      <c r="P169" s="18">
        <f t="shared" si="24"/>
        <v>41.024</v>
      </c>
      <c r="Q169" s="19">
        <f>Q117*0.7</f>
        <v>103.60000000000001</v>
      </c>
      <c r="R169" s="126"/>
      <c r="S169" s="186">
        <f t="shared" si="27"/>
        <v>934.2847800000001</v>
      </c>
      <c r="T169" s="123"/>
      <c r="U169" s="123"/>
      <c r="V169" s="126"/>
      <c r="W169" s="44"/>
    </row>
    <row r="170" spans="1:23" s="4" customFormat="1" ht="15">
      <c r="A170" s="105" t="s">
        <v>57</v>
      </c>
      <c r="B170" s="42">
        <f t="shared" si="25"/>
        <v>5410.102620000001</v>
      </c>
      <c r="C170" s="18">
        <f>C118*0.86</f>
        <v>745.4007</v>
      </c>
      <c r="D170" s="18">
        <f aca="true" t="shared" si="32" ref="D170:L170">D118*0.86</f>
        <v>377.755</v>
      </c>
      <c r="E170" s="18">
        <f t="shared" si="32"/>
        <v>322.24716</v>
      </c>
      <c r="F170" s="18">
        <f t="shared" si="32"/>
        <v>322.16976</v>
      </c>
      <c r="G170" s="18">
        <f t="shared" si="32"/>
        <v>801.67824</v>
      </c>
      <c r="H170" s="18">
        <f t="shared" si="32"/>
        <v>805.4244</v>
      </c>
      <c r="I170" s="18">
        <f t="shared" si="32"/>
        <v>374.62374</v>
      </c>
      <c r="J170" s="18">
        <f t="shared" si="32"/>
        <v>361.70568000000003</v>
      </c>
      <c r="K170" s="18">
        <f t="shared" si="32"/>
        <v>590.69444</v>
      </c>
      <c r="L170" s="18">
        <f t="shared" si="32"/>
        <v>708.4035</v>
      </c>
      <c r="M170" s="18">
        <f t="shared" si="23"/>
        <v>197.96156800000003</v>
      </c>
      <c r="N170" s="18">
        <f t="shared" si="24"/>
        <v>28.6</v>
      </c>
      <c r="O170" s="18">
        <f t="shared" si="24"/>
        <v>125.45280000000001</v>
      </c>
      <c r="P170" s="18">
        <f t="shared" si="24"/>
        <v>43.908768</v>
      </c>
      <c r="Q170" s="19">
        <f>Q118*0.7</f>
        <v>99.4</v>
      </c>
      <c r="R170" s="126"/>
      <c r="S170" s="186">
        <f t="shared" si="27"/>
        <v>977.1942425</v>
      </c>
      <c r="T170" s="123"/>
      <c r="U170" s="123"/>
      <c r="V170" s="126"/>
      <c r="W170" s="44"/>
    </row>
    <row r="171" spans="1:23" s="4" customFormat="1" ht="15">
      <c r="A171" s="105" t="s">
        <v>58</v>
      </c>
      <c r="B171" s="42">
        <f t="shared" si="25"/>
        <v>6891.9028714</v>
      </c>
      <c r="C171" s="18">
        <f>C119*0.998</f>
        <v>904.196982</v>
      </c>
      <c r="D171" s="18">
        <f aca="true" t="shared" si="33" ref="D171:L171">D119*0.998</f>
        <v>481.058954</v>
      </c>
      <c r="E171" s="18">
        <f t="shared" si="33"/>
        <v>409.39955999999995</v>
      </c>
      <c r="F171" s="18">
        <f t="shared" si="33"/>
        <v>422.42575539999996</v>
      </c>
      <c r="G171" s="18">
        <f t="shared" si="33"/>
        <v>1054.8321079999998</v>
      </c>
      <c r="H171" s="18">
        <f t="shared" si="33"/>
        <v>1015.399132</v>
      </c>
      <c r="I171" s="18">
        <f t="shared" si="33"/>
        <v>450.680832</v>
      </c>
      <c r="J171" s="18">
        <f t="shared" si="33"/>
        <v>429.555168</v>
      </c>
      <c r="K171" s="18">
        <f t="shared" si="33"/>
        <v>773.07076</v>
      </c>
      <c r="L171" s="18">
        <f t="shared" si="33"/>
        <v>951.28362</v>
      </c>
      <c r="M171" s="18">
        <f t="shared" si="23"/>
        <v>221.40953280000002</v>
      </c>
      <c r="N171" s="18">
        <f t="shared" si="24"/>
        <v>32.300000000000004</v>
      </c>
      <c r="O171" s="18">
        <f t="shared" si="24"/>
        <v>142.1009568</v>
      </c>
      <c r="P171" s="18">
        <f t="shared" si="24"/>
        <v>47.008576000000005</v>
      </c>
      <c r="Q171" s="19">
        <f>Q119*0.7</f>
        <v>112.00000000000001</v>
      </c>
      <c r="R171" s="126"/>
      <c r="S171" s="186">
        <f t="shared" si="27"/>
        <v>1235.9208546999998</v>
      </c>
      <c r="T171" s="123"/>
      <c r="U171" s="123"/>
      <c r="V171" s="126"/>
      <c r="W171" s="44"/>
    </row>
    <row r="172" spans="1:23" s="4" customFormat="1" ht="15">
      <c r="A172" s="105" t="s">
        <v>59</v>
      </c>
      <c r="B172" s="42">
        <f t="shared" si="25"/>
        <v>4216.11938</v>
      </c>
      <c r="C172" s="18">
        <f aca="true" t="shared" si="34" ref="C172:L172">C120*0.82</f>
        <v>521.54788</v>
      </c>
      <c r="D172" s="18">
        <f t="shared" si="34"/>
        <v>257.4144</v>
      </c>
      <c r="E172" s="18">
        <f t="shared" si="34"/>
        <v>251.90399999999997</v>
      </c>
      <c r="F172" s="18">
        <f t="shared" si="34"/>
        <v>259.4849</v>
      </c>
      <c r="G172" s="18">
        <f t="shared" si="34"/>
        <v>573.5981999999999</v>
      </c>
      <c r="H172" s="18">
        <f t="shared" si="34"/>
        <v>546.284</v>
      </c>
      <c r="I172" s="18">
        <f t="shared" si="34"/>
        <v>282.9</v>
      </c>
      <c r="J172" s="18">
        <f t="shared" si="34"/>
        <v>288.558</v>
      </c>
      <c r="K172" s="18">
        <f t="shared" si="34"/>
        <v>486.66999999999996</v>
      </c>
      <c r="L172" s="18">
        <f t="shared" si="34"/>
        <v>747.758</v>
      </c>
      <c r="M172" s="18">
        <f t="shared" si="23"/>
        <v>152.39008</v>
      </c>
      <c r="N172" s="18">
        <f t="shared" si="24"/>
        <v>22.5</v>
      </c>
      <c r="O172" s="18">
        <f t="shared" si="24"/>
        <v>97.53168</v>
      </c>
      <c r="P172" s="18">
        <f t="shared" si="24"/>
        <v>32.3584</v>
      </c>
      <c r="Q172" s="19">
        <f>Q120*0.75</f>
        <v>84.75</v>
      </c>
      <c r="R172" s="126"/>
      <c r="S172" s="186">
        <f t="shared" si="27"/>
        <v>801.3995299999999</v>
      </c>
      <c r="T172" s="123"/>
      <c r="U172" s="123"/>
      <c r="V172" s="126"/>
      <c r="W172" s="44"/>
    </row>
    <row r="173" spans="1:23" s="4" customFormat="1" ht="15">
      <c r="A173" s="105" t="s">
        <v>60</v>
      </c>
      <c r="B173" s="42">
        <f t="shared" si="25"/>
        <v>7048.6257186</v>
      </c>
      <c r="C173" s="18">
        <f>C121*0.999</f>
        <v>1006.0423506</v>
      </c>
      <c r="D173" s="18">
        <f aca="true" t="shared" si="35" ref="D173:L173">D121*0.999</f>
        <v>469.089441</v>
      </c>
      <c r="E173" s="18">
        <f t="shared" si="35"/>
        <v>430.32923999999997</v>
      </c>
      <c r="F173" s="18">
        <f t="shared" si="35"/>
        <v>440.19936000000007</v>
      </c>
      <c r="G173" s="18">
        <f t="shared" si="35"/>
        <v>1175.591232</v>
      </c>
      <c r="H173" s="18">
        <f t="shared" si="35"/>
        <v>1033.173792</v>
      </c>
      <c r="I173" s="18">
        <f t="shared" si="35"/>
        <v>485.230284</v>
      </c>
      <c r="J173" s="18">
        <f t="shared" si="35"/>
        <v>456.0435</v>
      </c>
      <c r="K173" s="18">
        <f t="shared" si="35"/>
        <v>724.091184</v>
      </c>
      <c r="L173" s="18">
        <f t="shared" si="35"/>
        <v>828.8353350000001</v>
      </c>
      <c r="M173" s="18">
        <f t="shared" si="23"/>
        <v>244.808736</v>
      </c>
      <c r="N173" s="18">
        <f t="shared" si="24"/>
        <v>40.900000000000006</v>
      </c>
      <c r="O173" s="18">
        <f t="shared" si="24"/>
        <v>155.27116800000002</v>
      </c>
      <c r="P173" s="18">
        <f t="shared" si="24"/>
        <v>48.637568</v>
      </c>
      <c r="Q173" s="19">
        <f>Q121*0.71</f>
        <v>146.97</v>
      </c>
      <c r="R173" s="126"/>
      <c r="S173" s="186">
        <f t="shared" si="27"/>
        <v>1209.143920725</v>
      </c>
      <c r="T173" s="123"/>
      <c r="U173" s="123"/>
      <c r="V173" s="126"/>
      <c r="W173" s="44"/>
    </row>
    <row r="174" spans="1:23" s="4" customFormat="1" ht="15">
      <c r="A174" s="105" t="s">
        <v>61</v>
      </c>
      <c r="B174" s="42">
        <f t="shared" si="25"/>
        <v>6442.865649</v>
      </c>
      <c r="C174" s="18">
        <f>C122*0.99</f>
        <v>837.877689</v>
      </c>
      <c r="D174" s="18">
        <f aca="true" t="shared" si="36" ref="D174:L174">D122*0.99</f>
        <v>412.7607</v>
      </c>
      <c r="E174" s="18">
        <f t="shared" si="36"/>
        <v>421.77088799999996</v>
      </c>
      <c r="F174" s="18">
        <f t="shared" si="36"/>
        <v>437.404077</v>
      </c>
      <c r="G174" s="18">
        <f t="shared" si="36"/>
        <v>977.03496</v>
      </c>
      <c r="H174" s="18">
        <f t="shared" si="36"/>
        <v>872.99883</v>
      </c>
      <c r="I174" s="18">
        <f t="shared" si="36"/>
        <v>406.904355</v>
      </c>
      <c r="J174" s="18">
        <f t="shared" si="36"/>
        <v>473.7348</v>
      </c>
      <c r="K174" s="18">
        <f t="shared" si="36"/>
        <v>761.42385</v>
      </c>
      <c r="L174" s="18">
        <f t="shared" si="36"/>
        <v>840.9555</v>
      </c>
      <c r="M174" s="18">
        <f t="shared" si="23"/>
        <v>210.82833280000003</v>
      </c>
      <c r="N174" s="18">
        <f t="shared" si="24"/>
        <v>32.300000000000004</v>
      </c>
      <c r="O174" s="18">
        <f t="shared" si="24"/>
        <v>137.1577248</v>
      </c>
      <c r="P174" s="18">
        <f t="shared" si="24"/>
        <v>41.370608000000004</v>
      </c>
      <c r="Q174" s="19">
        <f>Q122*0.74</f>
        <v>119.14</v>
      </c>
      <c r="R174" s="126"/>
      <c r="S174" s="186">
        <f t="shared" si="27"/>
        <v>1264.5920925</v>
      </c>
      <c r="T174" s="123"/>
      <c r="U174" s="123"/>
      <c r="V174" s="126"/>
      <c r="W174" s="44"/>
    </row>
    <row r="175" spans="1:23" s="4" customFormat="1" ht="15">
      <c r="A175" s="187" t="s">
        <v>88</v>
      </c>
      <c r="B175" s="42">
        <f t="shared" si="25"/>
        <v>3567.2034</v>
      </c>
      <c r="C175" s="18">
        <f>C123*0.92</f>
        <v>499.9372</v>
      </c>
      <c r="D175" s="18">
        <f aca="true" t="shared" si="37" ref="D175:L175">D123*0.92</f>
        <v>246.238</v>
      </c>
      <c r="E175" s="18">
        <f t="shared" si="37"/>
        <v>220.892</v>
      </c>
      <c r="F175" s="18">
        <f t="shared" si="37"/>
        <v>238.60199999999998</v>
      </c>
      <c r="G175" s="18">
        <f t="shared" si="37"/>
        <v>568.974</v>
      </c>
      <c r="H175" s="18">
        <f t="shared" si="37"/>
        <v>495.558</v>
      </c>
      <c r="I175" s="18">
        <f t="shared" si="37"/>
        <v>204.0192</v>
      </c>
      <c r="J175" s="18">
        <f t="shared" si="37"/>
        <v>214.544</v>
      </c>
      <c r="K175" s="18">
        <f t="shared" si="37"/>
        <v>383.7504</v>
      </c>
      <c r="L175" s="18">
        <f t="shared" si="37"/>
        <v>494.68859999999995</v>
      </c>
      <c r="M175" s="18">
        <f t="shared" si="23"/>
        <v>126.40191999999999</v>
      </c>
      <c r="N175" s="18">
        <f t="shared" si="24"/>
        <v>17.8</v>
      </c>
      <c r="O175" s="18">
        <f t="shared" si="24"/>
        <v>84.2688</v>
      </c>
      <c r="P175" s="18">
        <f t="shared" si="24"/>
        <v>24.33312</v>
      </c>
      <c r="Q175" s="19">
        <f>Q123*0.71</f>
        <v>63.9</v>
      </c>
      <c r="R175" s="126"/>
      <c r="S175" s="186">
        <f t="shared" si="27"/>
        <v>615.608501</v>
      </c>
      <c r="T175" s="123"/>
      <c r="U175" s="123"/>
      <c r="V175" s="126"/>
      <c r="W175" s="44"/>
    </row>
    <row r="176" spans="1:23" s="4" customFormat="1" ht="15">
      <c r="A176" s="105" t="s">
        <v>62</v>
      </c>
      <c r="B176" s="42">
        <f t="shared" si="25"/>
        <v>3639.45</v>
      </c>
      <c r="C176" s="18">
        <f>C124*0.95</f>
        <v>434.15</v>
      </c>
      <c r="D176" s="18">
        <f aca="true" t="shared" si="38" ref="D176:L176">D124*0.95</f>
        <v>256.5</v>
      </c>
      <c r="E176" s="18">
        <f t="shared" si="38"/>
        <v>228.95</v>
      </c>
      <c r="F176" s="18">
        <f t="shared" si="38"/>
        <v>233.7</v>
      </c>
      <c r="G176" s="18">
        <f t="shared" si="38"/>
        <v>548.15</v>
      </c>
      <c r="H176" s="18">
        <f t="shared" si="38"/>
        <v>511.09999999999997</v>
      </c>
      <c r="I176" s="18">
        <f t="shared" si="38"/>
        <v>243.2</v>
      </c>
      <c r="J176" s="18">
        <f t="shared" si="38"/>
        <v>242.25</v>
      </c>
      <c r="K176" s="18">
        <f t="shared" si="38"/>
        <v>457.9</v>
      </c>
      <c r="L176" s="18">
        <f t="shared" si="38"/>
        <v>483.54999999999995</v>
      </c>
      <c r="M176" s="18">
        <f t="shared" si="23"/>
        <v>123.316</v>
      </c>
      <c r="N176" s="18">
        <f t="shared" si="24"/>
        <v>18.900000000000002</v>
      </c>
      <c r="O176" s="18">
        <f t="shared" si="24"/>
        <v>79.008</v>
      </c>
      <c r="P176" s="18">
        <f t="shared" si="24"/>
        <v>25.408</v>
      </c>
      <c r="Q176" s="19">
        <f aca="true" t="shared" si="39" ref="Q176:Q192">Q124*0.7</f>
        <v>65.80000000000001</v>
      </c>
      <c r="R176" s="126"/>
      <c r="S176" s="186">
        <f t="shared" si="27"/>
        <v>717.07425</v>
      </c>
      <c r="T176" s="123"/>
      <c r="U176" s="123"/>
      <c r="V176" s="126"/>
      <c r="W176" s="44"/>
    </row>
    <row r="177" spans="1:23" s="4" customFormat="1" ht="15">
      <c r="A177" s="109" t="s">
        <v>79</v>
      </c>
      <c r="B177" s="42">
        <f>SUM(C177:L177)</f>
        <v>1811.9032000000002</v>
      </c>
      <c r="C177" s="18">
        <f>C125*0.92</f>
        <v>242.98120000000003</v>
      </c>
      <c r="D177" s="18">
        <f aca="true" t="shared" si="40" ref="D177:L177">D125*0.92</f>
        <v>124.04820000000001</v>
      </c>
      <c r="E177" s="18">
        <f t="shared" si="40"/>
        <v>105.938</v>
      </c>
      <c r="F177" s="18">
        <f t="shared" si="40"/>
        <v>123.74368</v>
      </c>
      <c r="G177" s="18">
        <f t="shared" si="40"/>
        <v>291.87368000000004</v>
      </c>
      <c r="H177" s="18">
        <f t="shared" si="40"/>
        <v>254.21256</v>
      </c>
      <c r="I177" s="18">
        <f t="shared" si="40"/>
        <v>104.09616</v>
      </c>
      <c r="J177" s="18">
        <f t="shared" si="40"/>
        <v>109.4662</v>
      </c>
      <c r="K177" s="18">
        <f t="shared" si="40"/>
        <v>202.47360000000003</v>
      </c>
      <c r="L177" s="18">
        <f t="shared" si="40"/>
        <v>253.06991999999997</v>
      </c>
      <c r="M177" s="18">
        <f t="shared" si="23"/>
        <v>65.03168000000001</v>
      </c>
      <c r="N177" s="18">
        <f t="shared" si="24"/>
        <v>9.200000000000001</v>
      </c>
      <c r="O177" s="18">
        <f t="shared" si="24"/>
        <v>43.368768</v>
      </c>
      <c r="P177" s="18">
        <f t="shared" si="24"/>
        <v>12.462912000000001</v>
      </c>
      <c r="Q177" s="19">
        <f t="shared" si="39"/>
        <v>32.900000000000006</v>
      </c>
      <c r="R177" s="126"/>
      <c r="S177" s="186">
        <f t="shared" si="27"/>
        <v>320.7972472000001</v>
      </c>
      <c r="T177" s="123"/>
      <c r="U177" s="123"/>
      <c r="V177" s="126"/>
      <c r="W177" s="44"/>
    </row>
    <row r="178" spans="1:23" s="4" customFormat="1" ht="15">
      <c r="A178" s="109" t="s">
        <v>50</v>
      </c>
      <c r="B178" s="42">
        <f t="shared" si="25"/>
        <v>1521.32796</v>
      </c>
      <c r="C178" s="18">
        <f aca="true" t="shared" si="41" ref="C178:L178">C126*0.82</f>
        <v>226.23144</v>
      </c>
      <c r="D178" s="18">
        <f t="shared" si="41"/>
        <v>104.55</v>
      </c>
      <c r="E178" s="18">
        <f t="shared" si="41"/>
        <v>88.97</v>
      </c>
      <c r="F178" s="18">
        <f t="shared" si="41"/>
        <v>96.80837999999999</v>
      </c>
      <c r="G178" s="18">
        <f t="shared" si="41"/>
        <v>223.15151999999995</v>
      </c>
      <c r="H178" s="18">
        <f t="shared" si="41"/>
        <v>218.776</v>
      </c>
      <c r="I178" s="18">
        <f t="shared" si="41"/>
        <v>100.27452</v>
      </c>
      <c r="J178" s="18">
        <f t="shared" si="41"/>
        <v>93.89</v>
      </c>
      <c r="K178" s="18">
        <f t="shared" si="41"/>
        <v>175.69812000000002</v>
      </c>
      <c r="L178" s="18">
        <f t="shared" si="41"/>
        <v>192.97798</v>
      </c>
      <c r="M178" s="18">
        <f t="shared" si="23"/>
        <v>60.209472</v>
      </c>
      <c r="N178" s="18">
        <f t="shared" si="24"/>
        <v>10.3</v>
      </c>
      <c r="O178" s="18">
        <f t="shared" si="24"/>
        <v>37.45871999999999</v>
      </c>
      <c r="P178" s="18">
        <f t="shared" si="24"/>
        <v>12.450752000000001</v>
      </c>
      <c r="Q178" s="19">
        <f t="shared" si="39"/>
        <v>36.400000000000006</v>
      </c>
      <c r="R178" s="126"/>
      <c r="S178" s="186">
        <f t="shared" si="27"/>
        <v>276.3423493</v>
      </c>
      <c r="T178" s="123"/>
      <c r="U178" s="123"/>
      <c r="V178" s="126"/>
      <c r="W178" s="44"/>
    </row>
    <row r="179" spans="1:23" s="4" customFormat="1" ht="15">
      <c r="A179" s="109" t="s">
        <v>80</v>
      </c>
      <c r="B179" s="42">
        <f t="shared" si="25"/>
        <v>1874.56161</v>
      </c>
      <c r="C179" s="18">
        <f>C127*0.89</f>
        <v>258.60285</v>
      </c>
      <c r="D179" s="18">
        <f aca="true" t="shared" si="42" ref="D179:L179">D127*0.89</f>
        <v>128.605</v>
      </c>
      <c r="E179" s="18">
        <f t="shared" si="42"/>
        <v>116.2874</v>
      </c>
      <c r="F179" s="18">
        <f t="shared" si="42"/>
        <v>111.59531999999999</v>
      </c>
      <c r="G179" s="18">
        <f t="shared" si="42"/>
        <v>277.69068</v>
      </c>
      <c r="H179" s="18">
        <f t="shared" si="42"/>
        <v>278.9883</v>
      </c>
      <c r="I179" s="18">
        <f t="shared" si="42"/>
        <v>124.26180000000001</v>
      </c>
      <c r="J179" s="18">
        <f t="shared" si="42"/>
        <v>120.43836000000002</v>
      </c>
      <c r="K179" s="18">
        <f t="shared" si="42"/>
        <v>212.3184</v>
      </c>
      <c r="L179" s="18">
        <f t="shared" si="42"/>
        <v>245.77350000000004</v>
      </c>
      <c r="M179" s="18">
        <f t="shared" si="23"/>
        <v>66.68928</v>
      </c>
      <c r="N179" s="18">
        <f t="shared" si="24"/>
        <v>10.200000000000001</v>
      </c>
      <c r="O179" s="18">
        <f t="shared" si="24"/>
        <v>41.990399999999994</v>
      </c>
      <c r="P179" s="18">
        <f t="shared" si="24"/>
        <v>14.49888</v>
      </c>
      <c r="Q179" s="19">
        <f t="shared" si="39"/>
        <v>35</v>
      </c>
      <c r="R179" s="126"/>
      <c r="S179" s="186">
        <f t="shared" si="27"/>
        <v>341.3588325</v>
      </c>
      <c r="T179" s="123"/>
      <c r="U179" s="123"/>
      <c r="V179" s="126"/>
      <c r="W179" s="44"/>
    </row>
    <row r="180" spans="1:23" s="4" customFormat="1" ht="15">
      <c r="A180" s="109" t="s">
        <v>51</v>
      </c>
      <c r="B180" s="42">
        <f t="shared" si="25"/>
        <v>1031.85593</v>
      </c>
      <c r="C180" s="18">
        <f>C128*0.97</f>
        <v>118.53303</v>
      </c>
      <c r="D180" s="18">
        <f aca="true" t="shared" si="43" ref="D180:L180">D128*0.97</f>
        <v>55.9884</v>
      </c>
      <c r="E180" s="18">
        <f t="shared" si="43"/>
        <v>56.88662</v>
      </c>
      <c r="F180" s="18">
        <f t="shared" si="43"/>
        <v>64.81152</v>
      </c>
      <c r="G180" s="18">
        <f t="shared" si="43"/>
        <v>145.15079999999998</v>
      </c>
      <c r="H180" s="18">
        <f t="shared" si="43"/>
        <v>130.29816</v>
      </c>
      <c r="I180" s="18">
        <f t="shared" si="43"/>
        <v>65.4556</v>
      </c>
      <c r="J180" s="18">
        <f t="shared" si="43"/>
        <v>76.048</v>
      </c>
      <c r="K180" s="18">
        <f t="shared" si="43"/>
        <v>131.2798</v>
      </c>
      <c r="L180" s="18">
        <f t="shared" si="43"/>
        <v>187.40400000000002</v>
      </c>
      <c r="M180" s="18">
        <f t="shared" si="23"/>
        <v>31.637631999999996</v>
      </c>
      <c r="N180" s="18">
        <f aca="true" t="shared" si="44" ref="N180:P192">N128*0.8</f>
        <v>4.4</v>
      </c>
      <c r="O180" s="18">
        <f t="shared" si="44"/>
        <v>20.779776</v>
      </c>
      <c r="P180" s="18">
        <f t="shared" si="44"/>
        <v>6.457856</v>
      </c>
      <c r="Q180" s="19">
        <f t="shared" si="39"/>
        <v>15.400000000000002</v>
      </c>
      <c r="R180" s="126"/>
      <c r="S180" s="186">
        <f t="shared" si="27"/>
        <v>213.88694</v>
      </c>
      <c r="T180" s="123"/>
      <c r="U180" s="123"/>
      <c r="V180" s="126"/>
      <c r="W180" s="44"/>
    </row>
    <row r="181" spans="1:23" s="4" customFormat="1" ht="15">
      <c r="A181" s="109" t="s">
        <v>81</v>
      </c>
      <c r="B181" s="42">
        <f t="shared" si="25"/>
        <v>747.15399</v>
      </c>
      <c r="C181" s="18">
        <f>C129*0.99</f>
        <v>111.20868</v>
      </c>
      <c r="D181" s="18">
        <f aca="true" t="shared" si="45" ref="D181:L181">D129*0.99</f>
        <v>49.78908</v>
      </c>
      <c r="E181" s="18">
        <f t="shared" si="45"/>
        <v>40.52664</v>
      </c>
      <c r="F181" s="18">
        <f t="shared" si="45"/>
        <v>39.97125</v>
      </c>
      <c r="G181" s="18">
        <f t="shared" si="45"/>
        <v>99.693</v>
      </c>
      <c r="H181" s="18">
        <f t="shared" si="45"/>
        <v>96.40125</v>
      </c>
      <c r="I181" s="18">
        <f t="shared" si="45"/>
        <v>44.9361</v>
      </c>
      <c r="J181" s="18">
        <f t="shared" si="45"/>
        <v>43.173899999999996</v>
      </c>
      <c r="K181" s="18">
        <f t="shared" si="45"/>
        <v>94.73409</v>
      </c>
      <c r="L181" s="18">
        <f t="shared" si="45"/>
        <v>126.72</v>
      </c>
      <c r="M181" s="18">
        <f t="shared" si="23"/>
        <v>20.61168</v>
      </c>
      <c r="N181" s="18">
        <f t="shared" si="44"/>
        <v>2.5</v>
      </c>
      <c r="O181" s="18">
        <f t="shared" si="44"/>
        <v>13.543199999999999</v>
      </c>
      <c r="P181" s="18">
        <f t="shared" si="44"/>
        <v>4.56848</v>
      </c>
      <c r="Q181" s="19">
        <f t="shared" si="39"/>
        <v>8.4</v>
      </c>
      <c r="R181" s="126"/>
      <c r="S181" s="186">
        <f t="shared" si="27"/>
        <v>142.34319</v>
      </c>
      <c r="T181" s="123"/>
      <c r="U181" s="123"/>
      <c r="V181" s="126"/>
      <c r="W181" s="44"/>
    </row>
    <row r="182" spans="1:23" s="4" customFormat="1" ht="15">
      <c r="A182" s="192" t="s">
        <v>89</v>
      </c>
      <c r="B182" s="42">
        <f>SUM(C182:L182)</f>
        <v>677.9475500000001</v>
      </c>
      <c r="C182" s="18">
        <f>C130*0.97</f>
        <v>77.115</v>
      </c>
      <c r="D182" s="18">
        <f aca="true" t="shared" si="46" ref="D182:K182">D130*0.97</f>
        <v>41.903999999999996</v>
      </c>
      <c r="E182" s="18">
        <f t="shared" si="46"/>
        <v>40.97279999999999</v>
      </c>
      <c r="F182" s="18">
        <f t="shared" si="46"/>
        <v>42.84974999999999</v>
      </c>
      <c r="G182" s="18">
        <f t="shared" si="46"/>
        <v>94.72049999999999</v>
      </c>
      <c r="H182" s="18">
        <f t="shared" si="46"/>
        <v>90.21</v>
      </c>
      <c r="I182" s="18">
        <f t="shared" si="46"/>
        <v>38.8</v>
      </c>
      <c r="J182" s="18">
        <f t="shared" si="46"/>
        <v>39.57599999999999</v>
      </c>
      <c r="K182" s="18">
        <f t="shared" si="46"/>
        <v>85.36</v>
      </c>
      <c r="L182" s="18">
        <f>L130*0.97</f>
        <v>126.43950000000002</v>
      </c>
      <c r="M182" s="18">
        <f>SUM(N182:P182)</f>
        <v>21.6712</v>
      </c>
      <c r="N182" s="18">
        <f t="shared" si="44"/>
        <v>3.8000000000000003</v>
      </c>
      <c r="O182" s="18">
        <f t="shared" si="44"/>
        <v>13.6152</v>
      </c>
      <c r="P182" s="18">
        <f t="shared" si="44"/>
        <v>4.256</v>
      </c>
      <c r="Q182" s="19">
        <f t="shared" si="39"/>
        <v>13.3</v>
      </c>
      <c r="R182" s="126"/>
      <c r="S182" s="186">
        <f t="shared" si="27"/>
        <v>129.3613825</v>
      </c>
      <c r="T182" s="123"/>
      <c r="U182" s="123"/>
      <c r="V182" s="126"/>
      <c r="W182" s="44"/>
    </row>
    <row r="183" spans="1:23" s="4" customFormat="1" ht="15">
      <c r="A183" s="105" t="s">
        <v>63</v>
      </c>
      <c r="B183" s="42">
        <f t="shared" si="25"/>
        <v>788.40228</v>
      </c>
      <c r="C183" s="18">
        <f>C131*0.92</f>
        <v>106.1082</v>
      </c>
      <c r="D183" s="18">
        <f aca="true" t="shared" si="47" ref="D183:L183">D131*0.92</f>
        <v>48.300000000000004</v>
      </c>
      <c r="E183" s="18">
        <f t="shared" si="47"/>
        <v>43.6724</v>
      </c>
      <c r="F183" s="18">
        <f t="shared" si="47"/>
        <v>47.471999999999994</v>
      </c>
      <c r="G183" s="18">
        <f t="shared" si="47"/>
        <v>121.44000000000001</v>
      </c>
      <c r="H183" s="18">
        <f t="shared" si="47"/>
        <v>117.57600000000001</v>
      </c>
      <c r="I183" s="18">
        <f t="shared" si="47"/>
        <v>56.212</v>
      </c>
      <c r="J183" s="18">
        <f t="shared" si="47"/>
        <v>54.4824</v>
      </c>
      <c r="K183" s="18">
        <f t="shared" si="47"/>
        <v>86.526</v>
      </c>
      <c r="L183" s="18">
        <f t="shared" si="47"/>
        <v>106.61328</v>
      </c>
      <c r="M183" s="18">
        <f t="shared" si="23"/>
        <v>27.970400000000005</v>
      </c>
      <c r="N183" s="18">
        <f t="shared" si="44"/>
        <v>4.3</v>
      </c>
      <c r="O183" s="18">
        <f t="shared" si="44"/>
        <v>17.625600000000002</v>
      </c>
      <c r="P183" s="18">
        <f t="shared" si="44"/>
        <v>6.0448</v>
      </c>
      <c r="Q183" s="19">
        <f t="shared" si="39"/>
        <v>14.700000000000001</v>
      </c>
      <c r="R183" s="126"/>
      <c r="S183" s="186">
        <f t="shared" si="27"/>
        <v>144.7398648</v>
      </c>
      <c r="T183" s="123"/>
      <c r="U183" s="123"/>
      <c r="V183" s="126"/>
      <c r="W183" s="44"/>
    </row>
    <row r="184" spans="1:23" s="4" customFormat="1" ht="15">
      <c r="A184" s="105" t="s">
        <v>64</v>
      </c>
      <c r="B184" s="42">
        <f t="shared" si="25"/>
        <v>362.57855</v>
      </c>
      <c r="C184" s="18">
        <f>C132*0.85</f>
        <v>48.9294</v>
      </c>
      <c r="D184" s="18">
        <f aca="true" t="shared" si="48" ref="D184:L185">D132*0.85</f>
        <v>23.375</v>
      </c>
      <c r="E184" s="18">
        <f t="shared" si="48"/>
        <v>20.773999999999997</v>
      </c>
      <c r="F184" s="18">
        <f t="shared" si="48"/>
        <v>22.770649999999996</v>
      </c>
      <c r="G184" s="18">
        <f t="shared" si="48"/>
        <v>56.287</v>
      </c>
      <c r="H184" s="18">
        <f t="shared" si="48"/>
        <v>49.89075</v>
      </c>
      <c r="I184" s="18">
        <f t="shared" si="48"/>
        <v>25.636</v>
      </c>
      <c r="J184" s="18">
        <f t="shared" si="48"/>
        <v>24.847199999999997</v>
      </c>
      <c r="K184" s="18">
        <f t="shared" si="48"/>
        <v>39.97125</v>
      </c>
      <c r="L184" s="18">
        <f t="shared" si="48"/>
        <v>50.097300000000004</v>
      </c>
      <c r="M184" s="18">
        <f t="shared" si="23"/>
        <v>13.872224000000001</v>
      </c>
      <c r="N184" s="18">
        <f t="shared" si="44"/>
        <v>2.1</v>
      </c>
      <c r="O184" s="18">
        <f t="shared" si="44"/>
        <v>8.928864</v>
      </c>
      <c r="P184" s="18">
        <f t="shared" si="44"/>
        <v>2.8433600000000006</v>
      </c>
      <c r="Q184" s="19">
        <f t="shared" si="39"/>
        <v>7.000000000000001</v>
      </c>
      <c r="R184" s="126"/>
      <c r="S184" s="186">
        <f t="shared" si="27"/>
        <v>66.5718555</v>
      </c>
      <c r="T184" s="123"/>
      <c r="U184" s="123"/>
      <c r="V184" s="126"/>
      <c r="W184" s="44"/>
    </row>
    <row r="185" spans="1:23" s="4" customFormat="1" ht="15">
      <c r="A185" s="105" t="s">
        <v>65</v>
      </c>
      <c r="B185" s="42">
        <f t="shared" si="25"/>
        <v>672.18425</v>
      </c>
      <c r="C185" s="18">
        <f>C133*0.85</f>
        <v>93.58075</v>
      </c>
      <c r="D185" s="18">
        <f t="shared" si="48"/>
        <v>43.35</v>
      </c>
      <c r="E185" s="18">
        <f t="shared" si="48"/>
        <v>39.55049999999999</v>
      </c>
      <c r="F185" s="18">
        <f t="shared" si="48"/>
        <v>43.4231</v>
      </c>
      <c r="G185" s="18">
        <f t="shared" si="48"/>
        <v>107.338</v>
      </c>
      <c r="H185" s="18">
        <f t="shared" si="48"/>
        <v>95.1405</v>
      </c>
      <c r="I185" s="18">
        <f t="shared" si="48"/>
        <v>49.725</v>
      </c>
      <c r="J185" s="18">
        <f t="shared" si="48"/>
        <v>48.195</v>
      </c>
      <c r="K185" s="18">
        <f t="shared" si="48"/>
        <v>63.1125</v>
      </c>
      <c r="L185" s="18">
        <f t="shared" si="48"/>
        <v>88.7689</v>
      </c>
      <c r="M185" s="18">
        <f t="shared" si="23"/>
        <v>26.780896</v>
      </c>
      <c r="N185" s="18">
        <f t="shared" si="44"/>
        <v>4.3</v>
      </c>
      <c r="O185" s="18">
        <f t="shared" si="44"/>
        <v>17.027136</v>
      </c>
      <c r="P185" s="18">
        <f t="shared" si="44"/>
        <v>5.453760000000001</v>
      </c>
      <c r="Q185" s="19">
        <f t="shared" si="39"/>
        <v>14.700000000000001</v>
      </c>
      <c r="R185" s="126"/>
      <c r="S185" s="186">
        <f t="shared" si="27"/>
        <v>114.4144115</v>
      </c>
      <c r="T185" s="123"/>
      <c r="U185" s="123"/>
      <c r="V185" s="126"/>
      <c r="W185" s="44"/>
    </row>
    <row r="186" spans="1:23" s="4" customFormat="1" ht="15">
      <c r="A186" s="105" t="s">
        <v>66</v>
      </c>
      <c r="B186" s="42">
        <f t="shared" si="25"/>
        <v>783.1586300000001</v>
      </c>
      <c r="C186" s="18">
        <f aca="true" t="shared" si="49" ref="C186:L186">C134*0.82</f>
        <v>127.81667999999999</v>
      </c>
      <c r="D186" s="18">
        <f t="shared" si="49"/>
        <v>63.55</v>
      </c>
      <c r="E186" s="18">
        <f t="shared" si="49"/>
        <v>53.709999999999994</v>
      </c>
      <c r="F186" s="18">
        <f t="shared" si="49"/>
        <v>39.84093</v>
      </c>
      <c r="G186" s="18">
        <f t="shared" si="49"/>
        <v>91.83671999999999</v>
      </c>
      <c r="H186" s="18">
        <f t="shared" si="49"/>
        <v>90.036</v>
      </c>
      <c r="I186" s="18">
        <f t="shared" si="49"/>
        <v>54.95394</v>
      </c>
      <c r="J186" s="18">
        <f t="shared" si="49"/>
        <v>51.455</v>
      </c>
      <c r="K186" s="18">
        <f t="shared" si="49"/>
        <v>93.53084</v>
      </c>
      <c r="L186" s="18">
        <f t="shared" si="49"/>
        <v>116.42852</v>
      </c>
      <c r="M186" s="18">
        <f t="shared" si="23"/>
        <v>26.074064</v>
      </c>
      <c r="N186" s="18">
        <f t="shared" si="44"/>
        <v>5</v>
      </c>
      <c r="O186" s="18">
        <f t="shared" si="44"/>
        <v>15.415919999999998</v>
      </c>
      <c r="P186" s="18">
        <f t="shared" si="44"/>
        <v>5.658144</v>
      </c>
      <c r="Q186" s="19">
        <f t="shared" si="39"/>
        <v>17.5</v>
      </c>
      <c r="R186" s="126"/>
      <c r="S186" s="186">
        <f t="shared" si="27"/>
        <v>149.0608382</v>
      </c>
      <c r="T186" s="123"/>
      <c r="U186" s="123"/>
      <c r="V186" s="126"/>
      <c r="W186" s="44"/>
    </row>
    <row r="187" spans="1:23" s="4" customFormat="1" ht="15">
      <c r="A187" s="105" t="s">
        <v>67</v>
      </c>
      <c r="B187" s="42">
        <f t="shared" si="25"/>
        <v>1306.9522917000002</v>
      </c>
      <c r="C187" s="18">
        <f>C135*0.9999</f>
        <v>215.1794799</v>
      </c>
      <c r="D187" s="18">
        <f aca="true" t="shared" si="50" ref="D187:L187">D135*0.9999</f>
        <v>100.48995000000001</v>
      </c>
      <c r="E187" s="18">
        <f t="shared" si="50"/>
        <v>70.072992</v>
      </c>
      <c r="F187" s="18">
        <f t="shared" si="50"/>
        <v>66.803319</v>
      </c>
      <c r="G187" s="18">
        <f t="shared" si="50"/>
        <v>176.832315</v>
      </c>
      <c r="H187" s="18">
        <f t="shared" si="50"/>
        <v>156.39835860000002</v>
      </c>
      <c r="I187" s="18">
        <f t="shared" si="50"/>
        <v>83.20167900000001</v>
      </c>
      <c r="J187" s="18">
        <f t="shared" si="50"/>
        <v>78.49215</v>
      </c>
      <c r="K187" s="18">
        <f t="shared" si="50"/>
        <v>163.4216562</v>
      </c>
      <c r="L187" s="18">
        <f t="shared" si="50"/>
        <v>196.060392</v>
      </c>
      <c r="M187" s="18">
        <f t="shared" si="23"/>
        <v>37.059328</v>
      </c>
      <c r="N187" s="18">
        <f t="shared" si="44"/>
        <v>6</v>
      </c>
      <c r="O187" s="18">
        <f t="shared" si="44"/>
        <v>23.39136</v>
      </c>
      <c r="P187" s="18">
        <f t="shared" si="44"/>
        <v>7.667968000000001</v>
      </c>
      <c r="Q187" s="19">
        <f t="shared" si="39"/>
        <v>21.700000000000003</v>
      </c>
      <c r="R187" s="126"/>
      <c r="S187" s="186">
        <f t="shared" si="27"/>
        <v>248.77591992</v>
      </c>
      <c r="T187" s="123"/>
      <c r="U187" s="123"/>
      <c r="V187" s="126"/>
      <c r="W187" s="44"/>
    </row>
    <row r="188" spans="1:23" s="4" customFormat="1" ht="15">
      <c r="A188" s="105" t="s">
        <v>68</v>
      </c>
      <c r="B188" s="42">
        <f t="shared" si="25"/>
        <v>520.1409</v>
      </c>
      <c r="C188" s="18">
        <f>C136*0.86</f>
        <v>70.09</v>
      </c>
      <c r="D188" s="18">
        <f aca="true" t="shared" si="51" ref="D188:L188">D136*0.86</f>
        <v>33.024</v>
      </c>
      <c r="E188" s="18">
        <f t="shared" si="51"/>
        <v>32.1984</v>
      </c>
      <c r="F188" s="18">
        <f t="shared" si="51"/>
        <v>32.843399999999995</v>
      </c>
      <c r="G188" s="18">
        <f t="shared" si="51"/>
        <v>72.6012</v>
      </c>
      <c r="H188" s="18">
        <f t="shared" si="51"/>
        <v>69.144</v>
      </c>
      <c r="I188" s="18">
        <f t="shared" si="51"/>
        <v>30.745</v>
      </c>
      <c r="J188" s="18">
        <f t="shared" si="51"/>
        <v>31.359900000000003</v>
      </c>
      <c r="K188" s="18">
        <f t="shared" si="51"/>
        <v>65.36</v>
      </c>
      <c r="L188" s="18">
        <f t="shared" si="51"/>
        <v>82.775</v>
      </c>
      <c r="M188" s="18">
        <f t="shared" si="23"/>
        <v>18.88736</v>
      </c>
      <c r="N188" s="18">
        <f t="shared" si="44"/>
        <v>3.4000000000000004</v>
      </c>
      <c r="O188" s="18">
        <f t="shared" si="44"/>
        <v>11.77056</v>
      </c>
      <c r="P188" s="18">
        <f t="shared" si="44"/>
        <v>3.7168</v>
      </c>
      <c r="Q188" s="19">
        <f t="shared" si="39"/>
        <v>11.9</v>
      </c>
      <c r="R188" s="126"/>
      <c r="S188" s="186">
        <f t="shared" si="27"/>
        <v>99.617025</v>
      </c>
      <c r="T188" s="123"/>
      <c r="U188" s="123"/>
      <c r="V188" s="126"/>
      <c r="W188" s="44"/>
    </row>
    <row r="189" spans="1:23" s="4" customFormat="1" ht="15">
      <c r="A189" s="105" t="s">
        <v>69</v>
      </c>
      <c r="B189" s="42">
        <f t="shared" si="25"/>
        <v>576.8354999999999</v>
      </c>
      <c r="C189" s="18">
        <f>C137*0.85</f>
        <v>76.925</v>
      </c>
      <c r="D189" s="18">
        <f aca="true" t="shared" si="52" ref="D189:L190">D137*0.85</f>
        <v>36.72</v>
      </c>
      <c r="E189" s="18">
        <f t="shared" si="52"/>
        <v>35.495999999999995</v>
      </c>
      <c r="F189" s="18">
        <f t="shared" si="52"/>
        <v>36.822</v>
      </c>
      <c r="G189" s="18">
        <f t="shared" si="52"/>
        <v>81.39599999999999</v>
      </c>
      <c r="H189" s="18">
        <f t="shared" si="52"/>
        <v>77.52</v>
      </c>
      <c r="I189" s="18">
        <f t="shared" si="52"/>
        <v>31.662499999999998</v>
      </c>
      <c r="J189" s="18">
        <f t="shared" si="52"/>
        <v>32.29575</v>
      </c>
      <c r="K189" s="18">
        <f t="shared" si="52"/>
        <v>73.032</v>
      </c>
      <c r="L189" s="18">
        <f t="shared" si="52"/>
        <v>94.96625</v>
      </c>
      <c r="M189" s="18">
        <f t="shared" si="23"/>
        <v>20.86208</v>
      </c>
      <c r="N189" s="18">
        <f t="shared" si="44"/>
        <v>3.4000000000000004</v>
      </c>
      <c r="O189" s="18">
        <f t="shared" si="44"/>
        <v>13.35168</v>
      </c>
      <c r="P189" s="18">
        <f t="shared" si="44"/>
        <v>4.1104</v>
      </c>
      <c r="Q189" s="19">
        <f t="shared" si="39"/>
        <v>11.9</v>
      </c>
      <c r="R189" s="126"/>
      <c r="S189" s="186">
        <f t="shared" si="27"/>
        <v>108.65156875</v>
      </c>
      <c r="T189" s="123"/>
      <c r="U189" s="123"/>
      <c r="V189" s="126"/>
      <c r="W189" s="44"/>
    </row>
    <row r="190" spans="1:23" s="4" customFormat="1" ht="15">
      <c r="A190" s="105" t="s">
        <v>70</v>
      </c>
      <c r="B190" s="42">
        <f t="shared" si="25"/>
        <v>474.0279999999999</v>
      </c>
      <c r="C190" s="18">
        <f>C138*0.85</f>
        <v>62.9</v>
      </c>
      <c r="D190" s="18">
        <f t="shared" si="52"/>
        <v>33.15</v>
      </c>
      <c r="E190" s="18">
        <f t="shared" si="52"/>
        <v>30.599999999999998</v>
      </c>
      <c r="F190" s="18">
        <f t="shared" si="52"/>
        <v>29.63525</v>
      </c>
      <c r="G190" s="18">
        <f t="shared" si="52"/>
        <v>65.50949999999999</v>
      </c>
      <c r="H190" s="18">
        <f t="shared" si="52"/>
        <v>62.39</v>
      </c>
      <c r="I190" s="18">
        <f t="shared" si="52"/>
        <v>28.2625</v>
      </c>
      <c r="J190" s="18">
        <f t="shared" si="52"/>
        <v>28.827749999999998</v>
      </c>
      <c r="K190" s="18">
        <f t="shared" si="52"/>
        <v>57.93599999999999</v>
      </c>
      <c r="L190" s="18">
        <f t="shared" si="52"/>
        <v>74.81700000000001</v>
      </c>
      <c r="M190" s="18">
        <f t="shared" si="23"/>
        <v>17.15856</v>
      </c>
      <c r="N190" s="18">
        <f t="shared" si="44"/>
        <v>3</v>
      </c>
      <c r="O190" s="18">
        <f t="shared" si="44"/>
        <v>10.74576</v>
      </c>
      <c r="P190" s="18">
        <f t="shared" si="44"/>
        <v>3.4128000000000003</v>
      </c>
      <c r="Q190" s="19">
        <f t="shared" si="39"/>
        <v>10.500000000000002</v>
      </c>
      <c r="R190" s="126"/>
      <c r="S190" s="186">
        <f t="shared" si="27"/>
        <v>89.38234499999999</v>
      </c>
      <c r="T190" s="123"/>
      <c r="U190" s="123"/>
      <c r="V190" s="126"/>
      <c r="W190" s="44"/>
    </row>
    <row r="191" spans="1:23" s="4" customFormat="1" ht="15">
      <c r="A191" s="105" t="s">
        <v>71</v>
      </c>
      <c r="B191" s="42">
        <f t="shared" si="25"/>
        <v>1102.0429450000001</v>
      </c>
      <c r="C191" s="18">
        <f>C139*0.89</f>
        <v>142.4</v>
      </c>
      <c r="D191" s="18">
        <f aca="true" t="shared" si="53" ref="D191:L191">D139*0.89</f>
        <v>68.975</v>
      </c>
      <c r="E191" s="18">
        <f t="shared" si="53"/>
        <v>65.415</v>
      </c>
      <c r="F191" s="18">
        <f t="shared" si="53"/>
        <v>70.74432</v>
      </c>
      <c r="G191" s="18">
        <f t="shared" si="53"/>
        <v>165.3264</v>
      </c>
      <c r="H191" s="18">
        <f t="shared" si="53"/>
        <v>143.79552</v>
      </c>
      <c r="I191" s="18">
        <f t="shared" si="53"/>
        <v>68.93406</v>
      </c>
      <c r="J191" s="18">
        <f t="shared" si="53"/>
        <v>75.26774499999999</v>
      </c>
      <c r="K191" s="18">
        <f t="shared" si="53"/>
        <v>125.0717</v>
      </c>
      <c r="L191" s="18">
        <f t="shared" si="53"/>
        <v>176.1132</v>
      </c>
      <c r="M191" s="18">
        <f t="shared" si="23"/>
        <v>38.112512</v>
      </c>
      <c r="N191" s="18">
        <f t="shared" si="44"/>
        <v>5</v>
      </c>
      <c r="O191" s="18">
        <f t="shared" si="44"/>
        <v>25.463808</v>
      </c>
      <c r="P191" s="18">
        <f t="shared" si="44"/>
        <v>7.648704000000001</v>
      </c>
      <c r="Q191" s="19">
        <f t="shared" si="39"/>
        <v>17.5</v>
      </c>
      <c r="R191" s="126"/>
      <c r="S191" s="186">
        <f t="shared" si="27"/>
        <v>206.503407</v>
      </c>
      <c r="T191" s="123"/>
      <c r="U191" s="123"/>
      <c r="V191" s="126"/>
      <c r="W191" s="44"/>
    </row>
    <row r="192" spans="1:23" s="4" customFormat="1" ht="15">
      <c r="A192" s="105" t="s">
        <v>72</v>
      </c>
      <c r="B192" s="42">
        <f t="shared" si="25"/>
        <v>683.8326</v>
      </c>
      <c r="C192" s="18">
        <f>C140*0.99</f>
        <v>90.8523</v>
      </c>
      <c r="D192" s="18">
        <f aca="true" t="shared" si="54" ref="D192:L192">D140*0.99</f>
        <v>42.857099999999996</v>
      </c>
      <c r="E192" s="18">
        <f t="shared" si="54"/>
        <v>43.79067</v>
      </c>
      <c r="F192" s="18">
        <f t="shared" si="54"/>
        <v>45.144</v>
      </c>
      <c r="G192" s="18">
        <f t="shared" si="54"/>
        <v>101.10375</v>
      </c>
      <c r="H192" s="18">
        <f t="shared" si="54"/>
        <v>89.3475</v>
      </c>
      <c r="I192" s="18">
        <f t="shared" si="54"/>
        <v>38.41299</v>
      </c>
      <c r="J192" s="18">
        <f t="shared" si="54"/>
        <v>43.19469</v>
      </c>
      <c r="K192" s="18">
        <f t="shared" si="54"/>
        <v>88.3575</v>
      </c>
      <c r="L192" s="18">
        <f t="shared" si="54"/>
        <v>100.77210000000001</v>
      </c>
      <c r="M192" s="18">
        <f t="shared" si="23"/>
        <v>21.511232000000003</v>
      </c>
      <c r="N192" s="18">
        <f t="shared" si="44"/>
        <v>3.2</v>
      </c>
      <c r="O192" s="18">
        <f t="shared" si="44"/>
        <v>14.181600000000001</v>
      </c>
      <c r="P192" s="18">
        <f t="shared" si="44"/>
        <v>4.129632</v>
      </c>
      <c r="Q192" s="20">
        <f t="shared" si="39"/>
        <v>11.200000000000001</v>
      </c>
      <c r="R192" s="126"/>
      <c r="S192" s="186">
        <f t="shared" si="27"/>
        <v>135.0792135</v>
      </c>
      <c r="T192" s="123"/>
      <c r="U192" s="123"/>
      <c r="V192" s="126"/>
      <c r="W192" s="44"/>
    </row>
    <row r="193" spans="1:21" s="4" customFormat="1" ht="15">
      <c r="A193" s="15"/>
      <c r="B193" s="42"/>
      <c r="K193" s="59"/>
      <c r="L193" s="61"/>
      <c r="Q193" s="114"/>
      <c r="R193" s="44"/>
      <c r="S193" s="44"/>
      <c r="T193" s="44"/>
      <c r="U193" s="123"/>
    </row>
    <row r="194" spans="1:18" s="4" customFormat="1" ht="15">
      <c r="A194" s="15" t="s">
        <v>18</v>
      </c>
      <c r="B194" s="42">
        <f>SUM(C194:K194)</f>
        <v>0</v>
      </c>
      <c r="K194" s="59"/>
      <c r="L194" s="61"/>
      <c r="Q194" s="114"/>
      <c r="R194"/>
    </row>
    <row r="195" spans="1:18" s="4" customFormat="1" ht="15">
      <c r="A195" s="38"/>
      <c r="B195" s="38"/>
      <c r="C195" s="22"/>
      <c r="D195" s="22"/>
      <c r="E195" s="22"/>
      <c r="F195" s="22"/>
      <c r="G195" s="22"/>
      <c r="H195" s="22"/>
      <c r="I195" s="22"/>
      <c r="J195" s="22"/>
      <c r="K195" s="112"/>
      <c r="L195" s="25"/>
      <c r="M195" s="22"/>
      <c r="N195" s="22"/>
      <c r="O195" s="22"/>
      <c r="P195" s="22"/>
      <c r="Q195" s="130"/>
      <c r="R195" s="3"/>
    </row>
    <row r="196" s="4" customFormat="1" ht="15"/>
    <row r="197" s="4" customFormat="1" ht="15"/>
    <row r="198" s="4" customFormat="1" ht="15"/>
    <row r="199" s="4" customFormat="1" ht="15"/>
    <row r="200" s="4" customFormat="1" ht="15">
      <c r="E200" s="4" t="s">
        <v>36</v>
      </c>
    </row>
    <row r="201" s="4" customFormat="1" ht="15"/>
    <row r="202" s="4" customFormat="1" ht="15">
      <c r="G202" s="4" t="str">
        <f>+G3</f>
        <v>           SERVICIO DE SALUD ACONCAGUA  2020</v>
      </c>
    </row>
    <row r="203" spans="8:12" s="4" customFormat="1" ht="15">
      <c r="H203" s="5"/>
      <c r="I203" s="5"/>
      <c r="J203" s="5"/>
      <c r="K203" s="5"/>
      <c r="L203" s="5"/>
    </row>
    <row r="204" s="4" customFormat="1" ht="15"/>
    <row r="205" spans="1:19" s="4" customFormat="1" ht="15">
      <c r="A205" s="6"/>
      <c r="B205" s="7"/>
      <c r="C205" s="6"/>
      <c r="D205" s="8"/>
      <c r="E205" s="8"/>
      <c r="F205" s="8"/>
      <c r="G205" s="8"/>
      <c r="H205" s="8"/>
      <c r="I205" s="10"/>
      <c r="J205" s="11"/>
      <c r="K205" s="12"/>
      <c r="L205" s="10"/>
      <c r="M205" s="11"/>
      <c r="N205" s="11"/>
      <c r="O205" s="11"/>
      <c r="P205" s="11"/>
      <c r="Q205" s="11"/>
      <c r="R205" s="13"/>
      <c r="S205"/>
    </row>
    <row r="206" spans="1:19" s="4" customFormat="1" ht="15">
      <c r="A206" s="14"/>
      <c r="B206" s="15"/>
      <c r="C206" s="14"/>
      <c r="D206" s="59"/>
      <c r="E206" s="4" t="s">
        <v>2</v>
      </c>
      <c r="I206" s="17" t="s">
        <v>20</v>
      </c>
      <c r="J206" s="18"/>
      <c r="K206" s="19"/>
      <c r="L206" s="17"/>
      <c r="M206" s="205" t="s">
        <v>21</v>
      </c>
      <c r="N206" s="205"/>
      <c r="O206" s="205"/>
      <c r="P206" s="205"/>
      <c r="Q206" s="205"/>
      <c r="R206" s="20"/>
      <c r="S206"/>
    </row>
    <row r="207" spans="1:19" s="4" customFormat="1" ht="15">
      <c r="A207" s="14"/>
      <c r="B207" s="15"/>
      <c r="C207" s="21"/>
      <c r="D207" s="22"/>
      <c r="E207" s="22"/>
      <c r="F207" s="22"/>
      <c r="G207" s="22"/>
      <c r="H207" s="22"/>
      <c r="I207" s="24"/>
      <c r="J207" s="25"/>
      <c r="K207" s="26"/>
      <c r="L207" s="24"/>
      <c r="M207" s="25"/>
      <c r="N207" s="25"/>
      <c r="O207" s="25"/>
      <c r="P207" s="25"/>
      <c r="Q207" s="25"/>
      <c r="R207" s="27"/>
      <c r="S207"/>
    </row>
    <row r="208" spans="1:19" s="4" customFormat="1" ht="15">
      <c r="A208" s="14"/>
      <c r="B208" s="28" t="s">
        <v>5</v>
      </c>
      <c r="C208" s="14"/>
      <c r="D208" s="59"/>
      <c r="I208" s="29"/>
      <c r="J208" s="30"/>
      <c r="K208" s="31"/>
      <c r="L208" s="29"/>
      <c r="M208" s="30"/>
      <c r="N208" s="30"/>
      <c r="O208" s="30"/>
      <c r="P208" s="30"/>
      <c r="Q208" s="30"/>
      <c r="R208" s="32"/>
      <c r="S208"/>
    </row>
    <row r="209" spans="1:19" s="4" customFormat="1" ht="15">
      <c r="A209" s="33" t="s">
        <v>6</v>
      </c>
      <c r="B209" s="15"/>
      <c r="C209" s="14"/>
      <c r="D209" s="59"/>
      <c r="E209" s="86" t="s">
        <v>75</v>
      </c>
      <c r="F209" s="86" t="s">
        <v>76</v>
      </c>
      <c r="G209" s="5" t="s">
        <v>7</v>
      </c>
      <c r="H209" s="34" t="s">
        <v>8</v>
      </c>
      <c r="I209" s="35"/>
      <c r="J209" s="36" t="s">
        <v>9</v>
      </c>
      <c r="K209" s="37" t="s">
        <v>10</v>
      </c>
      <c r="L209" s="35"/>
      <c r="M209" s="36" t="s">
        <v>11</v>
      </c>
      <c r="N209" s="76" t="s">
        <v>77</v>
      </c>
      <c r="O209" s="76" t="s">
        <v>54</v>
      </c>
      <c r="P209" s="76" t="s">
        <v>49</v>
      </c>
      <c r="Q209" s="76" t="s">
        <v>34</v>
      </c>
      <c r="R209" s="77" t="s">
        <v>35</v>
      </c>
      <c r="S209"/>
    </row>
    <row r="210" spans="1:19" s="4" customFormat="1" ht="15">
      <c r="A210" s="14"/>
      <c r="B210" s="28" t="s">
        <v>12</v>
      </c>
      <c r="C210" s="33" t="s">
        <v>13</v>
      </c>
      <c r="D210" s="5" t="s">
        <v>14</v>
      </c>
      <c r="E210" s="76" t="s">
        <v>15</v>
      </c>
      <c r="F210" s="76" t="s">
        <v>15</v>
      </c>
      <c r="G210" s="5" t="s">
        <v>16</v>
      </c>
      <c r="H210" s="34" t="s">
        <v>16</v>
      </c>
      <c r="I210" s="35" t="s">
        <v>13</v>
      </c>
      <c r="J210" s="36" t="s">
        <v>16</v>
      </c>
      <c r="K210" s="37" t="s">
        <v>16</v>
      </c>
      <c r="L210" s="35" t="s">
        <v>13</v>
      </c>
      <c r="M210" s="36" t="s">
        <v>16</v>
      </c>
      <c r="N210" s="76" t="s">
        <v>16</v>
      </c>
      <c r="O210" s="76" t="s">
        <v>16</v>
      </c>
      <c r="P210" s="76" t="s">
        <v>16</v>
      </c>
      <c r="Q210" s="76" t="s">
        <v>16</v>
      </c>
      <c r="R210" s="77" t="s">
        <v>16</v>
      </c>
      <c r="S210"/>
    </row>
    <row r="211" spans="1:19" s="4" customFormat="1" ht="15">
      <c r="A211" s="21"/>
      <c r="B211" s="38"/>
      <c r="C211" s="21"/>
      <c r="D211" s="22"/>
      <c r="E211" s="22"/>
      <c r="F211" s="22"/>
      <c r="G211" s="22"/>
      <c r="H211" s="23"/>
      <c r="I211" s="39"/>
      <c r="J211" s="40"/>
      <c r="K211" s="41"/>
      <c r="L211" s="24"/>
      <c r="M211" s="25"/>
      <c r="N211" s="25"/>
      <c r="O211" s="25"/>
      <c r="P211" s="25"/>
      <c r="Q211" s="25"/>
      <c r="R211" s="27"/>
      <c r="S211"/>
    </row>
    <row r="212" spans="1:19" s="4" customFormat="1" ht="17.25" customHeight="1">
      <c r="A212" s="14" t="s">
        <v>37</v>
      </c>
      <c r="B212" s="42">
        <f>SUM(C212,I212,L212)</f>
        <v>156869.359508</v>
      </c>
      <c r="C212" s="17">
        <f>SUM(D212:H212)</f>
        <v>25358.186744</v>
      </c>
      <c r="D212" s="18">
        <f>D216-D213</f>
        <v>2312.618</v>
      </c>
      <c r="E212" s="18">
        <f>E216-E213</f>
        <v>1162.9164799999999</v>
      </c>
      <c r="F212" s="18">
        <f>F216-F213</f>
        <v>1148.380024</v>
      </c>
      <c r="G212" s="18">
        <f>G216-G213</f>
        <v>10109.4444</v>
      </c>
      <c r="H212" s="18">
        <f>H216-H213</f>
        <v>10624.82784</v>
      </c>
      <c r="I212" s="17">
        <f>SUM(J212:K212)</f>
        <v>20176.389668</v>
      </c>
      <c r="J212" s="18">
        <f>J216-J213</f>
        <v>10494.026286</v>
      </c>
      <c r="K212" s="18">
        <f>K216-K213</f>
        <v>9682.363382</v>
      </c>
      <c r="L212" s="95">
        <f>+M212+O212+P212+Q212+R212</f>
        <v>111334.783096</v>
      </c>
      <c r="M212" s="18">
        <f aca="true" t="shared" si="55" ref="M212:R212">M216-M213</f>
        <v>54832.522860000005</v>
      </c>
      <c r="N212" s="18">
        <f t="shared" si="55"/>
        <v>44919.798559999996</v>
      </c>
      <c r="O212" s="18">
        <f t="shared" si="55"/>
        <v>19358.115292000002</v>
      </c>
      <c r="P212" s="18">
        <f t="shared" si="55"/>
        <v>17260.74916</v>
      </c>
      <c r="Q212" s="18">
        <f t="shared" si="55"/>
        <v>6743.871811999999</v>
      </c>
      <c r="R212" s="18">
        <f t="shared" si="55"/>
        <v>13139.523971999999</v>
      </c>
      <c r="S212"/>
    </row>
    <row r="213" spans="1:19" s="4" customFormat="1" ht="17.25" customHeight="1">
      <c r="A213" s="14" t="s">
        <v>38</v>
      </c>
      <c r="B213" s="42">
        <f>SUM(C213,I213,L213)</f>
        <v>87231.956172</v>
      </c>
      <c r="C213" s="17">
        <f>SUM(D213:H213)</f>
        <v>11814.360276</v>
      </c>
      <c r="D213" s="18">
        <f>+E13*0.307842</f>
        <v>1077.4470000000001</v>
      </c>
      <c r="E213" s="18">
        <f>+F13*0.307842</f>
        <v>541.80192</v>
      </c>
      <c r="F213" s="18">
        <f>+G13*0.307842</f>
        <v>535.029396</v>
      </c>
      <c r="G213" s="18">
        <f>+H13*0.307842</f>
        <v>4709.9826</v>
      </c>
      <c r="H213" s="18">
        <f>+I13*0.307842</f>
        <v>4950.09936</v>
      </c>
      <c r="I213" s="17">
        <f>SUM(J213:K213)</f>
        <v>11539.765212</v>
      </c>
      <c r="J213" s="18">
        <f>+K13*0.307842</f>
        <v>6001.995474</v>
      </c>
      <c r="K213" s="18">
        <f>+L13*0.307842</f>
        <v>5537.769738</v>
      </c>
      <c r="L213" s="95">
        <f>+M213+O213+P213+Q213+R213</f>
        <v>63877.830684</v>
      </c>
      <c r="M213" s="18">
        <f aca="true" t="shared" si="56" ref="M213:R213">+N13*0.307842</f>
        <v>31459.91319</v>
      </c>
      <c r="N213" s="18">
        <f t="shared" si="56"/>
        <v>25772.53224</v>
      </c>
      <c r="O213" s="18">
        <f t="shared" si="56"/>
        <v>11106.631518</v>
      </c>
      <c r="P213" s="18">
        <f t="shared" si="56"/>
        <v>9903.27714</v>
      </c>
      <c r="Q213" s="18">
        <f t="shared" si="56"/>
        <v>3869.266098</v>
      </c>
      <c r="R213" s="18">
        <f t="shared" si="56"/>
        <v>7538.742738</v>
      </c>
      <c r="S213"/>
    </row>
    <row r="214" spans="1:19" s="4" customFormat="1" ht="17.25" customHeight="1">
      <c r="A214" s="14" t="s">
        <v>39</v>
      </c>
      <c r="B214" s="42">
        <f>SUM(C214,I214,L214)</f>
        <v>39500.572799999994</v>
      </c>
      <c r="C214" s="17">
        <f>SUM(D214:H214)</f>
        <v>5558.686</v>
      </c>
      <c r="D214" s="18">
        <f>+E63+E70+E90</f>
        <v>483.45</v>
      </c>
      <c r="E214" s="18">
        <f>+F63+F70+F90</f>
        <v>245.897</v>
      </c>
      <c r="F214" s="18">
        <f>+G63+G70+G90</f>
        <v>241.404</v>
      </c>
      <c r="G214" s="18">
        <f>+H63+H70+H90</f>
        <v>2309.279</v>
      </c>
      <c r="H214" s="18">
        <f>+I63+I70+I90</f>
        <v>2278.656</v>
      </c>
      <c r="I214" s="17">
        <f>SUM(J214:K214)</f>
        <v>5179.9580000000005</v>
      </c>
      <c r="J214" s="18">
        <f>+K63+K70+K90</f>
        <v>2674.754</v>
      </c>
      <c r="K214" s="18">
        <f>+L63+L70+L90</f>
        <v>2505.204</v>
      </c>
      <c r="L214" s="95">
        <f>+M214+O214+P214+Q214+R214</f>
        <v>28761.928799999998</v>
      </c>
      <c r="M214" s="18">
        <f aca="true" t="shared" si="57" ref="M214:R214">+N63+N70+N90</f>
        <v>13876.51</v>
      </c>
      <c r="N214" s="18">
        <f t="shared" si="57"/>
        <v>11138.721999999998</v>
      </c>
      <c r="O214" s="18">
        <f t="shared" si="57"/>
        <v>4985.936</v>
      </c>
      <c r="P214" s="18">
        <f t="shared" si="57"/>
        <v>4312.934</v>
      </c>
      <c r="Q214" s="18">
        <f t="shared" si="57"/>
        <v>1784.4379999999999</v>
      </c>
      <c r="R214" s="18">
        <f t="shared" si="57"/>
        <v>3802.1108</v>
      </c>
      <c r="S214"/>
    </row>
    <row r="215" spans="1:19" s="4" customFormat="1" ht="17.25" customHeight="1">
      <c r="A215" s="14" t="s">
        <v>40</v>
      </c>
      <c r="B215" s="42">
        <f>SUM(C215,I215,L215)</f>
        <v>14359.861499999999</v>
      </c>
      <c r="C215" s="17">
        <f>SUM(D215:H215)</f>
        <v>1837.656</v>
      </c>
      <c r="D215" s="18">
        <f>+E71+E85+E86+E87+E88</f>
        <v>170.06800000000004</v>
      </c>
      <c r="E215" s="18">
        <f>+F71+F85+F86+F87+F88</f>
        <v>83.807</v>
      </c>
      <c r="F215" s="18">
        <f>+G71+G85+G86+G87+G88</f>
        <v>78.864</v>
      </c>
      <c r="G215" s="18">
        <f>+H71+H85+H86+H87+H88</f>
        <v>741.636</v>
      </c>
      <c r="H215" s="18">
        <f>+I71+I85+I86+I87+I88</f>
        <v>763.2810000000001</v>
      </c>
      <c r="I215" s="17">
        <f>SUM(J215:K215)</f>
        <v>1861.2060000000001</v>
      </c>
      <c r="J215" s="18">
        <f>+K71+K85+K86+K87+K88</f>
        <v>903.526</v>
      </c>
      <c r="K215" s="18">
        <f>+L71+L85+L86+L87+L88</f>
        <v>957.6800000000001</v>
      </c>
      <c r="L215" s="95">
        <f>+M215+O215+P215+Q215+R215</f>
        <v>10660.9995</v>
      </c>
      <c r="M215" s="18">
        <f aca="true" t="shared" si="58" ref="M215:R215">+N71+N85+N86+N87+N88</f>
        <v>4631.963000000001</v>
      </c>
      <c r="N215" s="18">
        <f t="shared" si="58"/>
        <v>3852.984</v>
      </c>
      <c r="O215" s="18">
        <f t="shared" si="58"/>
        <v>2005.683</v>
      </c>
      <c r="P215" s="18">
        <f t="shared" si="58"/>
        <v>1621.2580000000003</v>
      </c>
      <c r="Q215" s="18">
        <f t="shared" si="58"/>
        <v>697.57</v>
      </c>
      <c r="R215" s="18">
        <f t="shared" si="58"/>
        <v>1704.5255000000002</v>
      </c>
      <c r="S215"/>
    </row>
    <row r="216" spans="1:19" s="4" customFormat="1" ht="17.25" customHeight="1">
      <c r="A216" s="14" t="s">
        <v>41</v>
      </c>
      <c r="B216" s="42">
        <f>SUM(C216,I216,L216)</f>
        <v>244101.31568</v>
      </c>
      <c r="C216" s="17">
        <f>SUM(D216:H216)</f>
        <v>37172.54702</v>
      </c>
      <c r="D216" s="18">
        <f>+E13*0.96859</f>
        <v>3390.065</v>
      </c>
      <c r="E216" s="18">
        <f>+F13*0.96859</f>
        <v>1704.7184</v>
      </c>
      <c r="F216" s="18">
        <f>+G13*0.96859</f>
        <v>1683.40942</v>
      </c>
      <c r="G216" s="18">
        <f>+H13*0.96859</f>
        <v>14819.427</v>
      </c>
      <c r="H216" s="18">
        <f>+I13*0.96859</f>
        <v>15574.9272</v>
      </c>
      <c r="I216" s="17">
        <f>SUM(J216:K216)</f>
        <v>31716.154880000002</v>
      </c>
      <c r="J216" s="18">
        <f>+K13*0.84608</f>
        <v>16496.02176</v>
      </c>
      <c r="K216" s="18">
        <f>+L13*0.84608</f>
        <v>15220.13312</v>
      </c>
      <c r="L216" s="95">
        <f>+M216+O216+P216+Q216+R216</f>
        <v>175212.61377999999</v>
      </c>
      <c r="M216" s="18">
        <f aca="true" t="shared" si="59" ref="M216:R216">+N13*0.84439</f>
        <v>86292.43605</v>
      </c>
      <c r="N216" s="18">
        <f t="shared" si="59"/>
        <v>70692.3308</v>
      </c>
      <c r="O216" s="18">
        <f t="shared" si="59"/>
        <v>30464.74681</v>
      </c>
      <c r="P216" s="18">
        <f t="shared" si="59"/>
        <v>27164.026299999998</v>
      </c>
      <c r="Q216" s="18">
        <f t="shared" si="59"/>
        <v>10613.13791</v>
      </c>
      <c r="R216" s="18">
        <f t="shared" si="59"/>
        <v>20678.26671</v>
      </c>
      <c r="S216"/>
    </row>
    <row r="217" spans="1:19" s="4" customFormat="1" ht="15">
      <c r="A217" s="21"/>
      <c r="B217" s="43"/>
      <c r="C217" s="24"/>
      <c r="D217" s="25"/>
      <c r="E217" s="25"/>
      <c r="F217" s="25"/>
      <c r="G217" s="25"/>
      <c r="H217" s="25"/>
      <c r="I217" s="24"/>
      <c r="J217" s="25"/>
      <c r="K217" s="26"/>
      <c r="L217" s="24"/>
      <c r="M217" s="25"/>
      <c r="N217" s="25"/>
      <c r="O217" s="25"/>
      <c r="P217" s="25"/>
      <c r="Q217" s="25"/>
      <c r="R217" s="27"/>
      <c r="S217"/>
    </row>
    <row r="218" s="4" customFormat="1" ht="15">
      <c r="B218" s="44"/>
    </row>
    <row r="219" s="4" customFormat="1" ht="15"/>
    <row r="220" spans="1:8" s="4" customFormat="1" ht="15">
      <c r="A220" s="45" t="s">
        <v>42</v>
      </c>
      <c r="B220" s="46" t="s">
        <v>43</v>
      </c>
      <c r="C220" s="46"/>
      <c r="D220" s="46"/>
      <c r="E220" s="46"/>
      <c r="F220" s="46"/>
      <c r="G220" s="46"/>
      <c r="H220" s="46"/>
    </row>
    <row r="221" spans="1:8" s="4" customFormat="1" ht="15">
      <c r="A221" s="46"/>
      <c r="B221" s="46" t="s">
        <v>44</v>
      </c>
      <c r="C221" s="46"/>
      <c r="D221" s="46"/>
      <c r="E221" s="46"/>
      <c r="F221" s="46"/>
      <c r="G221" s="46"/>
      <c r="H221" s="46"/>
    </row>
    <row r="222" spans="1:8" s="4" customFormat="1" ht="15">
      <c r="A222" s="46"/>
      <c r="B222" s="46" t="s">
        <v>45</v>
      </c>
      <c r="C222" s="46"/>
      <c r="D222" s="46"/>
      <c r="E222" s="46"/>
      <c r="F222" s="46"/>
      <c r="G222" s="46"/>
      <c r="H222" s="46"/>
    </row>
    <row r="223" spans="1:8" s="4" customFormat="1" ht="15">
      <c r="A223" s="46"/>
      <c r="B223" s="46" t="s">
        <v>46</v>
      </c>
      <c r="C223" s="46"/>
      <c r="D223" s="46"/>
      <c r="E223" s="46"/>
      <c r="F223" s="46"/>
      <c r="G223" s="46"/>
      <c r="H223" s="46"/>
    </row>
    <row r="224" spans="1:8" s="4" customFormat="1" ht="15">
      <c r="A224" s="46"/>
      <c r="B224" s="46" t="s">
        <v>47</v>
      </c>
      <c r="C224" s="46"/>
      <c r="D224" s="46"/>
      <c r="E224" s="46"/>
      <c r="F224" s="46"/>
      <c r="G224" s="46"/>
      <c r="H224" s="46"/>
    </row>
    <row r="225" s="4" customFormat="1" ht="15"/>
    <row r="226" s="4" customFormat="1" ht="15"/>
    <row r="227" s="4" customFormat="1" ht="15">
      <c r="E227" s="4" t="s">
        <v>48</v>
      </c>
    </row>
    <row r="228" s="4" customFormat="1" ht="15"/>
    <row r="229" s="4" customFormat="1" ht="15.75" thickBot="1"/>
    <row r="230" spans="1:18" s="4" customFormat="1" ht="15">
      <c r="A230" s="149"/>
      <c r="B230" s="150"/>
      <c r="C230" s="151"/>
      <c r="D230" s="152"/>
      <c r="E230" s="152"/>
      <c r="F230" s="152"/>
      <c r="G230" s="152"/>
      <c r="H230" s="152"/>
      <c r="I230" s="152"/>
      <c r="J230" s="152"/>
      <c r="K230" s="153"/>
      <c r="L230" s="152"/>
      <c r="M230" s="152"/>
      <c r="N230" s="152"/>
      <c r="O230" s="154"/>
      <c r="P230"/>
      <c r="Q230"/>
      <c r="R230"/>
    </row>
    <row r="231" spans="1:18" s="4" customFormat="1" ht="15">
      <c r="A231" s="147"/>
      <c r="B231" s="15"/>
      <c r="C231" s="14"/>
      <c r="D231" s="59"/>
      <c r="E231" s="155" t="s">
        <v>23</v>
      </c>
      <c r="F231" s="155"/>
      <c r="G231" s="155"/>
      <c r="H231" s="155"/>
      <c r="I231" s="155"/>
      <c r="J231" s="155"/>
      <c r="K231" s="121"/>
      <c r="L231" s="59"/>
      <c r="M231" s="59" t="s">
        <v>24</v>
      </c>
      <c r="N231" s="59"/>
      <c r="O231" s="156" t="s">
        <v>25</v>
      </c>
      <c r="P231"/>
      <c r="Q231"/>
      <c r="R231"/>
    </row>
    <row r="232" spans="1:18" s="4" customFormat="1" ht="15">
      <c r="A232" s="147"/>
      <c r="B232" s="15"/>
      <c r="C232" s="21"/>
      <c r="D232" s="22"/>
      <c r="E232" s="22"/>
      <c r="F232" s="22"/>
      <c r="G232" s="22"/>
      <c r="H232" s="22"/>
      <c r="I232" s="22"/>
      <c r="J232" s="22"/>
      <c r="K232" s="115"/>
      <c r="L232" s="22"/>
      <c r="M232" s="22"/>
      <c r="N232" s="22"/>
      <c r="O232" s="156"/>
      <c r="P232"/>
      <c r="Q232"/>
      <c r="R232"/>
    </row>
    <row r="233" spans="1:18" s="4" customFormat="1" ht="15">
      <c r="A233" s="147"/>
      <c r="B233" s="28" t="s">
        <v>5</v>
      </c>
      <c r="C233" s="14"/>
      <c r="D233" s="59"/>
      <c r="E233" s="59"/>
      <c r="F233" s="59"/>
      <c r="G233" s="59"/>
      <c r="H233" s="59"/>
      <c r="I233" s="59"/>
      <c r="J233" s="59"/>
      <c r="K233" s="117"/>
      <c r="L233" s="47"/>
      <c r="M233" s="47"/>
      <c r="N233" s="47"/>
      <c r="O233" s="156" t="s">
        <v>26</v>
      </c>
      <c r="P233"/>
      <c r="Q233"/>
      <c r="R233"/>
    </row>
    <row r="234" spans="1:18" s="4" customFormat="1" ht="15">
      <c r="A234" s="157" t="s">
        <v>6</v>
      </c>
      <c r="B234" s="15"/>
      <c r="C234" s="33" t="s">
        <v>27</v>
      </c>
      <c r="D234" s="60" t="s">
        <v>9</v>
      </c>
      <c r="E234" s="60" t="s">
        <v>10</v>
      </c>
      <c r="F234" s="48" t="s">
        <v>11</v>
      </c>
      <c r="G234" s="76" t="s">
        <v>54</v>
      </c>
      <c r="H234" s="76" t="s">
        <v>49</v>
      </c>
      <c r="I234" s="76" t="s">
        <v>34</v>
      </c>
      <c r="J234" s="76" t="s">
        <v>35</v>
      </c>
      <c r="K234" s="118" t="s">
        <v>12</v>
      </c>
      <c r="L234" s="60" t="s">
        <v>30</v>
      </c>
      <c r="M234" s="60" t="s">
        <v>31</v>
      </c>
      <c r="N234" s="60" t="s">
        <v>83</v>
      </c>
      <c r="O234" s="156"/>
      <c r="P234"/>
      <c r="Q234"/>
      <c r="R234"/>
    </row>
    <row r="235" spans="1:18" s="4" customFormat="1" ht="15">
      <c r="A235" s="147"/>
      <c r="B235" s="28" t="s">
        <v>12</v>
      </c>
      <c r="C235" s="60" t="s">
        <v>16</v>
      </c>
      <c r="D235" s="60" t="s">
        <v>16</v>
      </c>
      <c r="E235" s="60" t="s">
        <v>16</v>
      </c>
      <c r="F235" s="48" t="s">
        <v>16</v>
      </c>
      <c r="G235" s="76" t="s">
        <v>16</v>
      </c>
      <c r="H235" s="76" t="s">
        <v>16</v>
      </c>
      <c r="I235" s="76" t="s">
        <v>16</v>
      </c>
      <c r="J235" s="76" t="s">
        <v>16</v>
      </c>
      <c r="K235" s="118"/>
      <c r="L235" s="60" t="s">
        <v>16</v>
      </c>
      <c r="M235" s="60" t="s">
        <v>16</v>
      </c>
      <c r="N235" s="60" t="s">
        <v>16</v>
      </c>
      <c r="O235" s="156" t="s">
        <v>32</v>
      </c>
      <c r="P235"/>
      <c r="Q235"/>
      <c r="R235"/>
    </row>
    <row r="236" spans="1:18" s="4" customFormat="1" ht="15">
      <c r="A236" s="158"/>
      <c r="B236" s="38"/>
      <c r="C236" s="21"/>
      <c r="D236" s="22"/>
      <c r="E236" s="22"/>
      <c r="F236" s="22"/>
      <c r="G236" s="22"/>
      <c r="H236" s="22"/>
      <c r="I236" s="22"/>
      <c r="J236" s="22"/>
      <c r="K236" s="115"/>
      <c r="L236" s="22"/>
      <c r="M236" s="22"/>
      <c r="N236" s="22"/>
      <c r="O236" s="159"/>
      <c r="P236"/>
      <c r="Q236"/>
      <c r="R236"/>
    </row>
    <row r="237" spans="1:18" s="4" customFormat="1" ht="15.75" customHeight="1">
      <c r="A237" s="105" t="s">
        <v>37</v>
      </c>
      <c r="B237" s="42">
        <f>SUM(C237:J237)</f>
        <v>78824.47410759</v>
      </c>
      <c r="C237" s="61">
        <f>+C212*0.51</f>
        <v>12932.67523944</v>
      </c>
      <c r="D237" s="61">
        <f>+J212*0.51</f>
        <v>5351.95340586</v>
      </c>
      <c r="E237" s="61">
        <f>+K212*0.51</f>
        <v>4938.00532482</v>
      </c>
      <c r="F237" s="61">
        <f>+M212*0.4885</f>
        <v>26785.687417110003</v>
      </c>
      <c r="G237" s="61">
        <f>+O212*0.51</f>
        <v>9872.638798920001</v>
      </c>
      <c r="H237" s="61">
        <f>+P212*0.51</f>
        <v>8802.9820716</v>
      </c>
      <c r="I237" s="61">
        <f>+Q212*0.51</f>
        <v>3439.3746241199997</v>
      </c>
      <c r="J237" s="61">
        <f>+R212*0.51</f>
        <v>6701.15722572</v>
      </c>
      <c r="K237" s="122">
        <f>SUM(L237:N237)</f>
        <v>4013.7563436336004</v>
      </c>
      <c r="L237" s="61">
        <f>(+D237+E237)*0.06</f>
        <v>617.3975238408</v>
      </c>
      <c r="M237" s="122">
        <f>F237*0.108</f>
        <v>2892.8542410478804</v>
      </c>
      <c r="N237" s="122">
        <f>G237*0.051</f>
        <v>503.50457874492</v>
      </c>
      <c r="O237" s="160">
        <f>+D212</f>
        <v>2312.618</v>
      </c>
      <c r="P237"/>
      <c r="Q237"/>
      <c r="R237"/>
    </row>
    <row r="238" spans="1:18" s="4" customFormat="1" ht="15.75" customHeight="1">
      <c r="A238" s="105" t="s">
        <v>38</v>
      </c>
      <c r="B238" s="42">
        <f>SUM(C238:J238)</f>
        <v>45679.89566287681</v>
      </c>
      <c r="C238" s="61">
        <f>+C213*0.51</f>
        <v>6025.32374076</v>
      </c>
      <c r="D238" s="61">
        <f>+J213*0.5258</f>
        <v>3155.8492202292005</v>
      </c>
      <c r="E238" s="61">
        <f>+K213*0.5258</f>
        <v>2911.7593282404</v>
      </c>
      <c r="F238" s="61">
        <f>+M213*0.5258</f>
        <v>16541.622355302003</v>
      </c>
      <c r="G238" s="61">
        <f>+O213*0.5258</f>
        <v>5839.8668521644</v>
      </c>
      <c r="H238" s="61">
        <f>+P213*0.5258</f>
        <v>5207.143120212</v>
      </c>
      <c r="I238" s="61">
        <f>+Q213*0.5258</f>
        <v>2034.4601143284</v>
      </c>
      <c r="J238" s="61">
        <f>+R213*0.5258</f>
        <v>3963.8709316404</v>
      </c>
      <c r="K238" s="122">
        <f>SUM(L238:N238)</f>
        <v>2448.3849367411767</v>
      </c>
      <c r="L238" s="61">
        <f>(+D238+E238)*0.06</f>
        <v>364.056512908176</v>
      </c>
      <c r="M238" s="122">
        <f>F238*0.108</f>
        <v>1786.4952143726164</v>
      </c>
      <c r="N238" s="122">
        <f>G238*0.051</f>
        <v>297.8332094603844</v>
      </c>
      <c r="O238" s="160">
        <f>+D213</f>
        <v>1077.4470000000001</v>
      </c>
      <c r="P238"/>
      <c r="Q238"/>
      <c r="R238"/>
    </row>
    <row r="239" spans="1:18" s="4" customFormat="1" ht="15.75" customHeight="1">
      <c r="A239" s="105" t="s">
        <v>39</v>
      </c>
      <c r="B239" s="42">
        <f>SUM(C239:J239)</f>
        <v>20145.292128</v>
      </c>
      <c r="C239" s="61">
        <f>+C214*0.51</f>
        <v>2834.9298599999997</v>
      </c>
      <c r="D239" s="61">
        <f>+J214*0.51</f>
        <v>1364.12454</v>
      </c>
      <c r="E239" s="61">
        <f>+K214*0.51</f>
        <v>1277.6540400000001</v>
      </c>
      <c r="F239" s="61">
        <f>+M214*0.51</f>
        <v>7077.020100000001</v>
      </c>
      <c r="G239" s="61">
        <f>+O214*0.51</f>
        <v>2542.8273599999998</v>
      </c>
      <c r="H239" s="61">
        <f>+P214*0.51</f>
        <v>2199.59634</v>
      </c>
      <c r="I239" s="61">
        <f>+Q214*0.51</f>
        <v>910.0633799999999</v>
      </c>
      <c r="J239" s="61">
        <f>+R214*0.51</f>
        <v>1939.076508</v>
      </c>
      <c r="K239" s="122">
        <f>SUM(L239:N239)</f>
        <v>1052.5090809600001</v>
      </c>
      <c r="L239" s="61">
        <f>(+D239+E239)*0.06</f>
        <v>158.5067148</v>
      </c>
      <c r="M239" s="122">
        <f>F239*0.108</f>
        <v>764.3181708000001</v>
      </c>
      <c r="N239" s="122">
        <f>G239*0.051</f>
        <v>129.68419536</v>
      </c>
      <c r="O239" s="160">
        <f>+D214</f>
        <v>483.45</v>
      </c>
      <c r="P239"/>
      <c r="Q239"/>
      <c r="R239"/>
    </row>
    <row r="240" spans="1:18" s="4" customFormat="1" ht="15.75" customHeight="1">
      <c r="A240" s="105" t="s">
        <v>40</v>
      </c>
      <c r="B240" s="42">
        <f>SUM(C240:J240)</f>
        <v>7467.127979999999</v>
      </c>
      <c r="C240" s="61">
        <f>+C215*0.52</f>
        <v>955.58112</v>
      </c>
      <c r="D240" s="61">
        <f>+J215*0.52</f>
        <v>469.83351999999996</v>
      </c>
      <c r="E240" s="61">
        <f>+K215*0.52</f>
        <v>497.9936000000001</v>
      </c>
      <c r="F240" s="61">
        <f>+M215*0.52</f>
        <v>2408.6207600000002</v>
      </c>
      <c r="G240" s="61">
        <f>+O215*0.52</f>
        <v>1042.95516</v>
      </c>
      <c r="H240" s="61">
        <f>+P215*0.52</f>
        <v>843.0541600000001</v>
      </c>
      <c r="I240" s="61">
        <f>+Q215*0.52</f>
        <v>362.73640000000006</v>
      </c>
      <c r="J240" s="61">
        <f>+R215*0.52</f>
        <v>886.3532600000001</v>
      </c>
      <c r="K240" s="122">
        <f>SUM(L240:N240)</f>
        <v>371.39138244000003</v>
      </c>
      <c r="L240" s="61">
        <f>(+D240+E240)*0.06</f>
        <v>58.0696272</v>
      </c>
      <c r="M240" s="122">
        <f>F240*0.108</f>
        <v>260.13104208000004</v>
      </c>
      <c r="N240" s="122">
        <f>G240*0.051</f>
        <v>53.190713159999994</v>
      </c>
      <c r="O240" s="160">
        <f>+D215</f>
        <v>170.06800000000004</v>
      </c>
      <c r="P240"/>
      <c r="Q240"/>
      <c r="R240"/>
    </row>
    <row r="241" spans="1:18" s="4" customFormat="1" ht="15.75" customHeight="1">
      <c r="A241" s="105" t="s">
        <v>41</v>
      </c>
      <c r="B241" s="42"/>
      <c r="C241" s="17"/>
      <c r="D241" s="61"/>
      <c r="E241" s="61"/>
      <c r="F241" s="61"/>
      <c r="G241" s="61"/>
      <c r="H241" s="61"/>
      <c r="I241" s="61"/>
      <c r="J241" s="61"/>
      <c r="K241" s="122"/>
      <c r="L241" s="20"/>
      <c r="M241" s="122"/>
      <c r="N241" s="61"/>
      <c r="O241" s="160"/>
      <c r="P241"/>
      <c r="Q241"/>
      <c r="R241"/>
    </row>
    <row r="242" spans="1:18" s="4" customFormat="1" ht="15.75" customHeight="1" thickBot="1">
      <c r="A242" s="49"/>
      <c r="B242" s="161"/>
      <c r="C242" s="162"/>
      <c r="D242" s="52"/>
      <c r="E242" s="52"/>
      <c r="F242" s="52"/>
      <c r="G242" s="52"/>
      <c r="H242" s="52"/>
      <c r="I242" s="52"/>
      <c r="J242" s="52"/>
      <c r="K242" s="163"/>
      <c r="L242" s="164"/>
      <c r="M242" s="163"/>
      <c r="N242" s="52"/>
      <c r="O242" s="165"/>
      <c r="P242"/>
      <c r="Q242"/>
      <c r="R242"/>
    </row>
    <row r="243" s="4" customFormat="1" ht="15"/>
    <row r="244" s="4" customFormat="1" ht="15"/>
    <row r="245" s="4" customFormat="1" ht="15"/>
    <row r="246" s="4" customFormat="1" ht="15"/>
    <row r="247" s="4" customFormat="1" ht="15"/>
    <row r="248" s="4" customFormat="1" ht="15"/>
    <row r="249" s="4" customFormat="1" ht="15"/>
    <row r="250" s="4" customFormat="1" ht="15"/>
    <row r="251" s="4" customFormat="1" ht="15"/>
    <row r="252" s="4" customFormat="1" ht="15"/>
    <row r="253" s="4" customFormat="1" ht="15"/>
    <row r="254" s="4" customFormat="1" ht="15"/>
    <row r="255" s="4" customFormat="1" ht="15"/>
    <row r="256" s="4" customFormat="1" ht="15"/>
    <row r="257" s="4" customFormat="1" ht="15"/>
    <row r="258" s="4" customFormat="1" ht="15"/>
    <row r="259" s="4" customFormat="1" ht="15"/>
    <row r="260" s="4" customFormat="1" ht="15"/>
    <row r="261" s="4" customFormat="1" ht="15"/>
    <row r="262" s="4" customFormat="1" ht="15"/>
    <row r="263" s="4" customFormat="1" ht="15"/>
    <row r="264" s="4" customFormat="1" ht="15"/>
    <row r="265" s="4" customFormat="1" ht="15"/>
    <row r="266" s="4" customFormat="1" ht="15"/>
    <row r="267" s="4" customFormat="1" ht="15"/>
    <row r="268" s="4" customFormat="1" ht="15"/>
    <row r="269" s="4" customFormat="1" ht="15"/>
    <row r="270" s="4" customFormat="1" ht="15"/>
    <row r="271" s="4" customFormat="1" ht="15"/>
    <row r="272" s="4" customFormat="1" ht="15"/>
    <row r="273" s="4" customFormat="1" ht="15"/>
    <row r="274" s="4" customFormat="1" ht="15"/>
    <row r="275" s="4" customFormat="1" ht="15"/>
    <row r="276" s="4" customFormat="1" ht="15"/>
    <row r="277" s="4" customFormat="1" ht="15"/>
    <row r="278" s="4" customFormat="1" ht="15"/>
    <row r="279" s="4" customFormat="1" ht="15"/>
    <row r="280" s="4" customFormat="1" ht="15"/>
    <row r="281" s="4" customFormat="1" ht="15"/>
    <row r="282" s="4" customFormat="1" ht="15"/>
    <row r="283" s="4" customFormat="1" ht="15"/>
    <row r="284" s="4" customFormat="1" ht="15"/>
    <row r="285" s="4" customFormat="1" ht="15"/>
    <row r="286" s="4" customFormat="1" ht="15"/>
    <row r="287" s="4" customFormat="1" ht="15"/>
    <row r="288" s="4" customFormat="1" ht="15"/>
    <row r="289" s="4" customFormat="1" ht="15"/>
    <row r="290" s="4" customFormat="1" ht="15"/>
    <row r="291" s="4" customFormat="1" ht="15"/>
    <row r="292" s="4" customFormat="1" ht="15"/>
    <row r="293" s="4" customFormat="1" ht="15"/>
    <row r="294" s="4" customFormat="1" ht="15"/>
    <row r="295" s="4" customFormat="1" ht="15"/>
    <row r="296" s="4" customFormat="1" ht="15"/>
    <row r="297" s="4" customFormat="1" ht="15"/>
    <row r="298" s="4" customFormat="1" ht="15"/>
    <row r="299" s="4" customFormat="1" ht="15"/>
    <row r="300" s="4" customFormat="1" ht="15"/>
    <row r="301" s="4" customFormat="1" ht="15"/>
    <row r="302" s="4" customFormat="1" ht="15"/>
    <row r="303" s="4" customFormat="1" ht="15"/>
    <row r="304" s="4" customFormat="1" ht="15"/>
    <row r="305" s="4" customFormat="1" ht="15"/>
    <row r="306" s="4" customFormat="1" ht="15"/>
    <row r="307" s="4" customFormat="1" ht="15"/>
    <row r="308" s="4" customFormat="1" ht="15"/>
    <row r="309" s="4" customFormat="1" ht="15"/>
    <row r="310" s="4" customFormat="1" ht="15"/>
    <row r="311" s="4" customFormat="1" ht="15"/>
    <row r="312" s="4" customFormat="1" ht="15"/>
    <row r="313" s="4" customFormat="1" ht="15"/>
    <row r="314" s="4" customFormat="1" ht="15"/>
    <row r="315" s="4" customFormat="1" ht="15"/>
    <row r="316" s="4" customFormat="1" ht="15"/>
    <row r="317" s="4" customFormat="1" ht="15"/>
    <row r="318" s="4" customFormat="1" ht="15"/>
    <row r="319" s="4" customFormat="1" ht="15"/>
    <row r="320" s="4" customFormat="1" ht="15"/>
    <row r="321" s="4" customFormat="1" ht="15"/>
    <row r="322" s="4" customFormat="1" ht="15"/>
    <row r="323" s="4" customFormat="1" ht="15"/>
    <row r="324" s="4" customFormat="1" ht="15"/>
    <row r="325" s="4" customFormat="1" ht="15"/>
    <row r="326" s="4" customFormat="1" ht="15"/>
    <row r="327" s="4" customFormat="1" ht="15"/>
    <row r="328" s="4" customFormat="1" ht="15"/>
    <row r="329" s="4" customFormat="1" ht="15"/>
    <row r="330" s="4" customFormat="1" ht="15"/>
    <row r="331" s="4" customFormat="1" ht="15"/>
    <row r="332" s="4" customFormat="1" ht="15"/>
    <row r="333" s="4" customFormat="1" ht="15"/>
    <row r="334" s="4" customFormat="1" ht="15"/>
    <row r="335" s="4" customFormat="1" ht="15"/>
    <row r="336" s="4" customFormat="1" ht="15"/>
    <row r="337" s="4" customFormat="1" ht="15"/>
    <row r="338" s="4" customFormat="1" ht="15"/>
    <row r="339" s="4" customFormat="1" ht="15"/>
    <row r="340" s="4" customFormat="1" ht="15"/>
    <row r="341" s="4" customFormat="1" ht="15"/>
    <row r="342" s="4" customFormat="1" ht="15"/>
    <row r="343" s="4" customFormat="1" ht="15"/>
    <row r="344" s="4" customFormat="1" ht="15"/>
    <row r="345" s="4" customFormat="1" ht="15"/>
    <row r="346" s="4" customFormat="1" ht="15"/>
    <row r="347" s="4" customFormat="1" ht="15"/>
    <row r="348" s="4" customFormat="1" ht="15"/>
    <row r="349" s="4" customFormat="1" ht="15"/>
    <row r="350" s="4" customFormat="1" ht="15"/>
    <row r="351" s="4" customFormat="1" ht="15"/>
    <row r="352" s="4" customFormat="1" ht="15"/>
    <row r="353" s="4" customFormat="1" ht="15"/>
    <row r="354" s="4" customFormat="1" ht="15"/>
    <row r="355" s="4" customFormat="1" ht="15"/>
    <row r="356" s="4" customFormat="1" ht="15"/>
    <row r="357" s="4" customFormat="1" ht="15"/>
    <row r="358" s="4" customFormat="1" ht="15"/>
    <row r="359" s="4" customFormat="1" ht="15"/>
    <row r="360" s="4" customFormat="1" ht="15"/>
    <row r="361" s="4" customFormat="1" ht="15"/>
    <row r="362" s="4" customFormat="1" ht="15"/>
    <row r="363" s="4" customFormat="1" ht="15"/>
    <row r="364" s="4" customFormat="1" ht="15"/>
    <row r="365" s="4" customFormat="1" ht="15"/>
    <row r="366" s="4" customFormat="1" ht="15"/>
    <row r="367" s="4" customFormat="1" ht="15"/>
    <row r="368" s="4" customFormat="1" ht="15"/>
    <row r="369" s="4" customFormat="1" ht="15"/>
    <row r="370" s="4" customFormat="1" ht="15"/>
    <row r="371" s="4" customFormat="1" ht="15"/>
    <row r="372" s="4" customFormat="1" ht="15"/>
    <row r="373" s="4" customFormat="1" ht="15"/>
    <row r="374" s="4" customFormat="1" ht="15"/>
    <row r="375" s="4" customFormat="1" ht="15"/>
    <row r="376" s="4" customFormat="1" ht="15"/>
    <row r="377" s="4" customFormat="1" ht="15"/>
    <row r="378" s="4" customFormat="1" ht="15"/>
    <row r="379" s="4" customFormat="1" ht="15"/>
    <row r="380" s="4" customFormat="1" ht="15"/>
    <row r="381" s="4" customFormat="1" ht="15"/>
    <row r="382" s="4" customFormat="1" ht="15"/>
    <row r="383" s="4" customFormat="1" ht="15"/>
    <row r="384" s="4" customFormat="1" ht="15"/>
    <row r="385" s="4" customFormat="1" ht="15"/>
    <row r="386" s="4" customFormat="1" ht="15"/>
    <row r="387" s="4" customFormat="1" ht="15"/>
    <row r="388" s="4" customFormat="1" ht="15"/>
    <row r="389" s="4" customFormat="1" ht="15"/>
    <row r="390" s="4" customFormat="1" ht="15"/>
    <row r="391" s="4" customFormat="1" ht="15"/>
    <row r="392" s="4" customFormat="1" ht="15"/>
    <row r="393" s="4" customFormat="1" ht="15"/>
    <row r="394" s="4" customFormat="1" ht="15"/>
    <row r="395" s="4" customFormat="1" ht="15"/>
    <row r="396" s="4" customFormat="1" ht="15"/>
    <row r="397" s="4" customFormat="1" ht="15"/>
    <row r="398" s="4" customFormat="1" ht="15"/>
    <row r="399" s="4" customFormat="1" ht="15"/>
    <row r="400" s="4" customFormat="1" ht="15"/>
    <row r="401" s="4" customFormat="1" ht="15"/>
    <row r="402" s="4" customFormat="1" ht="15"/>
    <row r="403" s="4" customFormat="1" ht="15"/>
    <row r="404" s="4" customFormat="1" ht="15"/>
    <row r="405" s="4" customFormat="1" ht="15"/>
    <row r="406" s="4" customFormat="1" ht="15"/>
    <row r="407" s="4" customFormat="1" ht="15"/>
    <row r="408" s="4" customFormat="1" ht="15"/>
    <row r="409" s="4" customFormat="1" ht="15"/>
    <row r="410" s="4" customFormat="1" ht="15"/>
    <row r="411" s="4" customFormat="1" ht="15"/>
    <row r="412" s="4" customFormat="1" ht="15"/>
    <row r="413" s="4" customFormat="1" ht="15"/>
    <row r="414" s="4" customFormat="1" ht="15"/>
    <row r="415" s="4" customFormat="1" ht="15"/>
    <row r="416" s="4" customFormat="1" ht="15"/>
    <row r="417" s="4" customFormat="1" ht="15"/>
    <row r="418" s="4" customFormat="1" ht="15"/>
    <row r="419" s="4" customFormat="1" ht="15"/>
    <row r="420" s="4" customFormat="1" ht="15"/>
    <row r="421" s="4" customFormat="1" ht="15"/>
    <row r="422" s="4" customFormat="1" ht="15"/>
    <row r="423" s="4" customFormat="1" ht="15"/>
    <row r="424" s="4" customFormat="1" ht="15"/>
    <row r="425" s="4" customFormat="1" ht="15"/>
    <row r="426" s="4" customFormat="1" ht="15"/>
    <row r="427" s="4" customFormat="1" ht="15"/>
    <row r="428" s="4" customFormat="1" ht="15"/>
    <row r="429" s="4" customFormat="1" ht="15"/>
    <row r="430" s="4" customFormat="1" ht="15"/>
    <row r="431" s="4" customFormat="1" ht="15"/>
    <row r="432" s="4" customFormat="1" ht="15"/>
    <row r="433" s="4" customFormat="1" ht="15"/>
    <row r="434" s="4" customFormat="1" ht="15"/>
    <row r="435" s="4" customFormat="1" ht="15"/>
    <row r="436" s="4" customFormat="1" ht="15"/>
    <row r="437" s="4" customFormat="1" ht="15"/>
    <row r="438" s="4" customFormat="1" ht="15"/>
    <row r="439" s="4" customFormat="1" ht="15"/>
    <row r="440" s="4" customFormat="1" ht="15"/>
    <row r="441" s="4" customFormat="1" ht="15"/>
    <row r="442" s="4" customFormat="1" ht="15"/>
    <row r="443" s="4" customFormat="1" ht="15"/>
    <row r="444" s="4" customFormat="1" ht="15"/>
    <row r="445" s="4" customFormat="1" ht="15"/>
    <row r="446" s="4" customFormat="1" ht="15"/>
    <row r="447" s="4" customFormat="1" ht="15"/>
    <row r="448" s="4" customFormat="1" ht="15"/>
    <row r="449" s="4" customFormat="1" ht="15"/>
    <row r="450" s="4" customFormat="1" ht="15"/>
    <row r="451" s="4" customFormat="1" ht="15"/>
    <row r="452" s="4" customFormat="1" ht="15"/>
    <row r="453" s="4" customFormat="1" ht="15"/>
    <row r="454" s="4" customFormat="1" ht="15"/>
    <row r="455" s="4" customFormat="1" ht="15"/>
    <row r="456" s="4" customFormat="1" ht="15"/>
    <row r="457" s="4" customFormat="1" ht="15"/>
    <row r="458" s="4" customFormat="1" ht="15"/>
    <row r="459" s="4" customFormat="1" ht="15"/>
    <row r="460" s="4" customFormat="1" ht="15"/>
    <row r="461" s="4" customFormat="1" ht="15"/>
    <row r="462" s="4" customFormat="1" ht="15"/>
    <row r="463" s="4" customFormat="1" ht="15"/>
    <row r="464" s="4" customFormat="1" ht="15"/>
    <row r="465" s="4" customFormat="1" ht="15"/>
    <row r="466" s="4" customFormat="1" ht="15"/>
    <row r="467" s="4" customFormat="1" ht="15"/>
    <row r="468" s="4" customFormat="1" ht="15"/>
    <row r="469" s="4" customFormat="1" ht="15"/>
    <row r="470" s="4" customFormat="1" ht="15"/>
    <row r="471" s="4" customFormat="1" ht="15"/>
    <row r="472" s="4" customFormat="1" ht="15"/>
    <row r="473" s="4" customFormat="1" ht="15"/>
    <row r="474" s="4" customFormat="1" ht="15"/>
    <row r="475" s="4" customFormat="1" ht="15"/>
    <row r="476" s="4" customFormat="1" ht="15"/>
    <row r="477" s="4" customFormat="1" ht="15"/>
    <row r="478" s="4" customFormat="1" ht="15"/>
    <row r="479" s="4" customFormat="1" ht="15"/>
    <row r="480" s="4" customFormat="1" ht="15"/>
    <row r="481" s="4" customFormat="1" ht="15"/>
    <row r="482" s="4" customFormat="1" ht="15"/>
    <row r="483" s="4" customFormat="1" ht="15"/>
    <row r="484" s="4" customFormat="1" ht="15"/>
    <row r="485" s="4" customFormat="1" ht="15"/>
    <row r="486" s="4" customFormat="1" ht="15"/>
    <row r="487" s="4" customFormat="1" ht="15"/>
    <row r="488" s="4" customFormat="1" ht="15"/>
    <row r="489" s="4" customFormat="1" ht="15"/>
    <row r="490" s="4" customFormat="1" ht="15"/>
    <row r="491" s="4" customFormat="1" ht="15"/>
    <row r="492" s="4" customFormat="1" ht="15"/>
    <row r="493" s="4" customFormat="1" ht="15"/>
    <row r="494" s="4" customFormat="1" ht="15"/>
    <row r="495" s="4" customFormat="1" ht="15"/>
    <row r="496" s="4" customFormat="1" ht="15"/>
    <row r="497" s="4" customFormat="1" ht="15"/>
    <row r="498" s="4" customFormat="1" ht="15"/>
    <row r="499" s="4" customFormat="1" ht="15"/>
    <row r="500" s="4" customFormat="1" ht="15"/>
    <row r="501" s="4" customFormat="1" ht="15"/>
    <row r="502" s="4" customFormat="1" ht="15"/>
    <row r="503" s="4" customFormat="1" ht="15"/>
    <row r="504" s="4" customFormat="1" ht="15"/>
    <row r="505" s="4" customFormat="1" ht="15"/>
    <row r="506" s="4" customFormat="1" ht="15"/>
    <row r="507" s="4" customFormat="1" ht="15"/>
    <row r="508" s="4" customFormat="1" ht="15"/>
    <row r="509" s="4" customFormat="1" ht="15"/>
    <row r="510" s="4" customFormat="1" ht="15"/>
    <row r="511" s="4" customFormat="1" ht="15"/>
    <row r="512" s="4" customFormat="1" ht="15"/>
    <row r="513" s="4" customFormat="1" ht="15"/>
    <row r="514" s="4" customFormat="1" ht="15"/>
    <row r="515" s="4" customFormat="1" ht="15"/>
    <row r="516" s="4" customFormat="1" ht="15"/>
    <row r="517" s="4" customFormat="1" ht="15"/>
    <row r="518" s="4" customFormat="1" ht="15"/>
    <row r="519" s="4" customFormat="1" ht="15"/>
    <row r="520" s="4" customFormat="1" ht="15"/>
    <row r="521" s="4" customFormat="1" ht="15"/>
    <row r="522" s="4" customFormat="1" ht="15"/>
    <row r="523" s="4" customFormat="1" ht="15"/>
    <row r="524" s="4" customFormat="1" ht="15"/>
    <row r="525" s="4" customFormat="1" ht="15"/>
    <row r="526" s="4" customFormat="1" ht="15"/>
    <row r="527" s="4" customFormat="1" ht="15"/>
    <row r="528" s="4" customFormat="1" ht="15"/>
    <row r="529" s="4" customFormat="1" ht="15"/>
    <row r="530" s="4" customFormat="1" ht="15"/>
    <row r="531" s="4" customFormat="1" ht="15"/>
    <row r="532" s="4" customFormat="1" ht="15"/>
    <row r="533" s="4" customFormat="1" ht="15"/>
    <row r="534" s="4" customFormat="1" ht="15"/>
    <row r="535" s="4" customFormat="1" ht="15"/>
    <row r="536" s="4" customFormat="1" ht="15"/>
    <row r="537" s="4" customFormat="1" ht="15"/>
    <row r="538" s="4" customFormat="1" ht="15"/>
    <row r="539" s="4" customFormat="1" ht="15"/>
    <row r="540" s="4" customFormat="1" ht="15"/>
    <row r="541" s="4" customFormat="1" ht="15"/>
    <row r="542" s="4" customFormat="1" ht="15"/>
    <row r="543" s="4" customFormat="1" ht="15"/>
    <row r="544" s="4" customFormat="1" ht="15"/>
    <row r="545" s="4" customFormat="1" ht="15"/>
    <row r="546" s="4" customFormat="1" ht="15"/>
    <row r="547" s="4" customFormat="1" ht="15"/>
    <row r="548" s="4" customFormat="1" ht="15"/>
    <row r="549" s="4" customFormat="1" ht="15"/>
    <row r="550" s="4" customFormat="1" ht="15"/>
    <row r="551" s="4" customFormat="1" ht="15"/>
    <row r="552" s="4" customFormat="1" ht="15"/>
    <row r="553" s="4" customFormat="1" ht="15"/>
    <row r="554" s="4" customFormat="1" ht="15"/>
    <row r="555" s="4" customFormat="1" ht="15"/>
    <row r="556" s="4" customFormat="1" ht="15"/>
    <row r="557" s="4" customFormat="1" ht="15"/>
    <row r="558" s="4" customFormat="1" ht="15"/>
    <row r="559" s="4" customFormat="1" ht="15"/>
    <row r="560" s="4" customFormat="1" ht="15"/>
    <row r="561" s="4" customFormat="1" ht="15"/>
    <row r="562" s="4" customFormat="1" ht="15"/>
    <row r="563" s="4" customFormat="1" ht="15"/>
    <row r="564" s="4" customFormat="1" ht="15"/>
    <row r="565" s="4" customFormat="1" ht="15"/>
    <row r="566" s="4" customFormat="1" ht="15"/>
    <row r="567" s="4" customFormat="1" ht="15"/>
    <row r="568" s="4" customFormat="1" ht="15"/>
    <row r="569" s="4" customFormat="1" ht="15"/>
    <row r="570" s="4" customFormat="1" ht="15"/>
    <row r="571" s="4" customFormat="1" ht="15"/>
    <row r="572" s="4" customFormat="1" ht="15"/>
    <row r="573" s="4" customFormat="1" ht="15"/>
    <row r="574" s="4" customFormat="1" ht="15"/>
    <row r="575" s="4" customFormat="1" ht="15"/>
    <row r="576" s="4" customFormat="1" ht="15"/>
    <row r="577" s="4" customFormat="1" ht="15"/>
    <row r="578" s="4" customFormat="1" ht="15"/>
    <row r="579" s="4" customFormat="1" ht="15"/>
    <row r="580" s="4" customFormat="1" ht="15"/>
    <row r="581" s="4" customFormat="1" ht="15"/>
    <row r="582" s="4" customFormat="1" ht="15"/>
    <row r="583" s="4" customFormat="1" ht="15"/>
    <row r="584" s="4" customFormat="1" ht="15"/>
    <row r="585" s="4" customFormat="1" ht="15"/>
    <row r="586" s="4" customFormat="1" ht="15"/>
    <row r="587" s="4" customFormat="1" ht="15"/>
    <row r="588" s="4" customFormat="1" ht="15"/>
    <row r="589" s="4" customFormat="1" ht="15"/>
    <row r="590" s="4" customFormat="1" ht="15"/>
    <row r="591" s="4" customFormat="1" ht="15"/>
    <row r="592" s="4" customFormat="1" ht="15"/>
    <row r="593" s="4" customFormat="1" ht="15"/>
    <row r="594" s="4" customFormat="1" ht="15"/>
    <row r="595" s="4" customFormat="1" ht="15"/>
    <row r="596" s="4" customFormat="1" ht="15"/>
    <row r="597" s="4" customFormat="1" ht="15"/>
    <row r="598" s="4" customFormat="1" ht="15"/>
    <row r="599" s="4" customFormat="1" ht="15"/>
    <row r="600" s="4" customFormat="1" ht="15"/>
    <row r="601" s="4" customFormat="1" ht="15"/>
    <row r="602" s="4" customFormat="1" ht="15"/>
    <row r="603" s="4" customFormat="1" ht="15"/>
    <row r="604" s="4" customFormat="1" ht="15"/>
    <row r="605" s="4" customFormat="1" ht="15"/>
    <row r="606" s="4" customFormat="1" ht="15"/>
    <row r="607" s="4" customFormat="1" ht="15"/>
    <row r="608" s="4" customFormat="1" ht="15"/>
    <row r="609" s="4" customFormat="1" ht="15"/>
    <row r="610" s="4" customFormat="1" ht="15"/>
    <row r="611" s="4" customFormat="1" ht="15"/>
    <row r="612" s="4" customFormat="1" ht="15"/>
    <row r="613" s="4" customFormat="1" ht="15"/>
    <row r="614" s="4" customFormat="1" ht="15"/>
    <row r="615" s="4" customFormat="1" ht="15"/>
    <row r="616" s="4" customFormat="1" ht="15"/>
    <row r="617" s="4" customFormat="1" ht="15"/>
    <row r="618" s="4" customFormat="1" ht="15"/>
    <row r="619" s="4" customFormat="1" ht="15"/>
    <row r="620" s="4" customFormat="1" ht="15"/>
    <row r="621" s="4" customFormat="1" ht="15"/>
    <row r="622" s="4" customFormat="1" ht="15"/>
    <row r="623" s="4" customFormat="1" ht="15"/>
    <row r="624" s="4" customFormat="1" ht="15"/>
    <row r="625" s="4" customFormat="1" ht="15"/>
    <row r="626" s="4" customFormat="1" ht="15"/>
    <row r="627" s="4" customFormat="1" ht="15"/>
    <row r="628" s="4" customFormat="1" ht="15"/>
    <row r="629" s="4" customFormat="1" ht="15"/>
    <row r="630" s="4" customFormat="1" ht="15"/>
    <row r="631" s="4" customFormat="1" ht="15"/>
    <row r="632" s="4" customFormat="1" ht="15"/>
    <row r="633" s="4" customFormat="1" ht="15"/>
    <row r="634" s="4" customFormat="1" ht="15"/>
    <row r="635" s="4" customFormat="1" ht="15"/>
    <row r="636" s="4" customFormat="1" ht="15"/>
    <row r="637" s="4" customFormat="1" ht="15"/>
    <row r="638" s="4" customFormat="1" ht="15"/>
    <row r="639" s="4" customFormat="1" ht="15"/>
    <row r="640" s="4" customFormat="1" ht="15"/>
    <row r="641" s="4" customFormat="1" ht="15"/>
    <row r="642" s="4" customFormat="1" ht="15"/>
    <row r="643" s="4" customFormat="1" ht="15"/>
    <row r="644" s="4" customFormat="1" ht="15"/>
    <row r="645" s="4" customFormat="1" ht="15"/>
    <row r="646" s="4" customFormat="1" ht="15"/>
    <row r="647" s="4" customFormat="1" ht="15"/>
    <row r="648" s="4" customFormat="1" ht="15"/>
    <row r="649" s="4" customFormat="1" ht="15"/>
    <row r="650" s="4" customFormat="1" ht="15"/>
    <row r="651" s="4" customFormat="1" ht="15"/>
    <row r="652" s="4" customFormat="1" ht="15"/>
    <row r="653" s="4" customFormat="1" ht="15"/>
    <row r="654" s="4" customFormat="1" ht="15"/>
    <row r="655" s="4" customFormat="1" ht="15"/>
    <row r="656" s="4" customFormat="1" ht="15"/>
    <row r="657" s="4" customFormat="1" ht="15"/>
    <row r="658" s="4" customFormat="1" ht="15"/>
    <row r="659" s="4" customFormat="1" ht="15"/>
    <row r="660" s="4" customFormat="1" ht="15"/>
    <row r="661" s="4" customFormat="1" ht="15"/>
    <row r="662" s="4" customFormat="1" ht="15"/>
    <row r="663" s="4" customFormat="1" ht="15"/>
    <row r="664" s="4" customFormat="1" ht="15"/>
    <row r="665" s="4" customFormat="1" ht="15"/>
    <row r="666" s="4" customFormat="1" ht="15"/>
    <row r="667" s="4" customFormat="1" ht="15"/>
    <row r="668" s="4" customFormat="1" ht="15"/>
    <row r="669" s="4" customFormat="1" ht="15"/>
    <row r="670" s="4" customFormat="1" ht="15"/>
    <row r="671" s="4" customFormat="1" ht="15"/>
    <row r="672" s="4" customFormat="1" ht="15"/>
    <row r="673" s="4" customFormat="1" ht="15"/>
    <row r="674" s="4" customFormat="1" ht="15"/>
    <row r="675" s="4" customFormat="1" ht="15"/>
    <row r="676" s="4" customFormat="1" ht="15"/>
    <row r="677" s="4" customFormat="1" ht="15"/>
    <row r="678" s="4" customFormat="1" ht="15"/>
    <row r="679" s="4" customFormat="1" ht="15"/>
    <row r="680" s="4" customFormat="1" ht="15"/>
    <row r="681" s="4" customFormat="1" ht="15"/>
    <row r="682" s="4" customFormat="1" ht="15"/>
    <row r="683" s="4" customFormat="1" ht="15"/>
    <row r="684" s="4" customFormat="1" ht="15"/>
    <row r="685" s="4" customFormat="1" ht="15"/>
    <row r="686" s="4" customFormat="1" ht="15"/>
    <row r="687" s="4" customFormat="1" ht="15"/>
    <row r="688" s="4" customFormat="1" ht="15"/>
    <row r="689" s="4" customFormat="1" ht="15"/>
    <row r="690" s="4" customFormat="1" ht="15"/>
    <row r="691" s="4" customFormat="1" ht="15"/>
    <row r="692" s="4" customFormat="1" ht="15"/>
    <row r="693" s="4" customFormat="1" ht="15"/>
    <row r="694" s="4" customFormat="1" ht="15"/>
    <row r="695" s="4" customFormat="1" ht="15"/>
    <row r="696" s="4" customFormat="1" ht="15"/>
    <row r="697" s="4" customFormat="1" ht="15"/>
    <row r="698" s="4" customFormat="1" ht="15"/>
    <row r="699" s="4" customFormat="1" ht="15"/>
    <row r="700" s="4" customFormat="1" ht="15"/>
    <row r="701" s="4" customFormat="1" ht="15"/>
    <row r="702" s="4" customFormat="1" ht="15"/>
    <row r="703" s="4" customFormat="1" ht="15"/>
    <row r="704" s="4" customFormat="1" ht="15"/>
    <row r="705" s="4" customFormat="1" ht="15"/>
    <row r="706" s="4" customFormat="1" ht="15"/>
    <row r="707" s="4" customFormat="1" ht="15"/>
    <row r="708" s="4" customFormat="1" ht="15"/>
    <row r="709" s="4" customFormat="1" ht="15"/>
    <row r="710" s="4" customFormat="1" ht="15"/>
    <row r="711" s="4" customFormat="1" ht="15"/>
    <row r="712" s="4" customFormat="1" ht="15"/>
    <row r="713" s="4" customFormat="1" ht="15"/>
    <row r="714" s="4" customFormat="1" ht="15"/>
    <row r="715" s="4" customFormat="1" ht="15"/>
    <row r="716" s="4" customFormat="1" ht="15"/>
    <row r="717" s="4" customFormat="1" ht="15"/>
    <row r="718" s="4" customFormat="1" ht="15"/>
    <row r="719" s="4" customFormat="1" ht="15"/>
    <row r="720" s="4" customFormat="1" ht="15"/>
    <row r="721" s="4" customFormat="1" ht="15"/>
    <row r="722" s="4" customFormat="1" ht="15"/>
    <row r="723" s="4" customFormat="1" ht="15"/>
    <row r="724" s="4" customFormat="1" ht="15"/>
    <row r="725" s="4" customFormat="1" ht="15"/>
    <row r="726" s="4" customFormat="1" ht="15"/>
    <row r="727" s="4" customFormat="1" ht="15"/>
    <row r="728" s="4" customFormat="1" ht="15"/>
    <row r="729" s="4" customFormat="1" ht="15"/>
    <row r="730" s="4" customFormat="1" ht="15"/>
    <row r="731" s="4" customFormat="1" ht="15"/>
    <row r="732" s="4" customFormat="1" ht="15"/>
    <row r="733" s="4" customFormat="1" ht="15"/>
    <row r="734" s="4" customFormat="1" ht="15"/>
    <row r="735" s="4" customFormat="1" ht="15"/>
    <row r="736" s="4" customFormat="1" ht="15"/>
    <row r="737" s="4" customFormat="1" ht="15"/>
    <row r="738" s="4" customFormat="1" ht="15"/>
    <row r="739" s="4" customFormat="1" ht="15"/>
    <row r="740" s="4" customFormat="1" ht="15"/>
    <row r="741" s="4" customFormat="1" ht="15"/>
    <row r="742" s="4" customFormat="1" ht="15"/>
    <row r="743" s="4" customFormat="1" ht="15"/>
    <row r="744" s="4" customFormat="1" ht="15"/>
    <row r="745" s="4" customFormat="1" ht="15"/>
    <row r="746" s="4" customFormat="1" ht="15"/>
    <row r="747" s="4" customFormat="1" ht="15"/>
    <row r="748" s="4" customFormat="1" ht="15"/>
    <row r="749" s="4" customFormat="1" ht="15"/>
    <row r="750" s="4" customFormat="1" ht="15"/>
    <row r="751" s="4" customFormat="1" ht="15"/>
    <row r="752" s="4" customFormat="1" ht="15"/>
    <row r="753" s="4" customFormat="1" ht="15"/>
    <row r="754" s="4" customFormat="1" ht="15"/>
    <row r="755" s="4" customFormat="1" ht="15"/>
    <row r="756" s="4" customFormat="1" ht="15"/>
    <row r="757" s="4" customFormat="1" ht="15"/>
    <row r="758" s="4" customFormat="1" ht="15"/>
    <row r="759" s="4" customFormat="1" ht="15"/>
    <row r="760" s="4" customFormat="1" ht="15"/>
    <row r="761" s="4" customFormat="1" ht="15"/>
    <row r="762" s="4" customFormat="1" ht="15"/>
    <row r="763" s="4" customFormat="1" ht="15"/>
    <row r="764" s="4" customFormat="1" ht="15"/>
    <row r="765" s="4" customFormat="1" ht="15"/>
    <row r="766" s="4" customFormat="1" ht="15"/>
    <row r="767" s="4" customFormat="1" ht="15"/>
    <row r="768" s="4" customFormat="1" ht="15"/>
    <row r="769" s="4" customFormat="1" ht="15"/>
    <row r="770" s="4" customFormat="1" ht="15"/>
    <row r="771" s="4" customFormat="1" ht="15"/>
    <row r="772" s="4" customFormat="1" ht="15"/>
    <row r="773" s="4" customFormat="1" ht="15"/>
    <row r="774" s="4" customFormat="1" ht="15"/>
    <row r="775" s="4" customFormat="1" ht="15"/>
    <row r="776" s="4" customFormat="1" ht="15"/>
    <row r="777" s="4" customFormat="1" ht="15"/>
    <row r="778" s="4" customFormat="1" ht="15"/>
    <row r="779" s="4" customFormat="1" ht="15"/>
    <row r="780" s="4" customFormat="1" ht="15"/>
    <row r="781" s="4" customFormat="1" ht="15"/>
    <row r="782" s="4" customFormat="1" ht="15"/>
    <row r="783" s="4" customFormat="1" ht="15"/>
    <row r="784" s="4" customFormat="1" ht="15"/>
    <row r="785" s="4" customFormat="1" ht="15"/>
    <row r="786" s="4" customFormat="1" ht="15"/>
    <row r="787" s="4" customFormat="1" ht="15"/>
    <row r="788" s="4" customFormat="1" ht="15"/>
    <row r="789" s="4" customFormat="1" ht="15"/>
    <row r="790" s="4" customFormat="1" ht="15"/>
    <row r="791" s="4" customFormat="1" ht="15"/>
    <row r="792" s="4" customFormat="1" ht="15"/>
    <row r="793" s="4" customFormat="1" ht="15"/>
    <row r="794" s="4" customFormat="1" ht="15"/>
    <row r="795" s="4" customFormat="1" ht="15"/>
    <row r="796" s="4" customFormat="1" ht="15"/>
    <row r="797" s="4" customFormat="1" ht="15"/>
    <row r="798" s="4" customFormat="1" ht="15"/>
    <row r="799" s="4" customFormat="1" ht="15"/>
    <row r="800" s="4" customFormat="1" ht="15"/>
    <row r="801" s="4" customFormat="1" ht="15"/>
    <row r="802" s="4" customFormat="1" ht="15"/>
    <row r="803" s="4" customFormat="1" ht="15"/>
    <row r="804" s="4" customFormat="1" ht="15"/>
    <row r="805" s="4" customFormat="1" ht="15"/>
    <row r="806" s="4" customFormat="1" ht="15"/>
    <row r="807" s="4" customFormat="1" ht="15"/>
    <row r="808" s="4" customFormat="1" ht="15"/>
    <row r="809" s="4" customFormat="1" ht="15"/>
    <row r="810" s="4" customFormat="1" ht="15"/>
    <row r="811" s="4" customFormat="1" ht="15"/>
    <row r="812" s="4" customFormat="1" ht="15"/>
    <row r="813" s="4" customFormat="1" ht="15"/>
    <row r="814" s="4" customFormat="1" ht="15"/>
    <row r="815" s="4" customFormat="1" ht="15"/>
    <row r="816" s="4" customFormat="1" ht="15"/>
    <row r="817" s="4" customFormat="1" ht="15"/>
    <row r="818" s="4" customFormat="1" ht="15"/>
    <row r="819" s="4" customFormat="1" ht="15"/>
    <row r="820" s="4" customFormat="1" ht="15"/>
    <row r="821" s="4" customFormat="1" ht="15"/>
    <row r="822" s="4" customFormat="1" ht="15"/>
    <row r="823" s="4" customFormat="1" ht="15"/>
    <row r="824" s="4" customFormat="1" ht="15"/>
    <row r="825" s="4" customFormat="1" ht="15"/>
    <row r="826" s="4" customFormat="1" ht="15"/>
    <row r="827" s="4" customFormat="1" ht="15"/>
    <row r="828" s="4" customFormat="1" ht="15"/>
    <row r="829" s="4" customFormat="1" ht="15"/>
    <row r="830" s="4" customFormat="1" ht="15"/>
    <row r="831" s="4" customFormat="1" ht="15"/>
    <row r="832" s="4" customFormat="1" ht="15"/>
    <row r="833" s="4" customFormat="1" ht="15"/>
    <row r="834" s="4" customFormat="1" ht="15"/>
    <row r="835" s="4" customFormat="1" ht="15"/>
    <row r="836" s="4" customFormat="1" ht="15"/>
    <row r="837" s="4" customFormat="1" ht="15"/>
    <row r="838" s="4" customFormat="1" ht="15"/>
    <row r="839" s="4" customFormat="1" ht="15"/>
    <row r="840" s="4" customFormat="1" ht="15"/>
    <row r="841" s="4" customFormat="1" ht="15"/>
    <row r="842" s="4" customFormat="1" ht="15"/>
    <row r="843" s="4" customFormat="1" ht="15"/>
    <row r="844" s="4" customFormat="1" ht="15"/>
    <row r="845" s="4" customFormat="1" ht="15"/>
    <row r="846" s="4" customFormat="1" ht="15"/>
    <row r="847" s="4" customFormat="1" ht="15"/>
    <row r="848" s="4" customFormat="1" ht="15"/>
    <row r="849" s="4" customFormat="1" ht="15"/>
    <row r="850" s="4" customFormat="1" ht="15"/>
    <row r="851" s="4" customFormat="1" ht="15"/>
    <row r="852" s="4" customFormat="1" ht="15"/>
    <row r="853" s="4" customFormat="1" ht="15"/>
    <row r="854" s="4" customFormat="1" ht="15"/>
    <row r="855" s="4" customFormat="1" ht="15"/>
    <row r="856" s="4" customFormat="1" ht="15"/>
    <row r="857" s="4" customFormat="1" ht="15"/>
    <row r="858" s="4" customFormat="1" ht="15"/>
    <row r="859" s="4" customFormat="1" ht="15"/>
    <row r="860" s="4" customFormat="1" ht="15"/>
    <row r="861" s="4" customFormat="1" ht="15"/>
    <row r="862" s="4" customFormat="1" ht="15"/>
    <row r="863" s="4" customFormat="1" ht="15"/>
    <row r="864" s="4" customFormat="1" ht="15"/>
    <row r="865" s="4" customFormat="1" ht="15"/>
    <row r="866" s="4" customFormat="1" ht="15"/>
    <row r="867" s="4" customFormat="1" ht="15"/>
    <row r="868" s="4" customFormat="1" ht="15"/>
    <row r="869" s="4" customFormat="1" ht="15"/>
    <row r="870" s="4" customFormat="1" ht="15"/>
    <row r="871" s="4" customFormat="1" ht="15"/>
    <row r="872" s="4" customFormat="1" ht="15"/>
    <row r="873" s="4" customFormat="1" ht="15"/>
    <row r="874" s="4" customFormat="1" ht="15"/>
    <row r="875" s="4" customFormat="1" ht="15"/>
    <row r="876" s="4" customFormat="1" ht="15"/>
    <row r="877" s="4" customFormat="1" ht="15"/>
    <row r="878" s="4" customFormat="1" ht="15"/>
    <row r="879" s="4" customFormat="1" ht="15"/>
    <row r="880" s="4" customFormat="1" ht="15"/>
    <row r="881" s="4" customFormat="1" ht="15"/>
    <row r="882" s="4" customFormat="1" ht="15"/>
    <row r="883" s="4" customFormat="1" ht="15"/>
    <row r="884" s="4" customFormat="1" ht="15"/>
    <row r="885" s="4" customFormat="1" ht="15"/>
    <row r="886" s="4" customFormat="1" ht="15"/>
    <row r="887" s="4" customFormat="1" ht="15"/>
    <row r="888" s="4" customFormat="1" ht="15"/>
    <row r="889" s="4" customFormat="1" ht="15"/>
    <row r="890" s="4" customFormat="1" ht="15"/>
    <row r="891" s="4" customFormat="1" ht="15"/>
    <row r="892" s="4" customFormat="1" ht="15"/>
    <row r="893" s="4" customFormat="1" ht="15"/>
    <row r="894" s="4" customFormat="1" ht="15"/>
    <row r="895" s="4" customFormat="1" ht="15"/>
    <row r="896" s="4" customFormat="1" ht="15"/>
    <row r="897" s="4" customFormat="1" ht="15"/>
    <row r="898" s="4" customFormat="1" ht="15"/>
    <row r="899" s="4" customFormat="1" ht="15"/>
  </sheetData>
  <sheetProtection/>
  <mergeCells count="4">
    <mergeCell ref="N7:S7"/>
    <mergeCell ref="E104:J104"/>
    <mergeCell ref="E156:J156"/>
    <mergeCell ref="M206:Q206"/>
  </mergeCells>
  <printOptions horizontalCentered="1"/>
  <pageMargins left="0.3937007874015748" right="0.1968503937007874" top="0.4330708661417323" bottom="0.4330708661417323" header="0.3937007874015748" footer="0.3937007874015748"/>
  <pageSetup horizontalDpi="300" verticalDpi="300" orientation="landscape" paperSize="5" scale="65" r:id="rId1"/>
  <headerFooter alignWithMargins="0">
    <oddHeader>&amp;L&amp;8 MINISTERIO  DE  SALUD
 SERVICIO DE SALUD ACONCAGUA
 ESTADISTICA</oddHeader>
  </headerFooter>
  <rowBreaks count="4" manualBreakCount="4">
    <brk id="48" max="255" man="1"/>
    <brk id="97" max="255" man="1"/>
    <brk id="149" max="255" man="1"/>
    <brk id="199" max="255" man="1"/>
  </rowBreaks>
  <ignoredErrors>
    <ignoredError sqref="C14:C4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 de Salud Aconcagua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de Salud Aconcagua</dc:creator>
  <cp:keywords/>
  <dc:description/>
  <cp:lastModifiedBy>Guillermo_P</cp:lastModifiedBy>
  <cp:lastPrinted>2015-10-09T12:03:53Z</cp:lastPrinted>
  <dcterms:created xsi:type="dcterms:W3CDTF">2000-11-29T21:05:21Z</dcterms:created>
  <dcterms:modified xsi:type="dcterms:W3CDTF">2020-01-31T14:17:53Z</dcterms:modified>
  <cp:category/>
  <cp:version/>
  <cp:contentType/>
  <cp:contentStatus/>
</cp:coreProperties>
</file>