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ml.chartshapes+xml"/>
  <Override PartName="/xl/charts/chart25.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ml.chartshapes+xml"/>
  <Override PartName="/xl/charts/chart2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3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4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44.xml" ContentType="application/vnd.openxmlformats-officedocument.drawing+xml"/>
  <Override PartName="/xl/charts/chart61.xml" ContentType="application/vnd.openxmlformats-officedocument.drawingml.chart+xml"/>
  <Override PartName="/xl/drawings/drawing4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46.xml" ContentType="application/vnd.openxmlformats-officedocument.drawing+xml"/>
  <Override PartName="/xl/charts/chart69.xml" ContentType="application/vnd.openxmlformats-officedocument.drawingml.chart+xml"/>
  <Override PartName="/xl/drawings/drawing4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8.xml" ContentType="application/vnd.openxmlformats-officedocument.drawing+xml"/>
  <Override PartName="/xl/charts/chart72.xml" ContentType="application/vnd.openxmlformats-officedocument.drawingml.chart+xml"/>
  <Override PartName="/xl/drawings/drawing49.xml" ContentType="application/vnd.openxmlformats-officedocument.drawingml.chartshapes+xml"/>
  <Override PartName="/xl/charts/chart73.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52.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53.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54.xml" ContentType="application/vnd.openxmlformats-officedocument.drawing+xml"/>
  <Override PartName="/xl/charts/chart86.xml" ContentType="application/vnd.openxmlformats-officedocument.drawingml.chart+xml"/>
  <Override PartName="/xl/drawings/drawing55.xml" ContentType="application/vnd.openxmlformats-officedocument.drawingml.chartshapes+xml"/>
  <Override PartName="/xl/charts/chart8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59.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60.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61.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62.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respaldo\zestadis\Mem2020\"/>
    </mc:Choice>
  </mc:AlternateContent>
  <bookViews>
    <workbookView xWindow="60" yWindow="-228" windowWidth="15324" windowHeight="4920" tabRatio="737" activeTab="1"/>
  </bookViews>
  <sheets>
    <sheet name="INDICE" sheetId="101" r:id="rId1"/>
    <sheet name="PROLOGO" sheetId="20" r:id="rId2"/>
    <sheet name="CAP I INF. BASICA" sheetId="115" r:id="rId3"/>
    <sheet name="2" sheetId="117" r:id="rId4"/>
    <sheet name="3" sheetId="116" r:id="rId5"/>
    <sheet name="4" sheetId="5" r:id="rId6"/>
    <sheet name="5" sheetId="6" r:id="rId7"/>
    <sheet name="6" sheetId="10" r:id="rId8"/>
    <sheet name="7" sheetId="22" r:id="rId9"/>
    <sheet name="8" sheetId="11" r:id="rId10"/>
    <sheet name="9" sheetId="12" r:id="rId11"/>
    <sheet name="10" sheetId="13" r:id="rId12"/>
    <sheet name="11" sheetId="21" r:id="rId13"/>
    <sheet name="12" sheetId="14" r:id="rId14"/>
    <sheet name="13" sheetId="15" r:id="rId15"/>
    <sheet name="14" sheetId="120" r:id="rId16"/>
    <sheet name="15" sheetId="121" r:id="rId17"/>
    <sheet name="CAP II  IND BIODEM" sheetId="118" r:id="rId18"/>
    <sheet name="18" sheetId="30" r:id="rId19"/>
    <sheet name="19" sheetId="31" r:id="rId20"/>
    <sheet name="20" sheetId="32" r:id="rId21"/>
    <sheet name="21" sheetId="33" r:id="rId22"/>
    <sheet name="22" sheetId="34" r:id="rId23"/>
    <sheet name="23" sheetId="35" r:id="rId24"/>
    <sheet name="24" sheetId="36" r:id="rId25"/>
    <sheet name="25" sheetId="37" r:id="rId26"/>
    <sheet name="26" sheetId="38" r:id="rId27"/>
    <sheet name="27" sheetId="39" r:id="rId28"/>
    <sheet name="28" sheetId="106" r:id="rId29"/>
    <sheet name="29" sheetId="40" r:id="rId30"/>
    <sheet name="30" sheetId="41" r:id="rId31"/>
    <sheet name="31" sheetId="113" r:id="rId32"/>
    <sheet name="CAP III ACTIVIDADES" sheetId="119" r:id="rId33"/>
    <sheet name="34" sheetId="43" r:id="rId34"/>
    <sheet name="35" sheetId="44" r:id="rId35"/>
    <sheet name="36" sheetId="45" r:id="rId36"/>
    <sheet name="37" sheetId="46" r:id="rId37"/>
    <sheet name="38" sheetId="47" r:id="rId38"/>
    <sheet name="39" sheetId="48" r:id="rId39"/>
    <sheet name="40" sheetId="49" r:id="rId40"/>
    <sheet name="41" sheetId="50" r:id="rId41"/>
    <sheet name="42" sheetId="51" r:id="rId42"/>
    <sheet name="43" sheetId="52" r:id="rId43"/>
    <sheet name="44" sheetId="53" r:id="rId44"/>
    <sheet name="45" sheetId="54" r:id="rId45"/>
    <sheet name="46" sheetId="55" r:id="rId46"/>
    <sheet name="47" sheetId="56" r:id="rId47"/>
    <sheet name="48" sheetId="57" r:id="rId48"/>
    <sheet name="49" sheetId="58" r:id="rId49"/>
    <sheet name="50" sheetId="59" r:id="rId50"/>
    <sheet name="51" sheetId="60" r:id="rId51"/>
    <sheet name="52" sheetId="61" r:id="rId52"/>
    <sheet name="53" sheetId="62" r:id="rId53"/>
    <sheet name="54" sheetId="112" r:id="rId54"/>
    <sheet name="55" sheetId="63" r:id="rId55"/>
    <sheet name="56" sheetId="64" r:id="rId56"/>
    <sheet name="57" sheetId="110" r:id="rId57"/>
    <sheet name="58" sheetId="102" r:id="rId58"/>
    <sheet name="59" sheetId="65" r:id="rId59"/>
    <sheet name="60" sheetId="66" r:id="rId60"/>
    <sheet name="61" sheetId="67" r:id="rId61"/>
    <sheet name="62" sheetId="68" r:id="rId62"/>
    <sheet name="63" sheetId="70" r:id="rId63"/>
    <sheet name="64" sheetId="71" r:id="rId64"/>
    <sheet name="65" sheetId="111" r:id="rId65"/>
    <sheet name="66" sheetId="72" r:id="rId66"/>
    <sheet name="67" sheetId="73" r:id="rId67"/>
    <sheet name="68" sheetId="74" r:id="rId68"/>
    <sheet name="69" sheetId="75" r:id="rId69"/>
    <sheet name="70" sheetId="76" r:id="rId70"/>
    <sheet name="71" sheetId="77" r:id="rId71"/>
    <sheet name="72" sheetId="78" r:id="rId72"/>
    <sheet name="73" sheetId="79" r:id="rId73"/>
    <sheet name="74" sheetId="80" r:id="rId74"/>
    <sheet name="75" sheetId="114" r:id="rId75"/>
    <sheet name="76" sheetId="81" r:id="rId76"/>
    <sheet name="77" sheetId="107" r:id="rId77"/>
    <sheet name="78" sheetId="82" r:id="rId78"/>
    <sheet name="79" sheetId="109" r:id="rId79"/>
    <sheet name="80" sheetId="83" r:id="rId80"/>
    <sheet name="81" sheetId="84" r:id="rId81"/>
    <sheet name="82" sheetId="85" r:id="rId82"/>
    <sheet name="83" sheetId="86" r:id="rId83"/>
    <sheet name="84" sheetId="87" r:id="rId84"/>
    <sheet name="85" sheetId="88" r:id="rId85"/>
    <sheet name="86" sheetId="89" r:id="rId86"/>
    <sheet name="87" sheetId="90" r:id="rId87"/>
    <sheet name="88" sheetId="91" r:id="rId88"/>
    <sheet name="89" sheetId="92" r:id="rId89"/>
    <sheet name="90" sheetId="93" r:id="rId90"/>
    <sheet name="91" sheetId="94" r:id="rId91"/>
    <sheet name="92" sheetId="95" r:id="rId92"/>
    <sheet name="93" sheetId="96" r:id="rId93"/>
    <sheet name="94" sheetId="97" r:id="rId94"/>
    <sheet name="95" sheetId="98" r:id="rId95"/>
    <sheet name="GLOSARIO" sheetId="100"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_xlnm._FilterDatabase" localSheetId="29" hidden="1">'29'!$A$44:$T$60</definedName>
    <definedName name="_xlnm._FilterDatabase" localSheetId="58" hidden="1">'59'!$A$7:$I$92</definedName>
    <definedName name="_xlnm._FilterDatabase" localSheetId="90" hidden="1">'91'!$E$41:$W$60</definedName>
    <definedName name="_R" localSheetId="28">'74'!#REF!</definedName>
    <definedName name="_R" localSheetId="31">'74'!#REF!</definedName>
    <definedName name="_R" localSheetId="56">'74'!#REF!</definedName>
    <definedName name="_R" localSheetId="57">'74'!#REF!</definedName>
    <definedName name="_R" localSheetId="64">'74'!#REF!</definedName>
    <definedName name="_R" localSheetId="75">'76'!#REF!</definedName>
    <definedName name="_R" localSheetId="76">'77'!#REF!</definedName>
    <definedName name="_R" localSheetId="77">'78'!#REF!</definedName>
    <definedName name="_R" localSheetId="79">'80'!#REF!</definedName>
    <definedName name="_R" localSheetId="80">'81'!#REF!</definedName>
    <definedName name="_R" localSheetId="81">'82'!#REF!</definedName>
    <definedName name="_Regression_Int" localSheetId="73" hidden="1">1</definedName>
    <definedName name="_Regression_Int" localSheetId="74" hidden="1">1</definedName>
    <definedName name="_Regression_Int" localSheetId="75" hidden="1">1</definedName>
    <definedName name="_Regression_Int" localSheetId="76" hidden="1">1</definedName>
    <definedName name="_Regression_Int" localSheetId="77" hidden="1">1</definedName>
    <definedName name="_Regression_Int" localSheetId="79" hidden="1">1</definedName>
    <definedName name="_Regression_Int" localSheetId="80" hidden="1">1</definedName>
    <definedName name="_Regression_Int" localSheetId="81" hidden="1">1</definedName>
    <definedName name="A_impresión_IM" localSheetId="75">'76'!$A$1:$Y$27</definedName>
    <definedName name="A_impresión_IM" localSheetId="76">'77'!$A$1:$Y$4</definedName>
    <definedName name="A_impresión_IM" localSheetId="77">'78'!$A$1:$Y$27</definedName>
    <definedName name="A_impresión_IM" localSheetId="79">'80'!$A$1:$Y$27</definedName>
    <definedName name="A_impresión_IM" localSheetId="80">'81'!$A$1:$Y$27</definedName>
    <definedName name="A_impresión_IM" localSheetId="81">'82'!$A$1:$Y$27</definedName>
    <definedName name="_xlnm.Print_Area" localSheetId="11">'10'!$A$62:$F$116</definedName>
    <definedName name="_xlnm.Print_Area" localSheetId="13">'12'!$A$1:$H$53</definedName>
    <definedName name="_xlnm.Print_Area" localSheetId="14">'13'!$A$1:$F$59</definedName>
    <definedName name="_xlnm.Print_Area" localSheetId="29">'29'!$A$1:$T$24</definedName>
    <definedName name="_xlnm.Print_Area" localSheetId="33">'34'!$A$1:$I$63</definedName>
    <definedName name="_xlnm.Print_Area" localSheetId="37">'38'!$A$1:$K$36</definedName>
    <definedName name="_xlnm.Print_Area" localSheetId="7">'6'!$A$1:$G$61</definedName>
    <definedName name="_xlnm.Print_Area" localSheetId="60">'61'!$A$1:$H$279</definedName>
    <definedName name="_xlnm.Print_Area" localSheetId="65">'66'!$A$51:$H$107</definedName>
    <definedName name="_xlnm.Print_Area" localSheetId="68">'69'!$A$1:$G$64</definedName>
    <definedName name="_xlnm.Print_Area" localSheetId="69">'70'!$A$1:$J$81</definedName>
    <definedName name="_xlnm.Print_Area" localSheetId="70">'71'!$A$1:$J$127</definedName>
    <definedName name="_xlnm.Print_Area" localSheetId="72">'73'!$A$1:$M$71</definedName>
    <definedName name="_xlnm.Print_Area" localSheetId="77">'78'!$A$1:$Y$27</definedName>
    <definedName name="_xlnm.Print_Area" localSheetId="79">'80'!$A$1:$Y$27</definedName>
    <definedName name="_xlnm.Print_Area" localSheetId="80">'81'!$A$1:$Y$27</definedName>
    <definedName name="_xlnm.Print_Area" localSheetId="81">'82'!$A$1:$Y$35</definedName>
    <definedName name="_xlnm.Print_Area" localSheetId="82">'83'!$A$1:$H$72</definedName>
    <definedName name="_xlnm.Print_Area" localSheetId="83">'84'!$A$1:$H$71</definedName>
    <definedName name="_xlnm.Print_Area" localSheetId="84">'85'!$A$1:$H$72</definedName>
    <definedName name="_xlnm.Print_Area" localSheetId="85">'86'!$A$1:$H$72</definedName>
    <definedName name="_xlnm.Print_Area" localSheetId="86">'87'!$A$1:$H$72</definedName>
    <definedName name="_xlnm.Print_Area" localSheetId="87">'88'!$A$1:$H$72</definedName>
    <definedName name="hola" localSheetId="28">'[1]1990'!#REF!</definedName>
    <definedName name="hola" localSheetId="31">'[1]1990'!#REF!</definedName>
    <definedName name="hola" localSheetId="56">'[1]1990'!#REF!</definedName>
    <definedName name="hola" localSheetId="57">'[1]1990'!#REF!</definedName>
    <definedName name="hola" localSheetId="64">'[1]1990'!#REF!</definedName>
    <definedName name="hola" localSheetId="76">'[1]1990'!#REF!</definedName>
    <definedName name="tabla" localSheetId="28">'[1]1990'!#REF!</definedName>
    <definedName name="tabla" localSheetId="31">'[1]1990'!#REF!</definedName>
    <definedName name="tabla" localSheetId="56">'[1]1990'!#REF!</definedName>
    <definedName name="tabla" localSheetId="57">'[1]1990'!#REF!</definedName>
    <definedName name="tabla" localSheetId="64">'[1]1990'!#REF!</definedName>
    <definedName name="tabla" localSheetId="76">'[1]1990'!#REF!</definedName>
    <definedName name="TOTAL" localSheetId="75">'76'!$AE$2:$AE$40</definedName>
    <definedName name="TOTAL" localSheetId="76">'77'!$AE$2:$AE$27</definedName>
    <definedName name="TOTAL" localSheetId="77">'78'!$AE$2:$AE$52</definedName>
    <definedName name="TOTAL" localSheetId="79">'80'!$AE$2:$AE$52</definedName>
    <definedName name="TOTAL" localSheetId="80">'81'!$AE$2:$AE$52</definedName>
    <definedName name="TOTAL" localSheetId="81">'82'!$AE$2:$AE$57</definedName>
  </definedNames>
  <calcPr calcId="152511"/>
</workbook>
</file>

<file path=xl/calcChain.xml><?xml version="1.0" encoding="utf-8"?>
<calcChain xmlns="http://schemas.openxmlformats.org/spreadsheetml/2006/main">
  <c r="S12" i="32" l="1"/>
  <c r="S13" i="32"/>
  <c r="S14" i="32"/>
  <c r="S15" i="32"/>
  <c r="S16" i="32"/>
  <c r="S17" i="32"/>
  <c r="S18" i="32"/>
  <c r="S19" i="32"/>
  <c r="S20" i="32"/>
  <c r="S11" i="32"/>
  <c r="M20" i="32"/>
  <c r="M19" i="32"/>
  <c r="M18" i="32"/>
  <c r="M15" i="32"/>
  <c r="M16" i="32"/>
  <c r="M17" i="32"/>
  <c r="M12" i="31"/>
  <c r="M13" i="31"/>
  <c r="M14" i="31"/>
  <c r="M15" i="31"/>
  <c r="K16" i="31"/>
  <c r="K17" i="31"/>
  <c r="K18" i="31"/>
  <c r="K19" i="31"/>
  <c r="K20" i="31"/>
  <c r="AE11" i="30"/>
  <c r="AE12" i="30"/>
  <c r="AE13" i="30"/>
  <c r="AE14" i="30"/>
  <c r="AE15" i="30"/>
  <c r="AE16" i="30"/>
  <c r="AE17" i="30"/>
  <c r="AE18" i="30"/>
  <c r="AC11" i="30"/>
  <c r="AC12" i="30"/>
  <c r="AC13" i="30"/>
  <c r="AC14" i="30"/>
  <c r="AC15" i="30"/>
  <c r="AC16" i="30"/>
  <c r="AC17" i="30"/>
  <c r="AC18" i="30"/>
  <c r="AA11" i="30"/>
  <c r="AA12" i="30"/>
  <c r="AA13" i="30"/>
  <c r="AA14" i="30"/>
  <c r="AA15" i="30"/>
  <c r="AA16" i="30"/>
  <c r="AA17" i="30"/>
  <c r="AA18" i="30"/>
  <c r="Y11" i="30"/>
  <c r="Y12" i="30"/>
  <c r="Y13" i="30"/>
  <c r="Y14" i="30"/>
  <c r="Y15" i="30"/>
  <c r="Y16" i="30"/>
  <c r="Y17" i="30"/>
  <c r="Y18" i="30"/>
  <c r="W11" i="30"/>
  <c r="W12" i="30"/>
  <c r="W13" i="30"/>
  <c r="W14" i="30"/>
  <c r="W15" i="30"/>
  <c r="W16" i="30"/>
  <c r="W17" i="30"/>
  <c r="W18" i="30"/>
  <c r="U11" i="30"/>
  <c r="U12" i="30"/>
  <c r="U13" i="30"/>
  <c r="U14" i="30"/>
  <c r="U15" i="30"/>
  <c r="U16" i="30"/>
  <c r="U17" i="30"/>
  <c r="U18" i="30"/>
  <c r="S11" i="30"/>
  <c r="S12" i="30"/>
  <c r="S13" i="30"/>
  <c r="S14" i="30"/>
  <c r="S15" i="30"/>
  <c r="S16" i="30"/>
  <c r="S17" i="30"/>
  <c r="S18" i="30"/>
  <c r="Q11" i="30"/>
  <c r="Q12" i="30"/>
  <c r="Q13" i="30"/>
  <c r="Q14" i="30"/>
  <c r="Q15" i="30"/>
  <c r="Q16" i="30"/>
  <c r="Q17" i="30"/>
  <c r="Q18" i="30"/>
  <c r="O11" i="30"/>
  <c r="O12" i="30"/>
  <c r="O13" i="30"/>
  <c r="O14" i="30"/>
  <c r="O15" i="30"/>
  <c r="O16" i="30"/>
  <c r="O17" i="30"/>
  <c r="O18" i="30"/>
  <c r="M11" i="30"/>
  <c r="M12" i="30"/>
  <c r="M13" i="30"/>
  <c r="M14" i="30"/>
  <c r="M15" i="30"/>
  <c r="M16" i="30"/>
  <c r="M17" i="30"/>
  <c r="M18" i="30"/>
  <c r="K11" i="30"/>
  <c r="K12" i="30"/>
  <c r="K13" i="30"/>
  <c r="K14" i="30"/>
  <c r="K15" i="30"/>
  <c r="K16" i="30"/>
  <c r="K17" i="30"/>
  <c r="K18" i="30"/>
  <c r="I11" i="30"/>
  <c r="I12" i="30"/>
  <c r="I13" i="30"/>
  <c r="I14" i="30"/>
  <c r="I15" i="30"/>
  <c r="I16" i="30"/>
  <c r="I17" i="30"/>
  <c r="I18" i="30"/>
  <c r="G11" i="30" l="1"/>
  <c r="G12" i="30"/>
  <c r="G13" i="30"/>
  <c r="G14" i="30"/>
  <c r="G15" i="30"/>
  <c r="G16" i="30"/>
  <c r="G17" i="30"/>
  <c r="E11" i="30"/>
  <c r="E12" i="30"/>
  <c r="E13" i="30"/>
  <c r="E14" i="30"/>
  <c r="E15" i="30"/>
  <c r="E16" i="30"/>
  <c r="E17" i="30"/>
  <c r="E18" i="30"/>
  <c r="C11" i="30"/>
  <c r="C12" i="30"/>
  <c r="C13" i="30"/>
  <c r="C14" i="30"/>
  <c r="C15" i="30"/>
  <c r="C16" i="30"/>
  <c r="C17" i="30"/>
  <c r="C18" i="30"/>
  <c r="G18" i="30"/>
  <c r="X23" i="112" l="1"/>
  <c r="AO23" i="58" l="1"/>
  <c r="F34" i="55" l="1"/>
  <c r="S24" i="55" l="1"/>
  <c r="V47" i="51" l="1"/>
  <c r="V21" i="50" l="1"/>
  <c r="AP50" i="60" l="1"/>
  <c r="F42" i="68" l="1"/>
  <c r="F41" i="68"/>
  <c r="F25" i="68"/>
  <c r="F24" i="68"/>
  <c r="F22" i="68"/>
  <c r="F20" i="68"/>
  <c r="F19" i="68"/>
  <c r="F18" i="68"/>
  <c r="F16" i="68"/>
  <c r="F15" i="68"/>
  <c r="F14" i="68"/>
  <c r="F13" i="68"/>
  <c r="F12" i="68"/>
  <c r="F10" i="68"/>
  <c r="F9" i="68"/>
  <c r="F8" i="68"/>
  <c r="F7" i="68"/>
  <c r="V8" i="71" l="1"/>
  <c r="U8" i="71"/>
  <c r="U9" i="71"/>
  <c r="V9" i="71"/>
  <c r="U10" i="71"/>
  <c r="V10" i="71"/>
  <c r="U11" i="71"/>
  <c r="V11" i="71"/>
  <c r="U12" i="71"/>
  <c r="V12" i="71"/>
  <c r="U13" i="71"/>
  <c r="V13" i="71"/>
  <c r="U14" i="71"/>
  <c r="V14" i="71"/>
  <c r="U15" i="71"/>
  <c r="V15" i="71"/>
  <c r="U16" i="71"/>
  <c r="V16" i="71"/>
  <c r="U17" i="71"/>
  <c r="V17" i="71"/>
  <c r="U18" i="71"/>
  <c r="V18" i="71"/>
  <c r="U19" i="71"/>
  <c r="V19" i="71"/>
  <c r="U20" i="71"/>
  <c r="V20" i="71"/>
  <c r="U21" i="71"/>
  <c r="V21" i="71"/>
  <c r="U22" i="71"/>
  <c r="V22" i="71"/>
  <c r="U23" i="71"/>
  <c r="V23" i="71"/>
  <c r="U24" i="71"/>
  <c r="V24" i="71"/>
  <c r="U25" i="71"/>
  <c r="V25" i="71"/>
  <c r="U26" i="71"/>
  <c r="V26" i="71"/>
  <c r="U27" i="71"/>
  <c r="V27" i="71"/>
  <c r="U28" i="71"/>
  <c r="V28" i="71"/>
  <c r="U29" i="71"/>
  <c r="V29" i="71"/>
  <c r="U30" i="71"/>
  <c r="V30" i="71"/>
  <c r="U31" i="71"/>
  <c r="V31" i="71"/>
  <c r="U32" i="71"/>
  <c r="V32" i="71"/>
  <c r="U33" i="71"/>
  <c r="V33" i="71"/>
  <c r="U34" i="71"/>
  <c r="V34" i="71"/>
  <c r="U35" i="71"/>
  <c r="V35" i="71"/>
  <c r="U36" i="71"/>
  <c r="V36" i="71"/>
  <c r="U37" i="71"/>
  <c r="V37" i="71"/>
  <c r="U38" i="71"/>
  <c r="V38" i="71"/>
  <c r="U39" i="71"/>
  <c r="V39" i="71"/>
  <c r="U40" i="71"/>
  <c r="V40" i="71"/>
  <c r="U41" i="71"/>
  <c r="V41" i="71"/>
  <c r="U42" i="71"/>
  <c r="V42" i="71"/>
  <c r="V43" i="71"/>
  <c r="U43" i="71"/>
  <c r="B9" i="71"/>
  <c r="C9" i="71"/>
  <c r="D9" i="71"/>
  <c r="E9" i="71"/>
  <c r="F9" i="71"/>
  <c r="G9" i="71"/>
  <c r="H9" i="71"/>
  <c r="I9" i="71"/>
  <c r="J9" i="71"/>
  <c r="K9" i="71"/>
  <c r="L9" i="71"/>
  <c r="M9" i="71"/>
  <c r="N9" i="71"/>
  <c r="O9" i="71"/>
  <c r="P9" i="71"/>
  <c r="Q9" i="71"/>
  <c r="R9" i="71"/>
  <c r="S9" i="71"/>
  <c r="T9" i="71"/>
  <c r="B10" i="71"/>
  <c r="C10" i="71"/>
  <c r="D10" i="71"/>
  <c r="E10" i="71"/>
  <c r="F10" i="71"/>
  <c r="G10" i="71"/>
  <c r="H10" i="71"/>
  <c r="I10" i="71"/>
  <c r="J10" i="71"/>
  <c r="K10" i="71"/>
  <c r="L10" i="71"/>
  <c r="M10" i="71"/>
  <c r="N10" i="71"/>
  <c r="O10" i="71"/>
  <c r="P10" i="71"/>
  <c r="Q10" i="71"/>
  <c r="R10" i="71"/>
  <c r="S10" i="71"/>
  <c r="T10" i="71"/>
  <c r="B11" i="71"/>
  <c r="C11" i="71"/>
  <c r="D11" i="71"/>
  <c r="E11" i="71"/>
  <c r="F11" i="71"/>
  <c r="G11" i="71"/>
  <c r="H11" i="71"/>
  <c r="I11" i="71"/>
  <c r="J11" i="71"/>
  <c r="K11" i="71"/>
  <c r="L11" i="71"/>
  <c r="M11" i="71"/>
  <c r="N11" i="71"/>
  <c r="O11" i="71"/>
  <c r="P11" i="71"/>
  <c r="Q11" i="71"/>
  <c r="R11" i="71"/>
  <c r="S11" i="71"/>
  <c r="T11" i="71"/>
  <c r="B12" i="71"/>
  <c r="C12" i="71"/>
  <c r="D12" i="71"/>
  <c r="E12" i="71"/>
  <c r="F12" i="71"/>
  <c r="G12" i="71"/>
  <c r="H12" i="71"/>
  <c r="I12" i="71"/>
  <c r="J12" i="71"/>
  <c r="K12" i="71"/>
  <c r="L12" i="71"/>
  <c r="M12" i="71"/>
  <c r="N12" i="71"/>
  <c r="O12" i="71"/>
  <c r="P12" i="71"/>
  <c r="Q12" i="71"/>
  <c r="R12" i="71"/>
  <c r="S12" i="71"/>
  <c r="T12" i="71"/>
  <c r="B13" i="71"/>
  <c r="C13" i="71"/>
  <c r="D13" i="71"/>
  <c r="E13" i="71"/>
  <c r="F13" i="71"/>
  <c r="G13" i="71"/>
  <c r="H13" i="71"/>
  <c r="I13" i="71"/>
  <c r="J13" i="71"/>
  <c r="K13" i="71"/>
  <c r="L13" i="71"/>
  <c r="M13" i="71"/>
  <c r="N13" i="71"/>
  <c r="O13" i="71"/>
  <c r="P13" i="71"/>
  <c r="Q13" i="71"/>
  <c r="R13" i="71"/>
  <c r="S13" i="71"/>
  <c r="T13" i="71"/>
  <c r="B14" i="71"/>
  <c r="C14" i="71"/>
  <c r="D14" i="71"/>
  <c r="E14" i="71"/>
  <c r="F14" i="71"/>
  <c r="G14" i="71"/>
  <c r="H14" i="71"/>
  <c r="I14" i="71"/>
  <c r="J14" i="71"/>
  <c r="K14" i="71"/>
  <c r="L14" i="71"/>
  <c r="M14" i="71"/>
  <c r="N14" i="71"/>
  <c r="O14" i="71"/>
  <c r="P14" i="71"/>
  <c r="Q14" i="71"/>
  <c r="R14" i="71"/>
  <c r="S14" i="71"/>
  <c r="T14" i="71"/>
  <c r="B15" i="71"/>
  <c r="C15" i="71"/>
  <c r="D15" i="71"/>
  <c r="E15" i="71"/>
  <c r="F15" i="71"/>
  <c r="G15" i="71"/>
  <c r="H15" i="71"/>
  <c r="I15" i="71"/>
  <c r="J15" i="71"/>
  <c r="K15" i="71"/>
  <c r="L15" i="71"/>
  <c r="M15" i="71"/>
  <c r="N15" i="71"/>
  <c r="O15" i="71"/>
  <c r="P15" i="71"/>
  <c r="Q15" i="71"/>
  <c r="R15" i="71"/>
  <c r="S15" i="71"/>
  <c r="T15" i="71"/>
  <c r="B16" i="71"/>
  <c r="C16" i="71"/>
  <c r="D16" i="71"/>
  <c r="E16" i="71"/>
  <c r="F16" i="71"/>
  <c r="G16" i="71"/>
  <c r="H16" i="71"/>
  <c r="I16" i="71"/>
  <c r="J16" i="71"/>
  <c r="K16" i="71"/>
  <c r="L16" i="71"/>
  <c r="M16" i="71"/>
  <c r="N16" i="71"/>
  <c r="O16" i="71"/>
  <c r="P16" i="71"/>
  <c r="Q16" i="71"/>
  <c r="R16" i="71"/>
  <c r="S16" i="71"/>
  <c r="T16" i="71"/>
  <c r="B17" i="71"/>
  <c r="C17" i="71"/>
  <c r="D17" i="71"/>
  <c r="E17" i="71"/>
  <c r="F17" i="71"/>
  <c r="G17" i="71"/>
  <c r="H17" i="71"/>
  <c r="I17" i="71"/>
  <c r="J17" i="71"/>
  <c r="K17" i="71"/>
  <c r="L17" i="71"/>
  <c r="M17" i="71"/>
  <c r="N17" i="71"/>
  <c r="O17" i="71"/>
  <c r="P17" i="71"/>
  <c r="Q17" i="71"/>
  <c r="R17" i="71"/>
  <c r="S17" i="71"/>
  <c r="T17" i="71"/>
  <c r="B18" i="71"/>
  <c r="C18" i="71"/>
  <c r="D18" i="71"/>
  <c r="E18" i="71"/>
  <c r="F18" i="71"/>
  <c r="G18" i="71"/>
  <c r="H18" i="71"/>
  <c r="I18" i="71"/>
  <c r="J18" i="71"/>
  <c r="K18" i="71"/>
  <c r="L18" i="71"/>
  <c r="M18" i="71"/>
  <c r="N18" i="71"/>
  <c r="O18" i="71"/>
  <c r="P18" i="71"/>
  <c r="Q18" i="71"/>
  <c r="R18" i="71"/>
  <c r="S18" i="71"/>
  <c r="T18" i="71"/>
  <c r="B19" i="71"/>
  <c r="C19" i="71"/>
  <c r="D19" i="71"/>
  <c r="E19" i="71"/>
  <c r="F19" i="71"/>
  <c r="G19" i="71"/>
  <c r="H19" i="71"/>
  <c r="I19" i="71"/>
  <c r="J19" i="71"/>
  <c r="K19" i="71"/>
  <c r="L19" i="71"/>
  <c r="M19" i="71"/>
  <c r="N19" i="71"/>
  <c r="O19" i="71"/>
  <c r="P19" i="71"/>
  <c r="Q19" i="71"/>
  <c r="R19" i="71"/>
  <c r="S19" i="71"/>
  <c r="T19" i="71"/>
  <c r="B20" i="71"/>
  <c r="C20" i="71"/>
  <c r="D20" i="71"/>
  <c r="E20" i="71"/>
  <c r="F20" i="71"/>
  <c r="G20" i="71"/>
  <c r="H20" i="71"/>
  <c r="I20" i="71"/>
  <c r="J20" i="71"/>
  <c r="K20" i="71"/>
  <c r="L20" i="71"/>
  <c r="M20" i="71"/>
  <c r="N20" i="71"/>
  <c r="O20" i="71"/>
  <c r="P20" i="71"/>
  <c r="Q20" i="71"/>
  <c r="R20" i="71"/>
  <c r="S20" i="71"/>
  <c r="T20" i="71"/>
  <c r="B21" i="71"/>
  <c r="C21" i="71"/>
  <c r="D21" i="71"/>
  <c r="E21" i="71"/>
  <c r="F21" i="71"/>
  <c r="G21" i="71"/>
  <c r="H21" i="71"/>
  <c r="I21" i="71"/>
  <c r="J21" i="71"/>
  <c r="K21" i="71"/>
  <c r="L21" i="71"/>
  <c r="M21" i="71"/>
  <c r="N21" i="71"/>
  <c r="O21" i="71"/>
  <c r="P21" i="71"/>
  <c r="Q21" i="71"/>
  <c r="R21" i="71"/>
  <c r="S21" i="71"/>
  <c r="T21" i="71"/>
  <c r="B22" i="71"/>
  <c r="C22" i="71"/>
  <c r="D22" i="71"/>
  <c r="E22" i="71"/>
  <c r="F22" i="71"/>
  <c r="G22" i="71"/>
  <c r="H22" i="71"/>
  <c r="I22" i="71"/>
  <c r="J22" i="71"/>
  <c r="K22" i="71"/>
  <c r="L22" i="71"/>
  <c r="M22" i="71"/>
  <c r="N22" i="71"/>
  <c r="O22" i="71"/>
  <c r="P22" i="71"/>
  <c r="Q22" i="71"/>
  <c r="R22" i="71"/>
  <c r="S22" i="71"/>
  <c r="T22" i="71"/>
  <c r="B23" i="71"/>
  <c r="C23" i="71"/>
  <c r="D23" i="71"/>
  <c r="E23" i="71"/>
  <c r="F23" i="71"/>
  <c r="G23" i="71"/>
  <c r="H23" i="71"/>
  <c r="I23" i="71"/>
  <c r="J23" i="71"/>
  <c r="K23" i="71"/>
  <c r="L23" i="71"/>
  <c r="M23" i="71"/>
  <c r="N23" i="71"/>
  <c r="O23" i="71"/>
  <c r="P23" i="71"/>
  <c r="Q23" i="71"/>
  <c r="R23" i="71"/>
  <c r="S23" i="71"/>
  <c r="T23" i="71"/>
  <c r="B24" i="71"/>
  <c r="C24" i="71"/>
  <c r="D24" i="71"/>
  <c r="E24" i="71"/>
  <c r="F24" i="71"/>
  <c r="G24" i="71"/>
  <c r="H24" i="71"/>
  <c r="I24" i="71"/>
  <c r="J24" i="71"/>
  <c r="K24" i="71"/>
  <c r="L24" i="71"/>
  <c r="M24" i="71"/>
  <c r="N24" i="71"/>
  <c r="O24" i="71"/>
  <c r="P24" i="71"/>
  <c r="Q24" i="71"/>
  <c r="R24" i="71"/>
  <c r="S24" i="71"/>
  <c r="T24" i="71"/>
  <c r="B25" i="71"/>
  <c r="C25" i="71"/>
  <c r="D25" i="71"/>
  <c r="E25" i="71"/>
  <c r="F25" i="71"/>
  <c r="G25" i="71"/>
  <c r="H25" i="71"/>
  <c r="I25" i="71"/>
  <c r="J25" i="71"/>
  <c r="K25" i="71"/>
  <c r="L25" i="71"/>
  <c r="M25" i="71"/>
  <c r="N25" i="71"/>
  <c r="O25" i="71"/>
  <c r="P25" i="71"/>
  <c r="Q25" i="71"/>
  <c r="R25" i="71"/>
  <c r="S25" i="71"/>
  <c r="T25" i="71"/>
  <c r="B26" i="71"/>
  <c r="C26" i="71"/>
  <c r="D26" i="71"/>
  <c r="E26" i="71"/>
  <c r="F26" i="71"/>
  <c r="G26" i="71"/>
  <c r="H26" i="71"/>
  <c r="I26" i="71"/>
  <c r="J26" i="71"/>
  <c r="K26" i="71"/>
  <c r="L26" i="71"/>
  <c r="M26" i="71"/>
  <c r="N26" i="71"/>
  <c r="O26" i="71"/>
  <c r="P26" i="71"/>
  <c r="Q26" i="71"/>
  <c r="R26" i="71"/>
  <c r="S26" i="71"/>
  <c r="T26" i="71"/>
  <c r="B27" i="71"/>
  <c r="C27" i="71"/>
  <c r="D27" i="71"/>
  <c r="E27" i="71"/>
  <c r="F27" i="71"/>
  <c r="G27" i="71"/>
  <c r="H27" i="71"/>
  <c r="I27" i="71"/>
  <c r="J27" i="71"/>
  <c r="K27" i="71"/>
  <c r="L27" i="71"/>
  <c r="M27" i="71"/>
  <c r="N27" i="71"/>
  <c r="O27" i="71"/>
  <c r="P27" i="71"/>
  <c r="Q27" i="71"/>
  <c r="R27" i="71"/>
  <c r="S27" i="71"/>
  <c r="T27" i="71"/>
  <c r="B28" i="71"/>
  <c r="C28" i="71"/>
  <c r="D28" i="71"/>
  <c r="E28" i="71"/>
  <c r="F28" i="71"/>
  <c r="G28" i="71"/>
  <c r="H28" i="71"/>
  <c r="I28" i="71"/>
  <c r="J28" i="71"/>
  <c r="K28" i="71"/>
  <c r="L28" i="71"/>
  <c r="M28" i="71"/>
  <c r="N28" i="71"/>
  <c r="O28" i="71"/>
  <c r="P28" i="71"/>
  <c r="Q28" i="71"/>
  <c r="R28" i="71"/>
  <c r="S28" i="71"/>
  <c r="T28" i="71"/>
  <c r="B29" i="71"/>
  <c r="C29" i="71"/>
  <c r="D29" i="71"/>
  <c r="E29" i="71"/>
  <c r="F29" i="71"/>
  <c r="G29" i="71"/>
  <c r="H29" i="71"/>
  <c r="I29" i="71"/>
  <c r="J29" i="71"/>
  <c r="K29" i="71"/>
  <c r="L29" i="71"/>
  <c r="M29" i="71"/>
  <c r="N29" i="71"/>
  <c r="O29" i="71"/>
  <c r="P29" i="71"/>
  <c r="Q29" i="71"/>
  <c r="R29" i="71"/>
  <c r="S29" i="71"/>
  <c r="T29" i="71"/>
  <c r="B30" i="71"/>
  <c r="C30" i="71"/>
  <c r="D30" i="71"/>
  <c r="E30" i="71"/>
  <c r="F30" i="71"/>
  <c r="G30" i="71"/>
  <c r="H30" i="71"/>
  <c r="I30" i="71"/>
  <c r="J30" i="71"/>
  <c r="K30" i="71"/>
  <c r="L30" i="71"/>
  <c r="M30" i="71"/>
  <c r="N30" i="71"/>
  <c r="O30" i="71"/>
  <c r="P30" i="71"/>
  <c r="Q30" i="71"/>
  <c r="R30" i="71"/>
  <c r="S30" i="71"/>
  <c r="T30" i="71"/>
  <c r="B31" i="71"/>
  <c r="C31" i="71"/>
  <c r="D31" i="71"/>
  <c r="E31" i="71"/>
  <c r="F31" i="71"/>
  <c r="G31" i="71"/>
  <c r="H31" i="71"/>
  <c r="I31" i="71"/>
  <c r="J31" i="71"/>
  <c r="K31" i="71"/>
  <c r="L31" i="71"/>
  <c r="M31" i="71"/>
  <c r="N31" i="71"/>
  <c r="O31" i="71"/>
  <c r="P31" i="71"/>
  <c r="Q31" i="71"/>
  <c r="R31" i="71"/>
  <c r="S31" i="71"/>
  <c r="T31" i="71"/>
  <c r="B32" i="71"/>
  <c r="C32" i="71"/>
  <c r="D32" i="71"/>
  <c r="E32" i="71"/>
  <c r="F32" i="71"/>
  <c r="G32" i="71"/>
  <c r="H32" i="71"/>
  <c r="I32" i="71"/>
  <c r="J32" i="71"/>
  <c r="K32" i="71"/>
  <c r="L32" i="71"/>
  <c r="M32" i="71"/>
  <c r="N32" i="71"/>
  <c r="O32" i="71"/>
  <c r="P32" i="71"/>
  <c r="Q32" i="71"/>
  <c r="R32" i="71"/>
  <c r="S32" i="71"/>
  <c r="T32" i="71"/>
  <c r="B33" i="71"/>
  <c r="C33" i="71"/>
  <c r="D33" i="71"/>
  <c r="E33" i="71"/>
  <c r="F33" i="71"/>
  <c r="G33" i="71"/>
  <c r="H33" i="71"/>
  <c r="I33" i="71"/>
  <c r="J33" i="71"/>
  <c r="K33" i="71"/>
  <c r="L33" i="71"/>
  <c r="M33" i="71"/>
  <c r="N33" i="71"/>
  <c r="O33" i="71"/>
  <c r="P33" i="71"/>
  <c r="Q33" i="71"/>
  <c r="R33" i="71"/>
  <c r="S33" i="71"/>
  <c r="T33" i="71"/>
  <c r="B34" i="71"/>
  <c r="C34" i="71"/>
  <c r="D34" i="71"/>
  <c r="E34" i="71"/>
  <c r="F34" i="71"/>
  <c r="G34" i="71"/>
  <c r="H34" i="71"/>
  <c r="I34" i="71"/>
  <c r="J34" i="71"/>
  <c r="K34" i="71"/>
  <c r="L34" i="71"/>
  <c r="M34" i="71"/>
  <c r="N34" i="71"/>
  <c r="O34" i="71"/>
  <c r="P34" i="71"/>
  <c r="Q34" i="71"/>
  <c r="R34" i="71"/>
  <c r="S34" i="71"/>
  <c r="T34" i="71"/>
  <c r="B35" i="71"/>
  <c r="C35" i="71"/>
  <c r="D35" i="71"/>
  <c r="E35" i="71"/>
  <c r="F35" i="71"/>
  <c r="G35" i="71"/>
  <c r="H35" i="71"/>
  <c r="I35" i="71"/>
  <c r="J35" i="71"/>
  <c r="K35" i="71"/>
  <c r="L35" i="71"/>
  <c r="M35" i="71"/>
  <c r="N35" i="71"/>
  <c r="O35" i="71"/>
  <c r="P35" i="71"/>
  <c r="Q35" i="71"/>
  <c r="R35" i="71"/>
  <c r="S35" i="71"/>
  <c r="T35" i="71"/>
  <c r="B36" i="71"/>
  <c r="C36" i="71"/>
  <c r="D36" i="71"/>
  <c r="E36" i="71"/>
  <c r="F36" i="71"/>
  <c r="G36" i="71"/>
  <c r="H36" i="71"/>
  <c r="I36" i="71"/>
  <c r="J36" i="71"/>
  <c r="K36" i="71"/>
  <c r="L36" i="71"/>
  <c r="M36" i="71"/>
  <c r="N36" i="71"/>
  <c r="O36" i="71"/>
  <c r="P36" i="71"/>
  <c r="Q36" i="71"/>
  <c r="R36" i="71"/>
  <c r="S36" i="71"/>
  <c r="T36" i="71"/>
  <c r="B37" i="71"/>
  <c r="C37" i="71"/>
  <c r="D37" i="71"/>
  <c r="E37" i="71"/>
  <c r="F37" i="71"/>
  <c r="G37" i="71"/>
  <c r="H37" i="71"/>
  <c r="I37" i="71"/>
  <c r="J37" i="71"/>
  <c r="K37" i="71"/>
  <c r="L37" i="71"/>
  <c r="M37" i="71"/>
  <c r="N37" i="71"/>
  <c r="O37" i="71"/>
  <c r="P37" i="71"/>
  <c r="Q37" i="71"/>
  <c r="R37" i="71"/>
  <c r="S37" i="71"/>
  <c r="T37" i="71"/>
  <c r="B38" i="71"/>
  <c r="C38" i="71"/>
  <c r="D38" i="71"/>
  <c r="E38" i="71"/>
  <c r="F38" i="71"/>
  <c r="G38" i="71"/>
  <c r="H38" i="71"/>
  <c r="I38" i="71"/>
  <c r="J38" i="71"/>
  <c r="K38" i="71"/>
  <c r="L38" i="71"/>
  <c r="M38" i="71"/>
  <c r="N38" i="71"/>
  <c r="O38" i="71"/>
  <c r="P38" i="71"/>
  <c r="Q38" i="71"/>
  <c r="R38" i="71"/>
  <c r="S38" i="71"/>
  <c r="T38" i="71"/>
  <c r="B39" i="71"/>
  <c r="C39" i="71"/>
  <c r="D39" i="71"/>
  <c r="E39" i="71"/>
  <c r="F39" i="71"/>
  <c r="G39" i="71"/>
  <c r="H39" i="71"/>
  <c r="I39" i="71"/>
  <c r="J39" i="71"/>
  <c r="K39" i="71"/>
  <c r="L39" i="71"/>
  <c r="M39" i="71"/>
  <c r="N39" i="71"/>
  <c r="O39" i="71"/>
  <c r="P39" i="71"/>
  <c r="Q39" i="71"/>
  <c r="R39" i="71"/>
  <c r="S39" i="71"/>
  <c r="T39" i="71"/>
  <c r="B40" i="71"/>
  <c r="C40" i="71"/>
  <c r="D40" i="71"/>
  <c r="E40" i="71"/>
  <c r="F40" i="71"/>
  <c r="G40" i="71"/>
  <c r="H40" i="71"/>
  <c r="I40" i="71"/>
  <c r="J40" i="71"/>
  <c r="K40" i="71"/>
  <c r="L40" i="71"/>
  <c r="M40" i="71"/>
  <c r="N40" i="71"/>
  <c r="O40" i="71"/>
  <c r="P40" i="71"/>
  <c r="Q40" i="71"/>
  <c r="R40" i="71"/>
  <c r="S40" i="71"/>
  <c r="T40" i="71"/>
  <c r="B41" i="71"/>
  <c r="C41" i="71"/>
  <c r="D41" i="71"/>
  <c r="E41" i="71"/>
  <c r="F41" i="71"/>
  <c r="G41" i="71"/>
  <c r="H41" i="71"/>
  <c r="I41" i="71"/>
  <c r="J41" i="71"/>
  <c r="K41" i="71"/>
  <c r="L41" i="71"/>
  <c r="M41" i="71"/>
  <c r="N41" i="71"/>
  <c r="O41" i="71"/>
  <c r="P41" i="71"/>
  <c r="Q41" i="71"/>
  <c r="R41" i="71"/>
  <c r="S41" i="71"/>
  <c r="T41" i="71"/>
  <c r="B42" i="71"/>
  <c r="C42" i="71"/>
  <c r="D42" i="71"/>
  <c r="E42" i="71"/>
  <c r="F42" i="71"/>
  <c r="G42" i="71"/>
  <c r="H42" i="71"/>
  <c r="I42" i="71"/>
  <c r="J42" i="71"/>
  <c r="K42" i="71"/>
  <c r="L42" i="71"/>
  <c r="M42" i="71"/>
  <c r="N42" i="71"/>
  <c r="O42" i="71"/>
  <c r="P42" i="71"/>
  <c r="Q42" i="71"/>
  <c r="R42" i="71"/>
  <c r="S42" i="71"/>
  <c r="T42" i="71"/>
  <c r="T43" i="71"/>
  <c r="S43" i="71"/>
  <c r="R43" i="71"/>
  <c r="Q43" i="71"/>
  <c r="P43" i="71"/>
  <c r="O43" i="71"/>
  <c r="N43" i="71"/>
  <c r="M43" i="71"/>
  <c r="L43" i="71"/>
  <c r="K43" i="71"/>
  <c r="J43" i="71"/>
  <c r="I43" i="71"/>
  <c r="H43" i="71"/>
  <c r="G43" i="71"/>
  <c r="F43" i="71"/>
  <c r="E43" i="71"/>
  <c r="D43" i="71"/>
  <c r="C43" i="71"/>
  <c r="B43" i="71"/>
  <c r="H48" i="72" l="1"/>
  <c r="H47" i="72"/>
  <c r="H46" i="72"/>
  <c r="H45" i="72"/>
  <c r="H44" i="72"/>
  <c r="H43" i="72"/>
  <c r="H42" i="72"/>
  <c r="H41" i="72"/>
  <c r="H40" i="72"/>
  <c r="H39" i="72"/>
  <c r="H38" i="72"/>
  <c r="H37" i="72"/>
  <c r="H36" i="72"/>
  <c r="H35" i="72"/>
  <c r="H34" i="72"/>
  <c r="H33" i="72"/>
  <c r="H32" i="72"/>
  <c r="H31" i="72"/>
  <c r="O62" i="78" l="1"/>
  <c r="O63" i="78"/>
  <c r="G66" i="78" l="1"/>
  <c r="I66" i="78"/>
  <c r="E66" i="78" l="1"/>
  <c r="O55" i="78"/>
  <c r="O29" i="78"/>
  <c r="O30" i="78"/>
  <c r="O31" i="78"/>
  <c r="O32" i="78"/>
  <c r="O14" i="78"/>
  <c r="M14" i="78"/>
  <c r="E9" i="78" l="1"/>
  <c r="C14" i="78"/>
  <c r="C11" i="78"/>
  <c r="C59" i="78"/>
  <c r="C66" i="78"/>
  <c r="C49" i="78"/>
  <c r="C13" i="78"/>
  <c r="E44" i="78"/>
  <c r="E58" i="78"/>
  <c r="C55" i="78"/>
  <c r="E14" i="78"/>
  <c r="M58" i="78"/>
  <c r="M59" i="78"/>
  <c r="M60" i="78"/>
  <c r="M61" i="78"/>
  <c r="M62" i="78"/>
  <c r="M63" i="78"/>
  <c r="M57" i="78"/>
  <c r="M52" i="78"/>
  <c r="M53" i="78"/>
  <c r="M54" i="78"/>
  <c r="M55" i="78"/>
  <c r="M46" i="78"/>
  <c r="M47" i="78"/>
  <c r="M48" i="78"/>
  <c r="M49" i="78"/>
  <c r="M50" i="78"/>
  <c r="M51" i="78"/>
  <c r="M45" i="78"/>
  <c r="M44" i="78"/>
  <c r="N55" i="78"/>
  <c r="E68" i="78"/>
  <c r="E67" i="78"/>
  <c r="E65" i="78"/>
  <c r="E63" i="78"/>
  <c r="E62" i="78"/>
  <c r="E59" i="78"/>
  <c r="E57" i="78"/>
  <c r="E55" i="78"/>
  <c r="E54" i="78"/>
  <c r="E53" i="78"/>
  <c r="E52" i="78"/>
  <c r="E51" i="78"/>
  <c r="E50" i="78"/>
  <c r="E48" i="78"/>
  <c r="E47" i="78"/>
  <c r="E46" i="78"/>
  <c r="E45" i="78"/>
  <c r="G68" i="78"/>
  <c r="G67" i="78"/>
  <c r="G65" i="78"/>
  <c r="G63" i="78"/>
  <c r="G62" i="78"/>
  <c r="G61" i="78"/>
  <c r="G60" i="78"/>
  <c r="G59" i="78"/>
  <c r="G58" i="78"/>
  <c r="G57" i="78"/>
  <c r="G55" i="78"/>
  <c r="G54" i="78"/>
  <c r="G53" i="78"/>
  <c r="G52" i="78"/>
  <c r="G51" i="78"/>
  <c r="G50" i="78"/>
  <c r="G49" i="78"/>
  <c r="G48" i="78"/>
  <c r="G47" i="78"/>
  <c r="G46" i="78"/>
  <c r="G45" i="78"/>
  <c r="G44" i="78"/>
  <c r="I68" i="78"/>
  <c r="I67" i="78"/>
  <c r="I65" i="78"/>
  <c r="I63" i="78"/>
  <c r="I62" i="78"/>
  <c r="I61" i="78"/>
  <c r="I60" i="78"/>
  <c r="I59" i="78"/>
  <c r="I58" i="78"/>
  <c r="I57" i="78"/>
  <c r="I55" i="78"/>
  <c r="I54" i="78"/>
  <c r="I53" i="78"/>
  <c r="I52" i="78"/>
  <c r="I51" i="78"/>
  <c r="I50" i="78"/>
  <c r="I49" i="78"/>
  <c r="I48" i="78"/>
  <c r="I47" i="78"/>
  <c r="I46" i="78"/>
  <c r="I45" i="78"/>
  <c r="I44" i="78"/>
  <c r="C68" i="78"/>
  <c r="C67" i="78"/>
  <c r="C65" i="78"/>
  <c r="C62" i="78"/>
  <c r="C63" i="78"/>
  <c r="C58" i="78"/>
  <c r="C57" i="78"/>
  <c r="C54" i="78"/>
  <c r="C53" i="78"/>
  <c r="C52" i="78"/>
  <c r="C51" i="78"/>
  <c r="C48" i="78"/>
  <c r="C47" i="78"/>
  <c r="C46" i="78"/>
  <c r="C45" i="78"/>
  <c r="M30" i="78"/>
  <c r="M31" i="78"/>
  <c r="M32" i="78"/>
  <c r="M29" i="78"/>
  <c r="G32" i="78"/>
  <c r="G31" i="78"/>
  <c r="G30" i="78"/>
  <c r="G29" i="78"/>
  <c r="G28" i="78"/>
  <c r="G25" i="78"/>
  <c r="G24" i="78"/>
  <c r="G23" i="78"/>
  <c r="G22" i="78"/>
  <c r="G21" i="78"/>
  <c r="G20" i="78"/>
  <c r="G19" i="78"/>
  <c r="G18" i="78"/>
  <c r="G17" i="78"/>
  <c r="G16" i="78"/>
  <c r="G15" i="78"/>
  <c r="G14" i="78"/>
  <c r="G13" i="78"/>
  <c r="G12" i="78"/>
  <c r="G11" i="78"/>
  <c r="G10" i="78"/>
  <c r="G9" i="78"/>
  <c r="I32" i="78"/>
  <c r="I31" i="78"/>
  <c r="I30" i="78"/>
  <c r="I29" i="78"/>
  <c r="I28" i="78"/>
  <c r="I25" i="78"/>
  <c r="I24" i="78"/>
  <c r="I23" i="78"/>
  <c r="I22" i="78"/>
  <c r="I21" i="78"/>
  <c r="I20" i="78"/>
  <c r="I19" i="78"/>
  <c r="I18" i="78"/>
  <c r="I17" i="78"/>
  <c r="I16" i="78"/>
  <c r="I15" i="78"/>
  <c r="I14" i="78"/>
  <c r="I13" i="78"/>
  <c r="I12" i="78"/>
  <c r="I11" i="78"/>
  <c r="I10" i="78"/>
  <c r="I9" i="78"/>
  <c r="E32" i="78"/>
  <c r="E31" i="78"/>
  <c r="E30" i="78"/>
  <c r="E28" i="78"/>
  <c r="E25" i="78"/>
  <c r="E24" i="78"/>
  <c r="E23" i="78"/>
  <c r="E22" i="78"/>
  <c r="E21" i="78"/>
  <c r="E20" i="78"/>
  <c r="E19" i="78"/>
  <c r="E18" i="78"/>
  <c r="E17" i="78"/>
  <c r="E16" i="78"/>
  <c r="E15" i="78"/>
  <c r="E13" i="78"/>
  <c r="E12" i="78"/>
  <c r="E11" i="78"/>
  <c r="E10" i="78"/>
  <c r="C32" i="78"/>
  <c r="C31" i="78"/>
  <c r="C29" i="78"/>
  <c r="C28" i="78"/>
  <c r="C25" i="78"/>
  <c r="C24" i="78"/>
  <c r="C22" i="78"/>
  <c r="C21" i="78"/>
  <c r="C20" i="78"/>
  <c r="C19" i="78"/>
  <c r="C18" i="78"/>
  <c r="C17" i="78"/>
  <c r="C12" i="78"/>
  <c r="C15" i="78"/>
  <c r="C16" i="78"/>
  <c r="C10" i="78"/>
  <c r="C9" i="78"/>
  <c r="C50" i="78" l="1"/>
  <c r="C30" i="78"/>
  <c r="E29" i="78"/>
  <c r="C44" i="78"/>
  <c r="E49" i="78"/>
  <c r="C23" i="78"/>
  <c r="I56" i="78"/>
  <c r="I26" i="78"/>
  <c r="G26" i="78"/>
  <c r="G56" i="78"/>
  <c r="E26" i="78"/>
  <c r="V23" i="82"/>
  <c r="W23" i="82"/>
  <c r="X23" i="82"/>
  <c r="Y23" i="82"/>
  <c r="B9" i="109"/>
  <c r="O23" i="82"/>
  <c r="P23" i="82"/>
  <c r="K23" i="82"/>
  <c r="C61" i="78" l="1"/>
  <c r="E61" i="78"/>
  <c r="C12" i="76"/>
  <c r="AE18" i="98"/>
  <c r="AE19" i="98"/>
  <c r="W50" i="98"/>
  <c r="X50" i="98"/>
  <c r="AC19" i="98"/>
  <c r="AD19" i="98"/>
  <c r="X49" i="98"/>
  <c r="W49" i="98"/>
  <c r="AD18" i="98"/>
  <c r="AC18" i="98"/>
  <c r="X53" i="98"/>
  <c r="W53" i="98"/>
  <c r="AC22" i="98"/>
  <c r="AD22" i="98"/>
  <c r="C27" i="98"/>
  <c r="D27" i="98"/>
  <c r="C28" i="98"/>
  <c r="D28" i="98"/>
  <c r="M27" i="98"/>
  <c r="N27" i="98"/>
  <c r="M28" i="98"/>
  <c r="N28" i="98"/>
  <c r="AE13" i="98"/>
  <c r="AC13" i="98"/>
  <c r="W44" i="98"/>
  <c r="U61" i="95"/>
  <c r="C61" i="92"/>
  <c r="D61" i="92"/>
  <c r="E61" i="92"/>
  <c r="F61" i="92"/>
  <c r="G61" i="92"/>
  <c r="H61" i="92"/>
  <c r="I61" i="92"/>
  <c r="J61" i="92"/>
  <c r="K61" i="92"/>
  <c r="L61" i="92"/>
  <c r="M61" i="92"/>
  <c r="N61" i="92"/>
  <c r="O61" i="92"/>
  <c r="P61" i="92"/>
  <c r="Q61" i="92"/>
  <c r="R61" i="92"/>
  <c r="S61" i="92"/>
  <c r="T61" i="92"/>
  <c r="U61" i="92"/>
  <c r="V61" i="92"/>
  <c r="C62" i="92"/>
  <c r="D62" i="92"/>
  <c r="E62" i="92"/>
  <c r="F62" i="92"/>
  <c r="G62" i="92"/>
  <c r="H62" i="92"/>
  <c r="I62" i="92"/>
  <c r="J62" i="92"/>
  <c r="K62" i="92"/>
  <c r="L62" i="92"/>
  <c r="M62" i="92"/>
  <c r="N62" i="92"/>
  <c r="O62" i="92"/>
  <c r="P62" i="92"/>
  <c r="Q62" i="92"/>
  <c r="R62" i="92"/>
  <c r="S62" i="92"/>
  <c r="T62" i="92"/>
  <c r="U62" i="92"/>
  <c r="V62" i="92"/>
  <c r="E27" i="92"/>
  <c r="F27" i="92"/>
  <c r="G27" i="92"/>
  <c r="H27" i="92"/>
  <c r="I27" i="92"/>
  <c r="J27" i="92"/>
  <c r="K27" i="92"/>
  <c r="L27" i="92"/>
  <c r="O27" i="92"/>
  <c r="P27" i="92"/>
  <c r="Q27" i="92"/>
  <c r="R27" i="92"/>
  <c r="S27" i="92"/>
  <c r="T27" i="92"/>
  <c r="U27" i="92"/>
  <c r="V27" i="92"/>
  <c r="W27" i="92"/>
  <c r="X27" i="92"/>
  <c r="Y27" i="92"/>
  <c r="Z27" i="92"/>
  <c r="AA27" i="92"/>
  <c r="AB27" i="92"/>
  <c r="E28" i="92"/>
  <c r="F28" i="92"/>
  <c r="G28" i="92"/>
  <c r="H28" i="92"/>
  <c r="I28" i="92"/>
  <c r="J28" i="92"/>
  <c r="K28" i="92"/>
  <c r="L28" i="92"/>
  <c r="O28" i="92"/>
  <c r="P28" i="92"/>
  <c r="Z28" i="92"/>
  <c r="X28" i="92"/>
  <c r="R28" i="92"/>
  <c r="T28" i="92"/>
  <c r="N28" i="92"/>
  <c r="Q28" i="92"/>
  <c r="S28" i="92"/>
  <c r="U28" i="92"/>
  <c r="V28" i="92"/>
  <c r="W28" i="92"/>
  <c r="Y28" i="92"/>
  <c r="AA28" i="92"/>
  <c r="AB28" i="92"/>
  <c r="W58" i="95"/>
  <c r="X58" i="95"/>
  <c r="W59" i="95"/>
  <c r="X59" i="95"/>
  <c r="M27" i="95"/>
  <c r="N27" i="95"/>
  <c r="AD27" i="95"/>
  <c r="C28" i="95"/>
  <c r="D28" i="95"/>
  <c r="AD28" i="95"/>
  <c r="M28" i="95"/>
  <c r="N28" i="95"/>
  <c r="C27" i="96"/>
  <c r="D27" i="96"/>
  <c r="M27" i="96"/>
  <c r="AC27" i="96"/>
  <c r="N27" i="96"/>
  <c r="AD27" i="96"/>
  <c r="C28" i="96"/>
  <c r="D28" i="96"/>
  <c r="M28" i="96"/>
  <c r="N28" i="96"/>
  <c r="AD28" i="96"/>
  <c r="AC28" i="96"/>
  <c r="AE28" i="96"/>
  <c r="E28" i="93"/>
  <c r="C29" i="96"/>
  <c r="D29" i="96"/>
  <c r="M29" i="96"/>
  <c r="N29" i="96"/>
  <c r="AC29" i="96"/>
  <c r="AD29" i="96"/>
  <c r="AE29" i="96"/>
  <c r="W58" i="96"/>
  <c r="X58" i="96"/>
  <c r="Y58" i="96"/>
  <c r="W59" i="96"/>
  <c r="X59" i="96"/>
  <c r="Y59" i="96"/>
  <c r="C27" i="97"/>
  <c r="D27" i="97"/>
  <c r="M27" i="97"/>
  <c r="AC27" i="97"/>
  <c r="N27" i="97"/>
  <c r="AD27" i="97"/>
  <c r="C28" i="97"/>
  <c r="D28" i="97"/>
  <c r="M28" i="97"/>
  <c r="N28" i="97"/>
  <c r="AD28" i="97"/>
  <c r="AC28" i="97"/>
  <c r="AE28" i="97"/>
  <c r="F28" i="93"/>
  <c r="W58" i="97"/>
  <c r="X58" i="97"/>
  <c r="Y58" i="97"/>
  <c r="W59" i="97"/>
  <c r="X59" i="97"/>
  <c r="Y59" i="97"/>
  <c r="AC27" i="98"/>
  <c r="AD27" i="98"/>
  <c r="AE27" i="98"/>
  <c r="G27" i="93"/>
  <c r="AC28" i="98"/>
  <c r="AD28" i="98"/>
  <c r="AE28" i="98"/>
  <c r="G28" i="93"/>
  <c r="W58" i="98"/>
  <c r="Y58" i="98"/>
  <c r="X58" i="98"/>
  <c r="W59" i="98"/>
  <c r="Y59" i="98"/>
  <c r="X59" i="98"/>
  <c r="C27" i="93"/>
  <c r="C28" i="93"/>
  <c r="W58" i="94"/>
  <c r="X58" i="94"/>
  <c r="W59" i="94"/>
  <c r="X59" i="94"/>
  <c r="M27" i="94"/>
  <c r="N27" i="94"/>
  <c r="M28" i="94"/>
  <c r="N28" i="94"/>
  <c r="C27" i="94"/>
  <c r="AC27" i="94"/>
  <c r="D27" i="94"/>
  <c r="AD27" i="94"/>
  <c r="C28" i="94"/>
  <c r="AC28" i="94"/>
  <c r="D28" i="94"/>
  <c r="X61" i="92"/>
  <c r="Y58" i="95"/>
  <c r="W61" i="92"/>
  <c r="N27" i="92"/>
  <c r="M27" i="92"/>
  <c r="AC27" i="95"/>
  <c r="AE27" i="95"/>
  <c r="D27" i="93"/>
  <c r="C27" i="92"/>
  <c r="D27" i="92"/>
  <c r="AD27" i="92"/>
  <c r="X62" i="92"/>
  <c r="W62" i="92"/>
  <c r="Y59" i="95"/>
  <c r="AC28" i="95"/>
  <c r="AE28" i="95"/>
  <c r="D28" i="93"/>
  <c r="H28" i="93"/>
  <c r="M28" i="92"/>
  <c r="C28" i="92"/>
  <c r="AC28" i="92"/>
  <c r="D28" i="92"/>
  <c r="AD28" i="92"/>
  <c r="AE27" i="96"/>
  <c r="E27" i="93"/>
  <c r="AE27" i="97"/>
  <c r="F27" i="93"/>
  <c r="Y58" i="94"/>
  <c r="AE27" i="94"/>
  <c r="Y59" i="94"/>
  <c r="AD28" i="94"/>
  <c r="AE28" i="94"/>
  <c r="H12" i="76"/>
  <c r="G12" i="76"/>
  <c r="F12" i="76"/>
  <c r="F15" i="76" s="1"/>
  <c r="F16" i="76" s="1"/>
  <c r="E12" i="76"/>
  <c r="E15" i="76" s="1"/>
  <c r="E16" i="76" s="1"/>
  <c r="D12" i="76"/>
  <c r="D11" i="76"/>
  <c r="D10" i="76"/>
  <c r="C11" i="76"/>
  <c r="C10" i="76"/>
  <c r="D9" i="76"/>
  <c r="C9" i="76"/>
  <c r="D8" i="76"/>
  <c r="AC27" i="92"/>
  <c r="AE27" i="92"/>
  <c r="Y61" i="92"/>
  <c r="Y62" i="92"/>
  <c r="AE28" i="92"/>
  <c r="H27" i="93"/>
  <c r="I12" i="76"/>
  <c r="G49" i="73"/>
  <c r="F49" i="73"/>
  <c r="E49" i="73"/>
  <c r="D49" i="73"/>
  <c r="C49" i="73"/>
  <c r="G48" i="73"/>
  <c r="F48" i="73"/>
  <c r="E48" i="73"/>
  <c r="D48" i="73"/>
  <c r="K48" i="73" s="1"/>
  <c r="C48" i="73"/>
  <c r="G47" i="73"/>
  <c r="F47" i="73"/>
  <c r="E47" i="73"/>
  <c r="D47" i="73"/>
  <c r="C47" i="73"/>
  <c r="G46" i="73"/>
  <c r="F46" i="73"/>
  <c r="F50" i="73" s="1"/>
  <c r="E46" i="73"/>
  <c r="D46" i="73"/>
  <c r="C46" i="73"/>
  <c r="G45" i="73"/>
  <c r="F45" i="73"/>
  <c r="E45" i="73"/>
  <c r="D45" i="73"/>
  <c r="C45" i="73"/>
  <c r="G44" i="73"/>
  <c r="F44" i="73"/>
  <c r="E44" i="73"/>
  <c r="D44" i="73"/>
  <c r="K44" i="73" s="1"/>
  <c r="C44" i="73"/>
  <c r="I12" i="73"/>
  <c r="I42" i="73" s="1"/>
  <c r="H12" i="73"/>
  <c r="G12" i="73"/>
  <c r="F12" i="73"/>
  <c r="E12" i="73"/>
  <c r="D12" i="73"/>
  <c r="C12" i="73"/>
  <c r="I11" i="73"/>
  <c r="H11" i="73"/>
  <c r="H41" i="73" s="1"/>
  <c r="G11" i="73"/>
  <c r="F11" i="73"/>
  <c r="E11" i="73"/>
  <c r="D11" i="73"/>
  <c r="D41" i="73" s="1"/>
  <c r="C11" i="73"/>
  <c r="I10" i="73"/>
  <c r="I40" i="73" s="1"/>
  <c r="H10" i="73"/>
  <c r="G10" i="73"/>
  <c r="F10" i="73"/>
  <c r="E10" i="73"/>
  <c r="E40" i="73" s="1"/>
  <c r="D10" i="73"/>
  <c r="D40" i="73" s="1"/>
  <c r="C10" i="73"/>
  <c r="I9" i="73"/>
  <c r="H9" i="73"/>
  <c r="H39" i="73" s="1"/>
  <c r="G9" i="73"/>
  <c r="G39" i="73" s="1"/>
  <c r="F9" i="73"/>
  <c r="E9" i="73"/>
  <c r="E39" i="73" s="1"/>
  <c r="D9" i="73"/>
  <c r="D39" i="73" s="1"/>
  <c r="C9" i="73"/>
  <c r="C39" i="73" s="1"/>
  <c r="I8" i="73"/>
  <c r="I38" i="73" s="1"/>
  <c r="H8" i="73"/>
  <c r="G8" i="73"/>
  <c r="G38" i="73" s="1"/>
  <c r="G43" i="73" s="1"/>
  <c r="F8" i="73"/>
  <c r="E8" i="73"/>
  <c r="E38" i="73" s="1"/>
  <c r="C8" i="73"/>
  <c r="D8" i="73"/>
  <c r="D38" i="73" s="1"/>
  <c r="K19" i="111"/>
  <c r="K20" i="111"/>
  <c r="K21" i="111"/>
  <c r="K22" i="111"/>
  <c r="K23" i="111"/>
  <c r="K25" i="111"/>
  <c r="K26" i="111"/>
  <c r="W43" i="71"/>
  <c r="W42" i="71"/>
  <c r="W41" i="71"/>
  <c r="W39" i="71"/>
  <c r="W38" i="71"/>
  <c r="W37" i="71"/>
  <c r="W36" i="71"/>
  <c r="W35" i="71"/>
  <c r="W34" i="71"/>
  <c r="W33" i="71"/>
  <c r="W32" i="71"/>
  <c r="W31" i="71"/>
  <c r="W30" i="71"/>
  <c r="W29" i="71"/>
  <c r="W28" i="71"/>
  <c r="W27" i="71"/>
  <c r="W26" i="71"/>
  <c r="W25" i="71"/>
  <c r="W24" i="71"/>
  <c r="W23" i="71"/>
  <c r="W22" i="71"/>
  <c r="W21" i="71"/>
  <c r="W20" i="71"/>
  <c r="W19" i="71"/>
  <c r="W18" i="71"/>
  <c r="D44" i="71"/>
  <c r="W16" i="71"/>
  <c r="S44" i="71"/>
  <c r="Q44" i="71"/>
  <c r="O44" i="71"/>
  <c r="M44" i="71"/>
  <c r="K44" i="71"/>
  <c r="I44" i="71"/>
  <c r="G44" i="71"/>
  <c r="V44" i="71"/>
  <c r="R44" i="71"/>
  <c r="N44" i="71"/>
  <c r="J44" i="71"/>
  <c r="F44" i="71"/>
  <c r="W15" i="71"/>
  <c r="W14" i="71"/>
  <c r="W13" i="71"/>
  <c r="W12" i="71"/>
  <c r="W11" i="71"/>
  <c r="T8" i="71"/>
  <c r="S8" i="71"/>
  <c r="R8" i="71"/>
  <c r="Q8" i="71"/>
  <c r="P8" i="71"/>
  <c r="O8" i="71"/>
  <c r="N8" i="71"/>
  <c r="M8" i="71"/>
  <c r="L8" i="71"/>
  <c r="K8" i="71"/>
  <c r="J8" i="71"/>
  <c r="I8" i="71"/>
  <c r="H8" i="71"/>
  <c r="G8" i="71"/>
  <c r="F8" i="71"/>
  <c r="E8" i="71"/>
  <c r="D8" i="71"/>
  <c r="C8" i="71"/>
  <c r="B8" i="71"/>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AE34" i="70" s="1"/>
  <c r="D34" i="70"/>
  <c r="C34"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AF33" i="70" s="1"/>
  <c r="E33" i="70"/>
  <c r="D33" i="70"/>
  <c r="C33"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AF32" i="70" s="1"/>
  <c r="E32" i="70"/>
  <c r="AE32" i="70" s="1"/>
  <c r="D32" i="70"/>
  <c r="C32"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D31" i="70"/>
  <c r="C31" i="70"/>
  <c r="AD30"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D30" i="70"/>
  <c r="C30"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D29" i="70"/>
  <c r="C29"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AI28" i="70" s="1"/>
  <c r="D28" i="70"/>
  <c r="C28"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AE27" i="70" s="1"/>
  <c r="D27" i="70"/>
  <c r="C27" i="70"/>
  <c r="AD26" i="70"/>
  <c r="AC26" i="70"/>
  <c r="AB26" i="70"/>
  <c r="AA26" i="70"/>
  <c r="Z26" i="70"/>
  <c r="Y26" i="70"/>
  <c r="X26" i="70"/>
  <c r="W26" i="70"/>
  <c r="V26" i="70"/>
  <c r="U26" i="70"/>
  <c r="T26" i="70"/>
  <c r="S26" i="70"/>
  <c r="R26" i="70"/>
  <c r="Q26" i="70"/>
  <c r="P26" i="70"/>
  <c r="O26" i="70"/>
  <c r="N26" i="70"/>
  <c r="M26" i="70"/>
  <c r="L26" i="70"/>
  <c r="K26" i="70"/>
  <c r="J26" i="70"/>
  <c r="I26" i="70"/>
  <c r="H26" i="70"/>
  <c r="G26" i="70"/>
  <c r="F26" i="70"/>
  <c r="AF26" i="70" s="1"/>
  <c r="E26" i="70"/>
  <c r="D26" i="70"/>
  <c r="C26" i="70"/>
  <c r="AD25" i="70"/>
  <c r="AC25" i="70"/>
  <c r="AB25" i="70"/>
  <c r="AA25" i="70"/>
  <c r="Z25" i="70"/>
  <c r="Y25" i="70"/>
  <c r="X25" i="70"/>
  <c r="W25" i="70"/>
  <c r="V25" i="70"/>
  <c r="U25" i="70"/>
  <c r="T25" i="70"/>
  <c r="S25" i="70"/>
  <c r="R25" i="70"/>
  <c r="Q25" i="70"/>
  <c r="P25" i="70"/>
  <c r="O25" i="70"/>
  <c r="N25" i="70"/>
  <c r="M25" i="70"/>
  <c r="L25" i="70"/>
  <c r="K25" i="70"/>
  <c r="J25" i="70"/>
  <c r="I25" i="70"/>
  <c r="H25" i="70"/>
  <c r="G25" i="70"/>
  <c r="F25" i="70"/>
  <c r="AF25" i="70" s="1"/>
  <c r="E25" i="70"/>
  <c r="D25" i="70"/>
  <c r="C25" i="70"/>
  <c r="AD24" i="70"/>
  <c r="AC24" i="70"/>
  <c r="AB24" i="70"/>
  <c r="AA24" i="70"/>
  <c r="Z24" i="70"/>
  <c r="Y24" i="70"/>
  <c r="X24" i="70"/>
  <c r="W24" i="70"/>
  <c r="V24" i="70"/>
  <c r="U24" i="70"/>
  <c r="T24" i="70"/>
  <c r="S24" i="70"/>
  <c r="R24" i="70"/>
  <c r="Q24" i="70"/>
  <c r="P24" i="70"/>
  <c r="O24" i="70"/>
  <c r="N24" i="70"/>
  <c r="M24" i="70"/>
  <c r="L24" i="70"/>
  <c r="K24" i="70"/>
  <c r="J24" i="70"/>
  <c r="I24" i="70"/>
  <c r="H24" i="70"/>
  <c r="G24" i="70"/>
  <c r="F24" i="70"/>
  <c r="E24" i="70"/>
  <c r="D24" i="70"/>
  <c r="C24"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E23" i="70"/>
  <c r="AI23" i="70" s="1"/>
  <c r="D23" i="70"/>
  <c r="C23" i="70"/>
  <c r="AE23" i="70" s="1"/>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D22" i="70"/>
  <c r="C22" i="70"/>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E21" i="70"/>
  <c r="D21" i="70"/>
  <c r="C21"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D20" i="70"/>
  <c r="C20"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AF19" i="70" s="1"/>
  <c r="E19" i="70"/>
  <c r="D19" i="70"/>
  <c r="C19" i="70"/>
  <c r="AD18" i="70"/>
  <c r="AC18" i="70"/>
  <c r="AB18" i="70"/>
  <c r="AA18" i="70"/>
  <c r="Z18" i="70"/>
  <c r="Y18" i="70"/>
  <c r="X18" i="70"/>
  <c r="W18" i="70"/>
  <c r="V18" i="70"/>
  <c r="U18" i="70"/>
  <c r="T18" i="70"/>
  <c r="S18" i="70"/>
  <c r="R18" i="70"/>
  <c r="Q18" i="70"/>
  <c r="P18" i="70"/>
  <c r="O18" i="70"/>
  <c r="N18" i="70"/>
  <c r="M18" i="70"/>
  <c r="L18" i="70"/>
  <c r="K18" i="70"/>
  <c r="J18" i="70"/>
  <c r="I18" i="70"/>
  <c r="H18" i="70"/>
  <c r="G18" i="70"/>
  <c r="F18" i="70"/>
  <c r="E18" i="70"/>
  <c r="D18" i="70"/>
  <c r="C18"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AF17" i="70" s="1"/>
  <c r="E17" i="70"/>
  <c r="D17" i="70"/>
  <c r="C17"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AI16" i="70" s="1"/>
  <c r="D16" i="70"/>
  <c r="C16" i="70"/>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AF15" i="70" s="1"/>
  <c r="E15" i="70"/>
  <c r="D15" i="70"/>
  <c r="C15" i="70"/>
  <c r="AD14" i="70"/>
  <c r="AC14" i="70"/>
  <c r="AB14" i="70"/>
  <c r="AA14" i="70"/>
  <c r="Z14" i="70"/>
  <c r="Y14" i="70"/>
  <c r="X14" i="70"/>
  <c r="W14" i="70"/>
  <c r="V14" i="70"/>
  <c r="U14" i="70"/>
  <c r="T14" i="70"/>
  <c r="S14" i="70"/>
  <c r="R14" i="70"/>
  <c r="Q14" i="70"/>
  <c r="P14" i="70"/>
  <c r="O14" i="70"/>
  <c r="N14" i="70"/>
  <c r="M14" i="70"/>
  <c r="L14" i="70"/>
  <c r="K14" i="70"/>
  <c r="J14" i="70"/>
  <c r="I14" i="70"/>
  <c r="H14" i="70"/>
  <c r="G14" i="70"/>
  <c r="F14" i="70"/>
  <c r="E14" i="70"/>
  <c r="D14" i="70"/>
  <c r="C14" i="70"/>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AF13" i="70" s="1"/>
  <c r="E13" i="70"/>
  <c r="D13" i="70"/>
  <c r="C13" i="70"/>
  <c r="AD12" i="70"/>
  <c r="AC12" i="70"/>
  <c r="AB12" i="70"/>
  <c r="AA12" i="70"/>
  <c r="Z12" i="70"/>
  <c r="Y12" i="70"/>
  <c r="X12" i="70"/>
  <c r="W12" i="70"/>
  <c r="V12" i="70"/>
  <c r="U12" i="70"/>
  <c r="T12" i="70"/>
  <c r="S12" i="70"/>
  <c r="R12" i="70"/>
  <c r="Q12" i="70"/>
  <c r="P12" i="70"/>
  <c r="O12" i="70"/>
  <c r="N12" i="70"/>
  <c r="M12" i="70"/>
  <c r="L12" i="70"/>
  <c r="K12" i="70"/>
  <c r="J12" i="70"/>
  <c r="I12" i="70"/>
  <c r="H12" i="70"/>
  <c r="G12" i="70"/>
  <c r="F12" i="70"/>
  <c r="E12" i="70"/>
  <c r="D12" i="70"/>
  <c r="C12" i="70"/>
  <c r="AD11"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D10" i="70"/>
  <c r="AD35" i="70" s="1"/>
  <c r="AC10" i="70"/>
  <c r="AC35" i="70" s="1"/>
  <c r="AB10" i="70"/>
  <c r="AA10" i="70"/>
  <c r="Z10" i="70"/>
  <c r="Y10" i="70"/>
  <c r="Y35" i="70" s="1"/>
  <c r="X10" i="70"/>
  <c r="W10" i="70"/>
  <c r="V10" i="70"/>
  <c r="V35" i="70" s="1"/>
  <c r="U10" i="70"/>
  <c r="U35" i="70" s="1"/>
  <c r="T10" i="70"/>
  <c r="S10" i="70"/>
  <c r="S35" i="70" s="1"/>
  <c r="R10" i="70"/>
  <c r="Q10" i="70"/>
  <c r="Q35" i="70" s="1"/>
  <c r="P10" i="70"/>
  <c r="P35" i="70" s="1"/>
  <c r="O10" i="70"/>
  <c r="O35" i="70" s="1"/>
  <c r="N10" i="70"/>
  <c r="M10" i="70"/>
  <c r="M35" i="70" s="1"/>
  <c r="L10" i="70"/>
  <c r="L35" i="70" s="1"/>
  <c r="K10" i="70"/>
  <c r="K35" i="70" s="1"/>
  <c r="J10" i="70"/>
  <c r="J35" i="70" s="1"/>
  <c r="I10" i="70"/>
  <c r="I35" i="70" s="1"/>
  <c r="H10" i="70"/>
  <c r="G10" i="70"/>
  <c r="G35" i="70" s="1"/>
  <c r="F10" i="70"/>
  <c r="E10" i="70"/>
  <c r="E35" i="70" s="1"/>
  <c r="D10" i="70"/>
  <c r="D35" i="70" s="1"/>
  <c r="C10" i="70"/>
  <c r="I25" i="66"/>
  <c r="I8" i="66"/>
  <c r="I6" i="66"/>
  <c r="I28" i="66"/>
  <c r="G28" i="66"/>
  <c r="F28" i="66"/>
  <c r="E28" i="66"/>
  <c r="D28" i="66"/>
  <c r="C28" i="66"/>
  <c r="B28" i="66"/>
  <c r="I27" i="66"/>
  <c r="G27" i="66"/>
  <c r="F27" i="66"/>
  <c r="E27" i="66"/>
  <c r="D27" i="66"/>
  <c r="C27" i="66"/>
  <c r="B27" i="66"/>
  <c r="J27" i="66" s="1"/>
  <c r="I26" i="66"/>
  <c r="G26" i="66"/>
  <c r="F26" i="66"/>
  <c r="E26" i="66"/>
  <c r="D26" i="66"/>
  <c r="C26" i="66"/>
  <c r="B26" i="66"/>
  <c r="G25" i="66"/>
  <c r="F25" i="66"/>
  <c r="E25" i="66"/>
  <c r="D25" i="66"/>
  <c r="C25" i="66"/>
  <c r="B25" i="66"/>
  <c r="I24" i="66"/>
  <c r="G24" i="66"/>
  <c r="F24" i="66"/>
  <c r="E24" i="66"/>
  <c r="D24" i="66"/>
  <c r="C24" i="66"/>
  <c r="B24" i="66"/>
  <c r="J24" i="66" s="1"/>
  <c r="I23" i="66"/>
  <c r="J23" i="66" s="1"/>
  <c r="G23" i="66"/>
  <c r="F23" i="66"/>
  <c r="E23" i="66"/>
  <c r="D23" i="66"/>
  <c r="C23" i="66"/>
  <c r="B23" i="66"/>
  <c r="I22" i="66"/>
  <c r="J22" i="66" s="1"/>
  <c r="G22" i="66"/>
  <c r="F22" i="66"/>
  <c r="E22" i="66"/>
  <c r="D22" i="66"/>
  <c r="C22" i="66"/>
  <c r="B22" i="66"/>
  <c r="I21" i="66"/>
  <c r="G21" i="66"/>
  <c r="F21" i="66"/>
  <c r="E21" i="66"/>
  <c r="D21" i="66"/>
  <c r="C21" i="66"/>
  <c r="B21" i="66"/>
  <c r="H21" i="66" s="1"/>
  <c r="I20" i="66"/>
  <c r="G20" i="66"/>
  <c r="F20" i="66"/>
  <c r="E20" i="66"/>
  <c r="D20" i="66"/>
  <c r="C20" i="66"/>
  <c r="B20" i="66"/>
  <c r="I19" i="66"/>
  <c r="G19" i="66"/>
  <c r="F19" i="66"/>
  <c r="E19" i="66"/>
  <c r="D19" i="66"/>
  <c r="C19" i="66"/>
  <c r="B19" i="66"/>
  <c r="I18" i="66"/>
  <c r="G18" i="66"/>
  <c r="F18" i="66"/>
  <c r="E18" i="66"/>
  <c r="D18" i="66"/>
  <c r="C18" i="66"/>
  <c r="H18" i="66" s="1"/>
  <c r="B18" i="66"/>
  <c r="I17" i="66"/>
  <c r="G17" i="66"/>
  <c r="F17" i="66"/>
  <c r="E17" i="66"/>
  <c r="D17" i="66"/>
  <c r="C17" i="66"/>
  <c r="B17" i="66"/>
  <c r="I16" i="66"/>
  <c r="G16" i="66"/>
  <c r="F16" i="66"/>
  <c r="E16" i="66"/>
  <c r="D16" i="66"/>
  <c r="C16" i="66"/>
  <c r="B16" i="66"/>
  <c r="I15" i="66"/>
  <c r="G15" i="66"/>
  <c r="F15" i="66"/>
  <c r="E15" i="66"/>
  <c r="D15" i="66"/>
  <c r="C15" i="66"/>
  <c r="B15" i="66"/>
  <c r="I14" i="66"/>
  <c r="G14" i="66"/>
  <c r="F14" i="66"/>
  <c r="E14" i="66"/>
  <c r="D14" i="66"/>
  <c r="C14" i="66"/>
  <c r="H14" i="66" s="1"/>
  <c r="B14" i="66"/>
  <c r="I13" i="66"/>
  <c r="G13" i="66"/>
  <c r="F13" i="66"/>
  <c r="E13" i="66"/>
  <c r="D13" i="66"/>
  <c r="C13" i="66"/>
  <c r="B13" i="66"/>
  <c r="I12" i="66"/>
  <c r="G12" i="66"/>
  <c r="F12" i="66"/>
  <c r="E12" i="66"/>
  <c r="D12" i="66"/>
  <c r="C12" i="66"/>
  <c r="B12" i="66"/>
  <c r="J12" i="66" s="1"/>
  <c r="I11" i="66"/>
  <c r="G11" i="66"/>
  <c r="F11" i="66"/>
  <c r="E11" i="66"/>
  <c r="D11" i="66"/>
  <c r="C11" i="66"/>
  <c r="B11" i="66"/>
  <c r="I10" i="66"/>
  <c r="J10" i="66" s="1"/>
  <c r="G10" i="66"/>
  <c r="F10" i="66"/>
  <c r="E10" i="66"/>
  <c r="D10" i="66"/>
  <c r="C10" i="66"/>
  <c r="H10" i="66" s="1"/>
  <c r="B10" i="66"/>
  <c r="I9" i="66"/>
  <c r="G9" i="66"/>
  <c r="F9" i="66"/>
  <c r="E9" i="66"/>
  <c r="D9" i="66"/>
  <c r="C9" i="66"/>
  <c r="B9" i="66"/>
  <c r="G8" i="66"/>
  <c r="F8" i="66"/>
  <c r="E8" i="66"/>
  <c r="D8" i="66"/>
  <c r="C8" i="66"/>
  <c r="B8" i="66"/>
  <c r="I7" i="66"/>
  <c r="J7" i="66" s="1"/>
  <c r="G7" i="66"/>
  <c r="F7" i="66"/>
  <c r="E7" i="66"/>
  <c r="D7" i="66"/>
  <c r="C7" i="66"/>
  <c r="B7" i="66"/>
  <c r="G6" i="66"/>
  <c r="F6" i="66"/>
  <c r="E6" i="66"/>
  <c r="D6" i="66"/>
  <c r="C6" i="66"/>
  <c r="B6" i="66"/>
  <c r="I5" i="66"/>
  <c r="G5" i="66"/>
  <c r="F5" i="66"/>
  <c r="E5" i="66"/>
  <c r="D5" i="66"/>
  <c r="H5" i="66" s="1"/>
  <c r="C5" i="66"/>
  <c r="B5" i="66"/>
  <c r="F18" i="102"/>
  <c r="G18" i="102" s="1"/>
  <c r="F17" i="102"/>
  <c r="G17" i="102" s="1"/>
  <c r="F16" i="102"/>
  <c r="F15" i="102"/>
  <c r="G15" i="102" s="1"/>
  <c r="F14" i="102"/>
  <c r="G14" i="102" s="1"/>
  <c r="F13" i="102"/>
  <c r="G13" i="102" s="1"/>
  <c r="F12" i="102"/>
  <c r="F11" i="102"/>
  <c r="G11" i="102" s="1"/>
  <c r="F10" i="102"/>
  <c r="G10" i="102" s="1"/>
  <c r="F9" i="102"/>
  <c r="G9" i="102" s="1"/>
  <c r="F8" i="102"/>
  <c r="G8" i="102" s="1"/>
  <c r="F7" i="102"/>
  <c r="G7" i="102" s="1"/>
  <c r="F6" i="102"/>
  <c r="G6" i="102" s="1"/>
  <c r="B18" i="102"/>
  <c r="B17" i="102"/>
  <c r="B16" i="102"/>
  <c r="B15" i="102"/>
  <c r="B14" i="102"/>
  <c r="B13" i="102"/>
  <c r="B12" i="102"/>
  <c r="B11" i="102"/>
  <c r="B10" i="102"/>
  <c r="B9" i="102"/>
  <c r="B8" i="102"/>
  <c r="B7" i="102"/>
  <c r="B6" i="102"/>
  <c r="G59" i="110"/>
  <c r="G60" i="110"/>
  <c r="G61" i="110"/>
  <c r="D6" i="110"/>
  <c r="E6" i="110"/>
  <c r="M6" i="110" s="1"/>
  <c r="F6" i="110"/>
  <c r="D7" i="110"/>
  <c r="L7" i="110" s="1"/>
  <c r="E7" i="110"/>
  <c r="F7" i="110"/>
  <c r="N7" i="110" s="1"/>
  <c r="D8" i="110"/>
  <c r="E8" i="110"/>
  <c r="F8" i="64" s="1"/>
  <c r="F8" i="110"/>
  <c r="D9" i="110"/>
  <c r="L9" i="110" s="1"/>
  <c r="E9" i="110"/>
  <c r="F9" i="64" s="1"/>
  <c r="F9" i="110"/>
  <c r="N9" i="110" s="1"/>
  <c r="D10" i="110"/>
  <c r="E10" i="110"/>
  <c r="M10" i="110" s="1"/>
  <c r="F10" i="110"/>
  <c r="N10" i="110" s="1"/>
  <c r="D11" i="110"/>
  <c r="E11" i="64" s="1"/>
  <c r="E11" i="110"/>
  <c r="F11" i="64" s="1"/>
  <c r="F11" i="110"/>
  <c r="N11" i="110" s="1"/>
  <c r="D12" i="110"/>
  <c r="E12" i="110"/>
  <c r="M12" i="110" s="1"/>
  <c r="F12" i="110"/>
  <c r="N12" i="110" s="1"/>
  <c r="D13" i="110"/>
  <c r="E13" i="64" s="1"/>
  <c r="E13" i="110"/>
  <c r="F13" i="110"/>
  <c r="G13" i="64" s="1"/>
  <c r="D14" i="110"/>
  <c r="E14" i="110"/>
  <c r="M14" i="110" s="1"/>
  <c r="F14" i="110"/>
  <c r="N14" i="110" s="1"/>
  <c r="D15" i="110"/>
  <c r="L15" i="110" s="1"/>
  <c r="E15" i="110"/>
  <c r="F15" i="110"/>
  <c r="G15" i="64" s="1"/>
  <c r="D16" i="110"/>
  <c r="E16" i="110"/>
  <c r="M16" i="110" s="1"/>
  <c r="F16" i="110"/>
  <c r="N16" i="110" s="1"/>
  <c r="D17" i="110"/>
  <c r="E17" i="64" s="1"/>
  <c r="E17" i="110"/>
  <c r="F17" i="64" s="1"/>
  <c r="F17" i="110"/>
  <c r="G17" i="64" s="1"/>
  <c r="D18" i="110"/>
  <c r="L18" i="110" s="1"/>
  <c r="E18" i="110"/>
  <c r="M18" i="110" s="1"/>
  <c r="F18" i="110"/>
  <c r="D19" i="110"/>
  <c r="E19" i="64" s="1"/>
  <c r="E19" i="110"/>
  <c r="F19" i="110"/>
  <c r="N19" i="110" s="1"/>
  <c r="D20" i="110"/>
  <c r="E20" i="110"/>
  <c r="M20" i="110" s="1"/>
  <c r="F20" i="110"/>
  <c r="N20" i="110" s="1"/>
  <c r="D21" i="110"/>
  <c r="E21" i="64" s="1"/>
  <c r="E21" i="110"/>
  <c r="F21" i="110"/>
  <c r="G21" i="64" s="1"/>
  <c r="D22" i="110"/>
  <c r="E22" i="64" s="1"/>
  <c r="E22" i="110"/>
  <c r="F22" i="64" s="1"/>
  <c r="F22" i="110"/>
  <c r="D23" i="110"/>
  <c r="E23" i="64" s="1"/>
  <c r="E23" i="110"/>
  <c r="M23" i="110" s="1"/>
  <c r="F23" i="110"/>
  <c r="G23" i="64" s="1"/>
  <c r="D24" i="110"/>
  <c r="L24" i="110" s="1"/>
  <c r="E24" i="110"/>
  <c r="F24" i="64" s="1"/>
  <c r="F24" i="110"/>
  <c r="D25" i="110"/>
  <c r="E25" i="64" s="1"/>
  <c r="H25" i="64" s="1"/>
  <c r="E25" i="110"/>
  <c r="F25" i="64" s="1"/>
  <c r="F25" i="110"/>
  <c r="G25" i="64" s="1"/>
  <c r="D26" i="110"/>
  <c r="E26" i="110"/>
  <c r="F26" i="64" s="1"/>
  <c r="F26" i="110"/>
  <c r="D27" i="110"/>
  <c r="E27" i="64" s="1"/>
  <c r="H27" i="64" s="1"/>
  <c r="E27" i="110"/>
  <c r="M27" i="110" s="1"/>
  <c r="F27" i="110"/>
  <c r="G27" i="64" s="1"/>
  <c r="D28" i="110"/>
  <c r="E28" i="110"/>
  <c r="M28" i="110" s="1"/>
  <c r="F28" i="110"/>
  <c r="G28" i="64" s="1"/>
  <c r="D29" i="110"/>
  <c r="L29" i="110" s="1"/>
  <c r="E29" i="110"/>
  <c r="F29" i="110"/>
  <c r="N29" i="110" s="1"/>
  <c r="D30" i="110"/>
  <c r="E30" i="110"/>
  <c r="F30" i="110"/>
  <c r="D31" i="110"/>
  <c r="E31" i="64" s="1"/>
  <c r="H31" i="64" s="1"/>
  <c r="E31" i="110"/>
  <c r="F31" i="110"/>
  <c r="G31" i="64" s="1"/>
  <c r="D32" i="110"/>
  <c r="E32" i="64" s="1"/>
  <c r="E32" i="110"/>
  <c r="M32" i="110" s="1"/>
  <c r="F32" i="110"/>
  <c r="N32" i="110" s="1"/>
  <c r="D33" i="110"/>
  <c r="E33" i="64" s="1"/>
  <c r="H33" i="64" s="1"/>
  <c r="E33" i="110"/>
  <c r="F33" i="110"/>
  <c r="N33" i="110" s="1"/>
  <c r="D34" i="110"/>
  <c r="E34" i="110"/>
  <c r="F34" i="64" s="1"/>
  <c r="F34" i="110"/>
  <c r="N34" i="110" s="1"/>
  <c r="D35" i="110"/>
  <c r="E35" i="64" s="1"/>
  <c r="H35" i="64" s="1"/>
  <c r="E35" i="110"/>
  <c r="F35" i="64" s="1"/>
  <c r="F35" i="110"/>
  <c r="G35" i="64" s="1"/>
  <c r="D36" i="110"/>
  <c r="E36" i="110"/>
  <c r="M36" i="110" s="1"/>
  <c r="F36" i="110"/>
  <c r="D37" i="110"/>
  <c r="E37" i="64" s="1"/>
  <c r="H37" i="64" s="1"/>
  <c r="E37" i="110"/>
  <c r="M37" i="110" s="1"/>
  <c r="F37" i="110"/>
  <c r="G37" i="64" s="1"/>
  <c r="D38" i="110"/>
  <c r="E38" i="64" s="1"/>
  <c r="H38" i="64" s="1"/>
  <c r="E38" i="110"/>
  <c r="F38" i="64" s="1"/>
  <c r="F38" i="110"/>
  <c r="G38" i="64" s="1"/>
  <c r="D39" i="110"/>
  <c r="E39" i="64" s="1"/>
  <c r="H39" i="64" s="1"/>
  <c r="E39" i="110"/>
  <c r="F39" i="110"/>
  <c r="G39" i="64" s="1"/>
  <c r="D40" i="110"/>
  <c r="E40" i="110"/>
  <c r="M40" i="110" s="1"/>
  <c r="F40" i="110"/>
  <c r="N40" i="110" s="1"/>
  <c r="D41" i="110"/>
  <c r="E41" i="64" s="1"/>
  <c r="E41" i="110"/>
  <c r="F41" i="110"/>
  <c r="N41" i="110" s="1"/>
  <c r="D42" i="110"/>
  <c r="E42" i="110"/>
  <c r="M42" i="110" s="1"/>
  <c r="F42" i="110"/>
  <c r="D43" i="110"/>
  <c r="E43" i="64" s="1"/>
  <c r="E43" i="110"/>
  <c r="F43" i="110"/>
  <c r="N43" i="110" s="1"/>
  <c r="D44" i="110"/>
  <c r="E44" i="110"/>
  <c r="M44" i="110" s="1"/>
  <c r="F44" i="110"/>
  <c r="D45" i="110"/>
  <c r="L45" i="110" s="1"/>
  <c r="E45" i="110"/>
  <c r="M45" i="110" s="1"/>
  <c r="F45" i="110"/>
  <c r="G45" i="64" s="1"/>
  <c r="D46" i="110"/>
  <c r="E46" i="110"/>
  <c r="M46" i="110" s="1"/>
  <c r="F46" i="110"/>
  <c r="D47" i="110"/>
  <c r="L47" i="110" s="1"/>
  <c r="E47" i="110"/>
  <c r="F47" i="110"/>
  <c r="N47" i="110" s="1"/>
  <c r="D48" i="110"/>
  <c r="E48" i="110"/>
  <c r="F48" i="64" s="1"/>
  <c r="F48" i="110"/>
  <c r="N48" i="110" s="1"/>
  <c r="D49" i="110"/>
  <c r="E49" i="110"/>
  <c r="F49" i="110"/>
  <c r="N49" i="110" s="1"/>
  <c r="D50" i="110"/>
  <c r="E50" i="64" s="1"/>
  <c r="E50" i="110"/>
  <c r="F50" i="64" s="1"/>
  <c r="F50" i="110"/>
  <c r="D51" i="110"/>
  <c r="E51" i="64" s="1"/>
  <c r="E51" i="110"/>
  <c r="F51" i="110"/>
  <c r="N51" i="110" s="1"/>
  <c r="D52" i="110"/>
  <c r="E52" i="110"/>
  <c r="F52" i="64" s="1"/>
  <c r="F52" i="110"/>
  <c r="D53" i="110"/>
  <c r="L53" i="110" s="1"/>
  <c r="E53" i="110"/>
  <c r="F53" i="110"/>
  <c r="N53" i="110" s="1"/>
  <c r="D54" i="110"/>
  <c r="L54" i="110" s="1"/>
  <c r="E54" i="110"/>
  <c r="F54" i="64" s="1"/>
  <c r="F54" i="110"/>
  <c r="G54" i="64" s="1"/>
  <c r="D55" i="110"/>
  <c r="E55" i="64" s="1"/>
  <c r="H55" i="64" s="1"/>
  <c r="E55" i="110"/>
  <c r="F55" i="110"/>
  <c r="N55" i="110" s="1"/>
  <c r="D56" i="110"/>
  <c r="E56" i="110"/>
  <c r="F56" i="64" s="1"/>
  <c r="F56" i="110"/>
  <c r="N56" i="110" s="1"/>
  <c r="D57" i="110"/>
  <c r="L57" i="110" s="1"/>
  <c r="E57" i="110"/>
  <c r="F57" i="110"/>
  <c r="N57" i="110" s="1"/>
  <c r="D58" i="110"/>
  <c r="E58" i="110"/>
  <c r="M58" i="110" s="1"/>
  <c r="F58" i="110"/>
  <c r="D59" i="110"/>
  <c r="L59" i="110" s="1"/>
  <c r="E59" i="110"/>
  <c r="M59" i="110" s="1"/>
  <c r="F59" i="110"/>
  <c r="N59" i="110" s="1"/>
  <c r="D60" i="110"/>
  <c r="L60" i="110" s="1"/>
  <c r="E60" i="110"/>
  <c r="F60" i="110"/>
  <c r="N60" i="110" s="1"/>
  <c r="D61" i="110"/>
  <c r="E61" i="110"/>
  <c r="M61" i="110" s="1"/>
  <c r="F61" i="110"/>
  <c r="N61" i="110" s="1"/>
  <c r="D62" i="110"/>
  <c r="L62" i="110" s="1"/>
  <c r="E62" i="110"/>
  <c r="F62" i="64" s="1"/>
  <c r="F62" i="110"/>
  <c r="G62" i="64" s="1"/>
  <c r="D63" i="110"/>
  <c r="E63" i="64" s="1"/>
  <c r="E63" i="110"/>
  <c r="M63" i="110" s="1"/>
  <c r="F63" i="110"/>
  <c r="N63" i="110" s="1"/>
  <c r="D64" i="110"/>
  <c r="E64" i="110"/>
  <c r="F64" i="64" s="1"/>
  <c r="F64" i="110"/>
  <c r="G64" i="64" s="1"/>
  <c r="E5" i="110"/>
  <c r="F5" i="64" s="1"/>
  <c r="F5" i="110"/>
  <c r="G5" i="64" s="1"/>
  <c r="D5" i="110"/>
  <c r="E5" i="64" s="1"/>
  <c r="B5" i="110"/>
  <c r="C5" i="64" s="1"/>
  <c r="B25" i="110"/>
  <c r="C25" i="64" s="1"/>
  <c r="B26" i="110"/>
  <c r="C26" i="64" s="1"/>
  <c r="B27" i="110"/>
  <c r="B28" i="110"/>
  <c r="C28" i="64" s="1"/>
  <c r="B29" i="110"/>
  <c r="C29" i="64" s="1"/>
  <c r="B30" i="110"/>
  <c r="C30" i="64" s="1"/>
  <c r="B31" i="110"/>
  <c r="C31" i="64" s="1"/>
  <c r="B32" i="110"/>
  <c r="C32" i="64" s="1"/>
  <c r="B33" i="110"/>
  <c r="C33" i="64" s="1"/>
  <c r="B34" i="110"/>
  <c r="C34" i="64" s="1"/>
  <c r="B35" i="110"/>
  <c r="C35" i="64" s="1"/>
  <c r="B36" i="110"/>
  <c r="B37" i="110"/>
  <c r="C37" i="64" s="1"/>
  <c r="B38" i="110"/>
  <c r="C38" i="64" s="1"/>
  <c r="B39" i="110"/>
  <c r="B40" i="110"/>
  <c r="B41" i="110"/>
  <c r="C41" i="64" s="1"/>
  <c r="B42" i="110"/>
  <c r="C42" i="64" s="1"/>
  <c r="B43" i="110"/>
  <c r="C43" i="64" s="1"/>
  <c r="B44" i="110"/>
  <c r="C44" i="64" s="1"/>
  <c r="B45" i="110"/>
  <c r="C45" i="64" s="1"/>
  <c r="B46" i="110"/>
  <c r="C46" i="64" s="1"/>
  <c r="B47" i="110"/>
  <c r="C47" i="64" s="1"/>
  <c r="B48" i="110"/>
  <c r="C48" i="64" s="1"/>
  <c r="B49" i="110"/>
  <c r="C49" i="64" s="1"/>
  <c r="B50" i="110"/>
  <c r="C50" i="64" s="1"/>
  <c r="B51" i="110"/>
  <c r="C51" i="64" s="1"/>
  <c r="B52" i="110"/>
  <c r="C52" i="64" s="1"/>
  <c r="B53" i="110"/>
  <c r="C53" i="64" s="1"/>
  <c r="B54" i="110"/>
  <c r="C54" i="64" s="1"/>
  <c r="B55" i="110"/>
  <c r="C55" i="64" s="1"/>
  <c r="B56" i="110"/>
  <c r="C56" i="64" s="1"/>
  <c r="B57" i="110"/>
  <c r="C57" i="64" s="1"/>
  <c r="B58" i="110"/>
  <c r="C58" i="64" s="1"/>
  <c r="B59" i="110"/>
  <c r="B60" i="110"/>
  <c r="B61" i="110"/>
  <c r="B62" i="110"/>
  <c r="C62" i="64" s="1"/>
  <c r="B63" i="110"/>
  <c r="C63" i="64" s="1"/>
  <c r="B64" i="110"/>
  <c r="B6" i="110"/>
  <c r="B7" i="110"/>
  <c r="C7" i="64" s="1"/>
  <c r="B8" i="110"/>
  <c r="C8" i="64" s="1"/>
  <c r="B9" i="110"/>
  <c r="C9" i="64" s="1"/>
  <c r="B10" i="110"/>
  <c r="C10" i="64" s="1"/>
  <c r="B11" i="110"/>
  <c r="C11" i="64" s="1"/>
  <c r="B12" i="110"/>
  <c r="C12" i="64" s="1"/>
  <c r="B13" i="110"/>
  <c r="C13" i="64" s="1"/>
  <c r="B14" i="110"/>
  <c r="C14" i="64" s="1"/>
  <c r="B15" i="110"/>
  <c r="C15" i="64" s="1"/>
  <c r="B16" i="110"/>
  <c r="C16" i="64" s="1"/>
  <c r="B17" i="110"/>
  <c r="C17" i="64" s="1"/>
  <c r="B18" i="110"/>
  <c r="C18" i="64" s="1"/>
  <c r="B19" i="110"/>
  <c r="C19" i="64" s="1"/>
  <c r="B20" i="110"/>
  <c r="C20" i="64" s="1"/>
  <c r="B21" i="110"/>
  <c r="B22" i="110"/>
  <c r="C22" i="64" s="1"/>
  <c r="B23" i="110"/>
  <c r="C23" i="64" s="1"/>
  <c r="B24" i="110"/>
  <c r="C24" i="64" s="1"/>
  <c r="B7" i="64"/>
  <c r="B8" i="64"/>
  <c r="B9" i="64"/>
  <c r="B10" i="64"/>
  <c r="B11" i="64"/>
  <c r="B12" i="64"/>
  <c r="B13" i="64"/>
  <c r="B14" i="64"/>
  <c r="B15" i="64"/>
  <c r="B16" i="64"/>
  <c r="B17" i="64"/>
  <c r="B18" i="64"/>
  <c r="B19" i="64"/>
  <c r="B20" i="64"/>
  <c r="B21" i="64"/>
  <c r="B22" i="64"/>
  <c r="B23" i="64"/>
  <c r="B24" i="64"/>
  <c r="B25" i="64"/>
  <c r="B26" i="64"/>
  <c r="B27" i="64"/>
  <c r="B28" i="64"/>
  <c r="B29" i="64"/>
  <c r="B30" i="64"/>
  <c r="B31" i="64"/>
  <c r="B32" i="64"/>
  <c r="B33" i="64"/>
  <c r="B34" i="64"/>
  <c r="B35" i="64"/>
  <c r="B36" i="64"/>
  <c r="B37" i="64"/>
  <c r="B38" i="64"/>
  <c r="B39" i="64"/>
  <c r="B40" i="64"/>
  <c r="B41" i="64"/>
  <c r="B42" i="64"/>
  <c r="B43" i="64"/>
  <c r="B44" i="64"/>
  <c r="B45" i="64"/>
  <c r="B46" i="64"/>
  <c r="B47" i="64"/>
  <c r="B48" i="64"/>
  <c r="B49" i="64"/>
  <c r="B50" i="64"/>
  <c r="B51" i="64"/>
  <c r="B52" i="64"/>
  <c r="B53" i="64"/>
  <c r="B54" i="64"/>
  <c r="B55" i="64"/>
  <c r="B56" i="64"/>
  <c r="B57" i="64"/>
  <c r="B58" i="64"/>
  <c r="B59" i="64"/>
  <c r="B60" i="64"/>
  <c r="B61" i="64"/>
  <c r="B62" i="64"/>
  <c r="B63" i="64"/>
  <c r="B64" i="64"/>
  <c r="AD80" i="63"/>
  <c r="AD79" i="63"/>
  <c r="AD78" i="63"/>
  <c r="AD77" i="63"/>
  <c r="AD76" i="63"/>
  <c r="AD75" i="63"/>
  <c r="AD74" i="63"/>
  <c r="AD73" i="63"/>
  <c r="AD72" i="63"/>
  <c r="AD71" i="63"/>
  <c r="AD70" i="63"/>
  <c r="AB80" i="63"/>
  <c r="AB79" i="63"/>
  <c r="AB78" i="63"/>
  <c r="AB77" i="63"/>
  <c r="AB76" i="63"/>
  <c r="AB75" i="63"/>
  <c r="AB74" i="63"/>
  <c r="AB73" i="63"/>
  <c r="AB72" i="63"/>
  <c r="AB71" i="63"/>
  <c r="AB70" i="63"/>
  <c r="Z80" i="63"/>
  <c r="Z79" i="63"/>
  <c r="Z78" i="63"/>
  <c r="Z77" i="63"/>
  <c r="Z76" i="63"/>
  <c r="Z75" i="63"/>
  <c r="Z74" i="63"/>
  <c r="Z73" i="63"/>
  <c r="Z72" i="63"/>
  <c r="Z71" i="63"/>
  <c r="Z70" i="63"/>
  <c r="X80" i="63"/>
  <c r="X79" i="63"/>
  <c r="X78" i="63"/>
  <c r="X77" i="63"/>
  <c r="X76" i="63"/>
  <c r="X75" i="63"/>
  <c r="X74" i="63"/>
  <c r="X73" i="63"/>
  <c r="X72" i="63"/>
  <c r="X71" i="63"/>
  <c r="X70" i="63"/>
  <c r="V80" i="63"/>
  <c r="V79" i="63"/>
  <c r="V78" i="63"/>
  <c r="V77" i="63"/>
  <c r="V76" i="63"/>
  <c r="V75" i="63"/>
  <c r="V74" i="63"/>
  <c r="V73" i="63"/>
  <c r="V72" i="63"/>
  <c r="V71" i="63"/>
  <c r="V70" i="63"/>
  <c r="T80" i="63"/>
  <c r="T79" i="63"/>
  <c r="T78" i="63"/>
  <c r="T77" i="63"/>
  <c r="T76" i="63"/>
  <c r="T75" i="63"/>
  <c r="T74" i="63"/>
  <c r="T73" i="63"/>
  <c r="T72" i="63"/>
  <c r="T71" i="63"/>
  <c r="T70" i="63"/>
  <c r="R80" i="63"/>
  <c r="R79" i="63"/>
  <c r="R78" i="63"/>
  <c r="R77" i="63"/>
  <c r="R76" i="63"/>
  <c r="R75" i="63"/>
  <c r="R74" i="63"/>
  <c r="R73" i="63"/>
  <c r="R72" i="63"/>
  <c r="R71" i="63"/>
  <c r="R70" i="63"/>
  <c r="P80" i="63"/>
  <c r="P79" i="63"/>
  <c r="P78" i="63"/>
  <c r="P77" i="63"/>
  <c r="P76" i="63"/>
  <c r="P75" i="63"/>
  <c r="P74" i="63"/>
  <c r="P73" i="63"/>
  <c r="P72" i="63"/>
  <c r="P71" i="63"/>
  <c r="P70" i="63"/>
  <c r="N80" i="63"/>
  <c r="N79" i="63"/>
  <c r="N78" i="63"/>
  <c r="N77" i="63"/>
  <c r="N76" i="63"/>
  <c r="N75" i="63"/>
  <c r="N74" i="63"/>
  <c r="N73" i="63"/>
  <c r="N72" i="63"/>
  <c r="N71" i="63"/>
  <c r="N70" i="63"/>
  <c r="L80" i="63"/>
  <c r="L79" i="63"/>
  <c r="L78" i="63"/>
  <c r="L77" i="63"/>
  <c r="L76" i="63"/>
  <c r="L75" i="63"/>
  <c r="L74" i="63"/>
  <c r="L73" i="63"/>
  <c r="L72" i="63"/>
  <c r="L71" i="63"/>
  <c r="L70" i="63"/>
  <c r="J80" i="63"/>
  <c r="J79" i="63"/>
  <c r="J78" i="63"/>
  <c r="J77" i="63"/>
  <c r="J76" i="63"/>
  <c r="J75" i="63"/>
  <c r="J74" i="63"/>
  <c r="J73" i="63"/>
  <c r="J72" i="63"/>
  <c r="J71" i="63"/>
  <c r="J70" i="63"/>
  <c r="H80" i="63"/>
  <c r="H79" i="63"/>
  <c r="H78" i="63"/>
  <c r="H77" i="63"/>
  <c r="H76" i="63"/>
  <c r="H75" i="63"/>
  <c r="H74" i="63"/>
  <c r="H73" i="63"/>
  <c r="H72" i="63"/>
  <c r="H71" i="63"/>
  <c r="H70" i="63"/>
  <c r="F80" i="63"/>
  <c r="F79" i="63"/>
  <c r="F78" i="63"/>
  <c r="F77" i="63"/>
  <c r="F76" i="63"/>
  <c r="F75" i="63"/>
  <c r="F74" i="63"/>
  <c r="F73" i="63"/>
  <c r="F72" i="63"/>
  <c r="F71" i="63"/>
  <c r="F70"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D63"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D62" i="63"/>
  <c r="AD61" i="63"/>
  <c r="AC61" i="63"/>
  <c r="AB61" i="63"/>
  <c r="AA61" i="63"/>
  <c r="Z61" i="63"/>
  <c r="Y61" i="63"/>
  <c r="X61" i="63"/>
  <c r="W61" i="63"/>
  <c r="V61" i="63"/>
  <c r="U61" i="63"/>
  <c r="T61" i="63"/>
  <c r="S61" i="63"/>
  <c r="R61" i="63"/>
  <c r="Q61" i="63"/>
  <c r="P61" i="63"/>
  <c r="O61" i="63"/>
  <c r="N61" i="63"/>
  <c r="M61" i="63"/>
  <c r="L61" i="63"/>
  <c r="K61" i="63"/>
  <c r="J61" i="63"/>
  <c r="I61" i="63"/>
  <c r="H61" i="63"/>
  <c r="D61" i="63"/>
  <c r="G61" i="63"/>
  <c r="F61" i="63"/>
  <c r="AD60" i="63"/>
  <c r="AC60" i="63"/>
  <c r="AB60" i="63"/>
  <c r="AA60" i="63"/>
  <c r="Z60" i="63"/>
  <c r="Y60" i="63"/>
  <c r="X60" i="63"/>
  <c r="W60" i="63"/>
  <c r="V60" i="63"/>
  <c r="U60" i="63"/>
  <c r="T60" i="63"/>
  <c r="S60" i="63"/>
  <c r="R60" i="63"/>
  <c r="Q60" i="63"/>
  <c r="P60" i="63"/>
  <c r="O60" i="63"/>
  <c r="N60" i="63"/>
  <c r="M60" i="63"/>
  <c r="L60" i="63"/>
  <c r="K60" i="63"/>
  <c r="J60" i="63"/>
  <c r="I60" i="63"/>
  <c r="H60" i="63"/>
  <c r="G60" i="63"/>
  <c r="F60" i="63"/>
  <c r="AD59" i="63"/>
  <c r="AC59" i="63"/>
  <c r="AB59" i="63"/>
  <c r="AA59" i="63"/>
  <c r="Z59" i="63"/>
  <c r="Y59" i="63"/>
  <c r="X59" i="63"/>
  <c r="W59" i="63"/>
  <c r="V59" i="63"/>
  <c r="U59" i="63"/>
  <c r="T59" i="63"/>
  <c r="S59" i="63"/>
  <c r="R59" i="63"/>
  <c r="Q59" i="63"/>
  <c r="P59" i="63"/>
  <c r="O59" i="63"/>
  <c r="N59" i="63"/>
  <c r="M59" i="63"/>
  <c r="L59" i="63"/>
  <c r="K59" i="63"/>
  <c r="J59" i="63"/>
  <c r="I59" i="63"/>
  <c r="H59" i="63"/>
  <c r="G59" i="63"/>
  <c r="F59" i="63"/>
  <c r="AD58" i="63"/>
  <c r="AC58" i="63"/>
  <c r="AB58" i="63"/>
  <c r="AA58" i="63"/>
  <c r="Z58" i="63"/>
  <c r="Y58" i="63"/>
  <c r="X58" i="63"/>
  <c r="W58" i="63"/>
  <c r="V58" i="63"/>
  <c r="U58" i="63"/>
  <c r="T58" i="63"/>
  <c r="S58" i="63"/>
  <c r="R58" i="63"/>
  <c r="Q58" i="63"/>
  <c r="P58" i="63"/>
  <c r="O58" i="63"/>
  <c r="N58" i="63"/>
  <c r="M58" i="63"/>
  <c r="L58" i="63"/>
  <c r="K58" i="63"/>
  <c r="J58" i="63"/>
  <c r="I58" i="63"/>
  <c r="H58" i="63"/>
  <c r="G58" i="63"/>
  <c r="F58" i="63"/>
  <c r="AD57" i="63"/>
  <c r="AC57" i="63"/>
  <c r="AB57" i="63"/>
  <c r="AA57" i="63"/>
  <c r="Z57" i="63"/>
  <c r="Y57" i="63"/>
  <c r="X57" i="63"/>
  <c r="W57" i="63"/>
  <c r="V57" i="63"/>
  <c r="U57" i="63"/>
  <c r="T57" i="63"/>
  <c r="S57" i="63"/>
  <c r="R57" i="63"/>
  <c r="Q57" i="63"/>
  <c r="P57" i="63"/>
  <c r="O57" i="63"/>
  <c r="N57" i="63"/>
  <c r="M57" i="63"/>
  <c r="L57" i="63"/>
  <c r="K57" i="63"/>
  <c r="J57" i="63"/>
  <c r="I57" i="63"/>
  <c r="H57" i="63"/>
  <c r="G57" i="63"/>
  <c r="F57" i="63"/>
  <c r="AD56" i="63"/>
  <c r="AC56" i="63"/>
  <c r="AB56" i="63"/>
  <c r="AA56" i="63"/>
  <c r="Z56" i="63"/>
  <c r="Y56" i="63"/>
  <c r="X56" i="63"/>
  <c r="W56" i="63"/>
  <c r="V56" i="63"/>
  <c r="U56" i="63"/>
  <c r="T56" i="63"/>
  <c r="S56" i="63"/>
  <c r="R56" i="63"/>
  <c r="Q56" i="63"/>
  <c r="P56" i="63"/>
  <c r="O56" i="63"/>
  <c r="N56" i="63"/>
  <c r="M56" i="63"/>
  <c r="L56" i="63"/>
  <c r="K56" i="63"/>
  <c r="J56" i="63"/>
  <c r="I56" i="63"/>
  <c r="H56" i="63"/>
  <c r="G56" i="63"/>
  <c r="F56" i="63"/>
  <c r="AD55" i="63"/>
  <c r="AC55" i="63"/>
  <c r="AB55" i="63"/>
  <c r="AA55" i="63"/>
  <c r="Z55" i="63"/>
  <c r="Y55" i="63"/>
  <c r="X55" i="63"/>
  <c r="W55" i="63"/>
  <c r="V55" i="63"/>
  <c r="U55" i="63"/>
  <c r="T55" i="63"/>
  <c r="S55" i="63"/>
  <c r="R55" i="63"/>
  <c r="Q55" i="63"/>
  <c r="P55" i="63"/>
  <c r="O55" i="63"/>
  <c r="N55" i="63"/>
  <c r="M55" i="63"/>
  <c r="L55" i="63"/>
  <c r="K55" i="63"/>
  <c r="J55" i="63"/>
  <c r="I55" i="63"/>
  <c r="H55" i="63"/>
  <c r="G55" i="63"/>
  <c r="F55" i="63"/>
  <c r="AD54" i="63"/>
  <c r="AC54" i="63"/>
  <c r="AB54" i="63"/>
  <c r="AA54" i="63"/>
  <c r="Z54" i="63"/>
  <c r="Y54" i="63"/>
  <c r="X54" i="63"/>
  <c r="W54" i="63"/>
  <c r="V54" i="63"/>
  <c r="U54" i="63"/>
  <c r="T54" i="63"/>
  <c r="S54" i="63"/>
  <c r="R54" i="63"/>
  <c r="Q54" i="63"/>
  <c r="P54" i="63"/>
  <c r="O54" i="63"/>
  <c r="N54" i="63"/>
  <c r="M54" i="63"/>
  <c r="L54" i="63"/>
  <c r="K54" i="63"/>
  <c r="J54" i="63"/>
  <c r="I54" i="63"/>
  <c r="H54" i="63"/>
  <c r="G54" i="63"/>
  <c r="F54" i="63"/>
  <c r="AD53" i="63"/>
  <c r="AC53" i="63"/>
  <c r="AB53" i="63"/>
  <c r="AA53" i="63"/>
  <c r="Z53" i="63"/>
  <c r="Y53" i="63"/>
  <c r="X53" i="63"/>
  <c r="W53" i="63"/>
  <c r="V53" i="63"/>
  <c r="U53" i="63"/>
  <c r="T53" i="63"/>
  <c r="S53" i="63"/>
  <c r="R53" i="63"/>
  <c r="Q53" i="63"/>
  <c r="P53" i="63"/>
  <c r="O53" i="63"/>
  <c r="N53" i="63"/>
  <c r="M53" i="63"/>
  <c r="L53" i="63"/>
  <c r="K53" i="63"/>
  <c r="J53" i="63"/>
  <c r="I53" i="63"/>
  <c r="H53" i="63"/>
  <c r="G53" i="63"/>
  <c r="F53" i="63"/>
  <c r="AD52" i="63"/>
  <c r="AC52" i="63"/>
  <c r="AB52" i="63"/>
  <c r="AA52" i="63"/>
  <c r="Z52" i="63"/>
  <c r="Y52" i="63"/>
  <c r="X52" i="63"/>
  <c r="W52" i="63"/>
  <c r="V52" i="63"/>
  <c r="U52" i="63"/>
  <c r="T52" i="63"/>
  <c r="S52" i="63"/>
  <c r="R52" i="63"/>
  <c r="Q52" i="63"/>
  <c r="P52" i="63"/>
  <c r="O52" i="63"/>
  <c r="N52" i="63"/>
  <c r="M52" i="63"/>
  <c r="L52" i="63"/>
  <c r="K52" i="63"/>
  <c r="J52" i="63"/>
  <c r="I52" i="63"/>
  <c r="H52" i="63"/>
  <c r="G52" i="63"/>
  <c r="F52" i="63"/>
  <c r="AD51" i="63"/>
  <c r="AC51" i="63"/>
  <c r="AB51" i="63"/>
  <c r="AA51" i="63"/>
  <c r="Z51" i="63"/>
  <c r="Y51" i="63"/>
  <c r="X51" i="63"/>
  <c r="W51" i="63"/>
  <c r="V51" i="63"/>
  <c r="U51" i="63"/>
  <c r="T51" i="63"/>
  <c r="S51" i="63"/>
  <c r="R51" i="63"/>
  <c r="Q51" i="63"/>
  <c r="P51" i="63"/>
  <c r="O51" i="63"/>
  <c r="N51" i="63"/>
  <c r="M51" i="63"/>
  <c r="L51" i="63"/>
  <c r="K51" i="63"/>
  <c r="J51" i="63"/>
  <c r="I51" i="63"/>
  <c r="H51" i="63"/>
  <c r="G51" i="63"/>
  <c r="F51" i="63"/>
  <c r="AD50" i="63"/>
  <c r="AC50" i="63"/>
  <c r="AB50" i="63"/>
  <c r="AA50" i="63"/>
  <c r="Z50" i="63"/>
  <c r="Y50" i="63"/>
  <c r="X50" i="63"/>
  <c r="W50" i="63"/>
  <c r="V50" i="63"/>
  <c r="U50" i="63"/>
  <c r="T50" i="63"/>
  <c r="S50" i="63"/>
  <c r="R50" i="63"/>
  <c r="Q50" i="63"/>
  <c r="P50" i="63"/>
  <c r="O50" i="63"/>
  <c r="N50" i="63"/>
  <c r="M50" i="63"/>
  <c r="L50" i="63"/>
  <c r="K50" i="63"/>
  <c r="J50" i="63"/>
  <c r="I50" i="63"/>
  <c r="H50" i="63"/>
  <c r="G50" i="63"/>
  <c r="F50" i="63"/>
  <c r="AD49" i="63"/>
  <c r="AC49" i="63"/>
  <c r="AB49" i="63"/>
  <c r="AA49" i="63"/>
  <c r="Z49" i="63"/>
  <c r="Y49" i="63"/>
  <c r="X49" i="63"/>
  <c r="W49" i="63"/>
  <c r="V49" i="63"/>
  <c r="U49" i="63"/>
  <c r="T49" i="63"/>
  <c r="S49" i="63"/>
  <c r="R49" i="63"/>
  <c r="Q49" i="63"/>
  <c r="P49" i="63"/>
  <c r="O49" i="63"/>
  <c r="N49" i="63"/>
  <c r="M49" i="63"/>
  <c r="L49" i="63"/>
  <c r="K49" i="63"/>
  <c r="J49" i="63"/>
  <c r="I49" i="63"/>
  <c r="H49" i="63"/>
  <c r="G49" i="63"/>
  <c r="F49" i="63"/>
  <c r="AD48" i="63"/>
  <c r="AC48" i="63"/>
  <c r="AB48" i="63"/>
  <c r="AA48" i="63"/>
  <c r="Z48" i="63"/>
  <c r="Y48" i="63"/>
  <c r="X48" i="63"/>
  <c r="W48" i="63"/>
  <c r="V48" i="63"/>
  <c r="U48" i="63"/>
  <c r="T48" i="63"/>
  <c r="S48" i="63"/>
  <c r="R48" i="63"/>
  <c r="Q48" i="63"/>
  <c r="P48" i="63"/>
  <c r="O48" i="63"/>
  <c r="N48" i="63"/>
  <c r="M48" i="63"/>
  <c r="L48" i="63"/>
  <c r="K48" i="63"/>
  <c r="J48" i="63"/>
  <c r="I48" i="63"/>
  <c r="H48" i="63"/>
  <c r="G48" i="63"/>
  <c r="F48" i="63"/>
  <c r="AD47" i="63"/>
  <c r="AC47" i="63"/>
  <c r="AB47" i="63"/>
  <c r="AA47" i="63"/>
  <c r="Z47" i="63"/>
  <c r="Y47" i="63"/>
  <c r="X47" i="63"/>
  <c r="W47" i="63"/>
  <c r="V47" i="63"/>
  <c r="U47" i="63"/>
  <c r="T47" i="63"/>
  <c r="S47" i="63"/>
  <c r="R47" i="63"/>
  <c r="Q47" i="63"/>
  <c r="P47" i="63"/>
  <c r="O47" i="63"/>
  <c r="N47" i="63"/>
  <c r="M47" i="63"/>
  <c r="L47" i="63"/>
  <c r="K47" i="63"/>
  <c r="J47" i="63"/>
  <c r="I47" i="63"/>
  <c r="H47" i="63"/>
  <c r="G47" i="63"/>
  <c r="F47" i="63"/>
  <c r="AD46" i="63"/>
  <c r="AC46" i="63"/>
  <c r="AB46" i="63"/>
  <c r="AA46" i="63"/>
  <c r="Z46" i="63"/>
  <c r="Y46" i="63"/>
  <c r="X46" i="63"/>
  <c r="W46" i="63"/>
  <c r="V46" i="63"/>
  <c r="U46" i="63"/>
  <c r="T46" i="63"/>
  <c r="S46" i="63"/>
  <c r="R46" i="63"/>
  <c r="Q46" i="63"/>
  <c r="P46" i="63"/>
  <c r="O46" i="63"/>
  <c r="N46" i="63"/>
  <c r="M46" i="63"/>
  <c r="L46" i="63"/>
  <c r="K46" i="63"/>
  <c r="J46" i="63"/>
  <c r="I46" i="63"/>
  <c r="H46" i="63"/>
  <c r="G46" i="63"/>
  <c r="F46"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AD44" i="63"/>
  <c r="AC44" i="63"/>
  <c r="AB44" i="63"/>
  <c r="AA44" i="63"/>
  <c r="Z44" i="63"/>
  <c r="Y44" i="63"/>
  <c r="X44" i="63"/>
  <c r="W44" i="63"/>
  <c r="V44" i="63"/>
  <c r="U44" i="63"/>
  <c r="T44" i="63"/>
  <c r="S44" i="63"/>
  <c r="R44" i="63"/>
  <c r="Q44" i="63"/>
  <c r="P44" i="63"/>
  <c r="O44" i="63"/>
  <c r="N44" i="63"/>
  <c r="M44" i="63"/>
  <c r="L44" i="63"/>
  <c r="K44" i="63"/>
  <c r="J44" i="63"/>
  <c r="I44" i="63"/>
  <c r="H44" i="63"/>
  <c r="G44" i="63"/>
  <c r="F44"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AD42" i="63"/>
  <c r="AC42" i="63"/>
  <c r="AB42" i="63"/>
  <c r="AA42" i="63"/>
  <c r="Z42" i="63"/>
  <c r="Y42" i="63"/>
  <c r="X42" i="63"/>
  <c r="W42" i="63"/>
  <c r="V42" i="63"/>
  <c r="U42" i="63"/>
  <c r="T42" i="63"/>
  <c r="S42" i="63"/>
  <c r="R42" i="63"/>
  <c r="Q42" i="63"/>
  <c r="P42" i="63"/>
  <c r="O42" i="63"/>
  <c r="N42" i="63"/>
  <c r="M42" i="63"/>
  <c r="L42" i="63"/>
  <c r="K42" i="63"/>
  <c r="J42" i="63"/>
  <c r="I42" i="63"/>
  <c r="H42" i="63"/>
  <c r="G42" i="63"/>
  <c r="F42" i="63"/>
  <c r="AD41" i="63"/>
  <c r="AC41" i="63"/>
  <c r="AB41" i="63"/>
  <c r="AA41" i="63"/>
  <c r="Z41" i="63"/>
  <c r="Y41" i="63"/>
  <c r="X41" i="63"/>
  <c r="W41" i="63"/>
  <c r="V41" i="63"/>
  <c r="U41" i="63"/>
  <c r="T41" i="63"/>
  <c r="S41" i="63"/>
  <c r="R41" i="63"/>
  <c r="Q41" i="63"/>
  <c r="P41" i="63"/>
  <c r="O41" i="63"/>
  <c r="N41" i="63"/>
  <c r="M41" i="63"/>
  <c r="L41" i="63"/>
  <c r="K41" i="63"/>
  <c r="J41" i="63"/>
  <c r="I41" i="63"/>
  <c r="H41" i="63"/>
  <c r="G41" i="63"/>
  <c r="F41" i="63"/>
  <c r="AD40" i="63"/>
  <c r="AC40" i="63"/>
  <c r="AB40" i="63"/>
  <c r="AA40" i="63"/>
  <c r="Z40" i="63"/>
  <c r="Y40" i="63"/>
  <c r="X40" i="63"/>
  <c r="W40" i="63"/>
  <c r="V40" i="63"/>
  <c r="U40" i="63"/>
  <c r="T40" i="63"/>
  <c r="S40" i="63"/>
  <c r="R40" i="63"/>
  <c r="Q40" i="63"/>
  <c r="P40" i="63"/>
  <c r="O40" i="63"/>
  <c r="N40" i="63"/>
  <c r="M40" i="63"/>
  <c r="L40" i="63"/>
  <c r="K40" i="63"/>
  <c r="J40" i="63"/>
  <c r="I40" i="63"/>
  <c r="H40" i="63"/>
  <c r="G40" i="63"/>
  <c r="F40" i="63"/>
  <c r="AD39" i="63"/>
  <c r="AC39" i="63"/>
  <c r="AB39" i="63"/>
  <c r="AA39" i="63"/>
  <c r="Z39" i="63"/>
  <c r="Y39" i="63"/>
  <c r="X39" i="63"/>
  <c r="W39" i="63"/>
  <c r="V39" i="63"/>
  <c r="U39" i="63"/>
  <c r="T39" i="63"/>
  <c r="S39" i="63"/>
  <c r="R39" i="63"/>
  <c r="Q39" i="63"/>
  <c r="P39" i="63"/>
  <c r="O39" i="63"/>
  <c r="N39" i="63"/>
  <c r="M39" i="63"/>
  <c r="L39" i="63"/>
  <c r="K39" i="63"/>
  <c r="J39" i="63"/>
  <c r="I39" i="63"/>
  <c r="H39" i="63"/>
  <c r="G39" i="63"/>
  <c r="F39" i="63"/>
  <c r="AD38" i="63"/>
  <c r="AC38" i="63"/>
  <c r="AB38" i="63"/>
  <c r="AA38" i="63"/>
  <c r="Z38" i="63"/>
  <c r="Y38" i="63"/>
  <c r="X38" i="63"/>
  <c r="W38" i="63"/>
  <c r="V38" i="63"/>
  <c r="U38" i="63"/>
  <c r="T38" i="63"/>
  <c r="S38" i="63"/>
  <c r="R38" i="63"/>
  <c r="Q38" i="63"/>
  <c r="P38" i="63"/>
  <c r="O38" i="63"/>
  <c r="N38" i="63"/>
  <c r="M38" i="63"/>
  <c r="L38" i="63"/>
  <c r="K38" i="63"/>
  <c r="J38" i="63"/>
  <c r="I38" i="63"/>
  <c r="H38" i="63"/>
  <c r="G38" i="63"/>
  <c r="F38" i="63"/>
  <c r="AD37" i="63"/>
  <c r="AC37" i="63"/>
  <c r="AB37" i="63"/>
  <c r="AA37" i="63"/>
  <c r="Z37" i="63"/>
  <c r="Y37" i="63"/>
  <c r="X37" i="63"/>
  <c r="W37" i="63"/>
  <c r="V37" i="63"/>
  <c r="U37" i="63"/>
  <c r="T37" i="63"/>
  <c r="S37" i="63"/>
  <c r="R37" i="63"/>
  <c r="Q37" i="63"/>
  <c r="P37" i="63"/>
  <c r="O37" i="63"/>
  <c r="N37" i="63"/>
  <c r="M37" i="63"/>
  <c r="L37" i="63"/>
  <c r="K37" i="63"/>
  <c r="J37" i="63"/>
  <c r="I37" i="63"/>
  <c r="H37" i="63"/>
  <c r="G37" i="63"/>
  <c r="F37" i="63"/>
  <c r="AD36" i="63"/>
  <c r="AC36" i="63"/>
  <c r="AB36" i="63"/>
  <c r="AA36" i="63"/>
  <c r="Z36" i="63"/>
  <c r="Y36" i="63"/>
  <c r="X36" i="63"/>
  <c r="W36" i="63"/>
  <c r="V36" i="63"/>
  <c r="U36" i="63"/>
  <c r="T36" i="63"/>
  <c r="S36" i="63"/>
  <c r="R36" i="63"/>
  <c r="Q36" i="63"/>
  <c r="P36" i="63"/>
  <c r="O36" i="63"/>
  <c r="N36" i="63"/>
  <c r="M36" i="63"/>
  <c r="L36" i="63"/>
  <c r="K36" i="63"/>
  <c r="J36" i="63"/>
  <c r="I36" i="63"/>
  <c r="H36" i="63"/>
  <c r="G36" i="63"/>
  <c r="F36" i="63"/>
  <c r="AD35" i="63"/>
  <c r="AC35" i="63"/>
  <c r="AB35" i="63"/>
  <c r="AA35" i="63"/>
  <c r="Z35" i="63"/>
  <c r="Y35" i="63"/>
  <c r="X35" i="63"/>
  <c r="W35" i="63"/>
  <c r="V35" i="63"/>
  <c r="U35" i="63"/>
  <c r="T35" i="63"/>
  <c r="S35" i="63"/>
  <c r="R35" i="63"/>
  <c r="Q35" i="63"/>
  <c r="P35" i="63"/>
  <c r="O35" i="63"/>
  <c r="N35" i="63"/>
  <c r="M35" i="63"/>
  <c r="L35" i="63"/>
  <c r="K35" i="63"/>
  <c r="J35" i="63"/>
  <c r="I35" i="63"/>
  <c r="H35" i="63"/>
  <c r="G35" i="63"/>
  <c r="F35" i="63"/>
  <c r="AD34" i="63"/>
  <c r="AC34" i="63"/>
  <c r="AB34" i="63"/>
  <c r="AA34" i="63"/>
  <c r="Z34" i="63"/>
  <c r="Y34" i="63"/>
  <c r="X34" i="63"/>
  <c r="W34" i="63"/>
  <c r="V34" i="63"/>
  <c r="U34" i="63"/>
  <c r="T34" i="63"/>
  <c r="S34" i="63"/>
  <c r="R34" i="63"/>
  <c r="Q34" i="63"/>
  <c r="P34" i="63"/>
  <c r="O34" i="63"/>
  <c r="N34" i="63"/>
  <c r="M34" i="63"/>
  <c r="L34" i="63"/>
  <c r="K34" i="63"/>
  <c r="J34" i="63"/>
  <c r="I34" i="63"/>
  <c r="H34" i="63"/>
  <c r="G34" i="63"/>
  <c r="F34" i="63"/>
  <c r="AD33" i="63"/>
  <c r="AC33" i="63"/>
  <c r="AB33" i="63"/>
  <c r="AA33" i="63"/>
  <c r="Z33" i="63"/>
  <c r="Y33" i="63"/>
  <c r="X33" i="63"/>
  <c r="W33" i="63"/>
  <c r="V33" i="63"/>
  <c r="U33" i="63"/>
  <c r="T33" i="63"/>
  <c r="S33" i="63"/>
  <c r="R33" i="63"/>
  <c r="Q33" i="63"/>
  <c r="P33" i="63"/>
  <c r="O33" i="63"/>
  <c r="N33" i="63"/>
  <c r="M33" i="63"/>
  <c r="L33" i="63"/>
  <c r="K33" i="63"/>
  <c r="J33" i="63"/>
  <c r="I33" i="63"/>
  <c r="H33" i="63"/>
  <c r="G33" i="63"/>
  <c r="F33" i="63"/>
  <c r="AD32" i="63"/>
  <c r="AC32" i="63"/>
  <c r="AB32" i="63"/>
  <c r="AA32" i="63"/>
  <c r="Z32" i="63"/>
  <c r="Y32" i="63"/>
  <c r="X32" i="63"/>
  <c r="W32" i="63"/>
  <c r="V32" i="63"/>
  <c r="U32" i="63"/>
  <c r="T32" i="63"/>
  <c r="S32" i="63"/>
  <c r="R32" i="63"/>
  <c r="Q32" i="63"/>
  <c r="P32" i="63"/>
  <c r="O32" i="63"/>
  <c r="N32" i="63"/>
  <c r="M32" i="63"/>
  <c r="L32" i="63"/>
  <c r="K32" i="63"/>
  <c r="J32" i="63"/>
  <c r="I32" i="63"/>
  <c r="H32" i="63"/>
  <c r="G32" i="63"/>
  <c r="F32" i="63"/>
  <c r="AD31" i="63"/>
  <c r="AC31" i="63"/>
  <c r="AB31" i="63"/>
  <c r="AA31" i="63"/>
  <c r="Z31" i="63"/>
  <c r="Y31" i="63"/>
  <c r="X31" i="63"/>
  <c r="W31" i="63"/>
  <c r="V31" i="63"/>
  <c r="U31" i="63"/>
  <c r="T31" i="63"/>
  <c r="S31" i="63"/>
  <c r="R31" i="63"/>
  <c r="Q31" i="63"/>
  <c r="P31" i="63"/>
  <c r="O31" i="63"/>
  <c r="N31" i="63"/>
  <c r="M31" i="63"/>
  <c r="L31" i="63"/>
  <c r="K31" i="63"/>
  <c r="J31" i="63"/>
  <c r="I31" i="63"/>
  <c r="H31" i="63"/>
  <c r="G31" i="63"/>
  <c r="F31" i="63"/>
  <c r="AD30" i="63"/>
  <c r="AC30" i="63"/>
  <c r="AB30" i="63"/>
  <c r="AA30" i="63"/>
  <c r="Z30" i="63"/>
  <c r="Y30" i="63"/>
  <c r="X30" i="63"/>
  <c r="W30" i="63"/>
  <c r="V30" i="63"/>
  <c r="U30" i="63"/>
  <c r="T30" i="63"/>
  <c r="S30" i="63"/>
  <c r="R30" i="63"/>
  <c r="Q30" i="63"/>
  <c r="P30" i="63"/>
  <c r="O30" i="63"/>
  <c r="N30" i="63"/>
  <c r="M30" i="63"/>
  <c r="L30" i="63"/>
  <c r="K30" i="63"/>
  <c r="J30" i="63"/>
  <c r="I30" i="63"/>
  <c r="H30" i="63"/>
  <c r="G30" i="63"/>
  <c r="F30" i="63"/>
  <c r="AD29" i="63"/>
  <c r="AC29" i="63"/>
  <c r="AB29" i="63"/>
  <c r="AA29" i="63"/>
  <c r="Z29" i="63"/>
  <c r="Y29" i="63"/>
  <c r="X29" i="63"/>
  <c r="W29" i="63"/>
  <c r="V29" i="63"/>
  <c r="U29" i="63"/>
  <c r="T29" i="63"/>
  <c r="S29" i="63"/>
  <c r="R29" i="63"/>
  <c r="Q29" i="63"/>
  <c r="P29" i="63"/>
  <c r="O29" i="63"/>
  <c r="N29" i="63"/>
  <c r="M29" i="63"/>
  <c r="L29" i="63"/>
  <c r="K29" i="63"/>
  <c r="J29" i="63"/>
  <c r="I29" i="63"/>
  <c r="H29" i="63"/>
  <c r="G29" i="63"/>
  <c r="F29"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AD27" i="63"/>
  <c r="AC27" i="63"/>
  <c r="AB27" i="63"/>
  <c r="AA27" i="63"/>
  <c r="Z27" i="63"/>
  <c r="Y27" i="63"/>
  <c r="X27" i="63"/>
  <c r="W27" i="63"/>
  <c r="V27" i="63"/>
  <c r="U27" i="63"/>
  <c r="T27" i="63"/>
  <c r="S27" i="63"/>
  <c r="R27" i="63"/>
  <c r="Q27" i="63"/>
  <c r="P27" i="63"/>
  <c r="O27" i="63"/>
  <c r="N27" i="63"/>
  <c r="M27" i="63"/>
  <c r="L27" i="63"/>
  <c r="K27" i="63"/>
  <c r="J27" i="63"/>
  <c r="I27" i="63"/>
  <c r="H27" i="63"/>
  <c r="G27" i="63"/>
  <c r="F27" i="63"/>
  <c r="AD26" i="63"/>
  <c r="AC26" i="63"/>
  <c r="AB26" i="63"/>
  <c r="AA26" i="63"/>
  <c r="Z26" i="63"/>
  <c r="Y26" i="63"/>
  <c r="X26" i="63"/>
  <c r="W26" i="63"/>
  <c r="V26" i="63"/>
  <c r="U26" i="63"/>
  <c r="T26" i="63"/>
  <c r="S26" i="63"/>
  <c r="R26" i="63"/>
  <c r="Q26" i="63"/>
  <c r="P26" i="63"/>
  <c r="O26" i="63"/>
  <c r="N26" i="63"/>
  <c r="M26" i="63"/>
  <c r="L26" i="63"/>
  <c r="K26" i="63"/>
  <c r="J26" i="63"/>
  <c r="I26" i="63"/>
  <c r="H26" i="63"/>
  <c r="G26" i="63"/>
  <c r="F26" i="63"/>
  <c r="AD25" i="63"/>
  <c r="AC25" i="63"/>
  <c r="AB25" i="63"/>
  <c r="AA25" i="63"/>
  <c r="Z25" i="63"/>
  <c r="Y25" i="63"/>
  <c r="X25" i="63"/>
  <c r="W25" i="63"/>
  <c r="V25" i="63"/>
  <c r="U25" i="63"/>
  <c r="T25" i="63"/>
  <c r="S25" i="63"/>
  <c r="R25" i="63"/>
  <c r="Q25" i="63"/>
  <c r="P25" i="63"/>
  <c r="O25" i="63"/>
  <c r="N25" i="63"/>
  <c r="M25" i="63"/>
  <c r="L25" i="63"/>
  <c r="K25" i="63"/>
  <c r="J25" i="63"/>
  <c r="I25" i="63"/>
  <c r="H25" i="63"/>
  <c r="G25" i="63"/>
  <c r="F25" i="63"/>
  <c r="AD24" i="63"/>
  <c r="AC24" i="63"/>
  <c r="AB24" i="63"/>
  <c r="AA24" i="63"/>
  <c r="Z24" i="63"/>
  <c r="Y24" i="63"/>
  <c r="X24" i="63"/>
  <c r="W24" i="63"/>
  <c r="V24" i="63"/>
  <c r="U24" i="63"/>
  <c r="T24" i="63"/>
  <c r="S24" i="63"/>
  <c r="R24" i="63"/>
  <c r="Q24" i="63"/>
  <c r="P24" i="63"/>
  <c r="O24" i="63"/>
  <c r="N24" i="63"/>
  <c r="M24" i="63"/>
  <c r="L24" i="63"/>
  <c r="K24" i="63"/>
  <c r="J24" i="63"/>
  <c r="I24" i="63"/>
  <c r="H24" i="63"/>
  <c r="G24" i="63"/>
  <c r="F24"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AD22" i="63"/>
  <c r="AC22" i="63"/>
  <c r="AB22" i="63"/>
  <c r="AA22" i="63"/>
  <c r="Z22" i="63"/>
  <c r="Y22" i="63"/>
  <c r="X22" i="63"/>
  <c r="W22" i="63"/>
  <c r="V22" i="63"/>
  <c r="U22" i="63"/>
  <c r="T22" i="63"/>
  <c r="S22" i="63"/>
  <c r="R22" i="63"/>
  <c r="Q22" i="63"/>
  <c r="P22" i="63"/>
  <c r="O22" i="63"/>
  <c r="N22" i="63"/>
  <c r="M22" i="63"/>
  <c r="L22" i="63"/>
  <c r="K22" i="63"/>
  <c r="J22" i="63"/>
  <c r="I22" i="63"/>
  <c r="H22" i="63"/>
  <c r="G22" i="63"/>
  <c r="F22" i="63"/>
  <c r="AD21" i="63"/>
  <c r="AC21" i="63"/>
  <c r="AB21" i="63"/>
  <c r="AA21" i="63"/>
  <c r="Z21" i="63"/>
  <c r="Y21" i="63"/>
  <c r="X21" i="63"/>
  <c r="W21" i="63"/>
  <c r="V21" i="63"/>
  <c r="U21" i="63"/>
  <c r="T21" i="63"/>
  <c r="S21" i="63"/>
  <c r="R21" i="63"/>
  <c r="Q21" i="63"/>
  <c r="P21" i="63"/>
  <c r="O21" i="63"/>
  <c r="N21" i="63"/>
  <c r="M21" i="63"/>
  <c r="L21" i="63"/>
  <c r="K21" i="63"/>
  <c r="J21" i="63"/>
  <c r="I21" i="63"/>
  <c r="H21" i="63"/>
  <c r="G21" i="63"/>
  <c r="F21" i="63"/>
  <c r="AD20" i="63"/>
  <c r="AC20" i="63"/>
  <c r="AB20" i="63"/>
  <c r="AA20" i="63"/>
  <c r="Z20" i="63"/>
  <c r="Y20" i="63"/>
  <c r="X20" i="63"/>
  <c r="W20" i="63"/>
  <c r="V20" i="63"/>
  <c r="U20" i="63"/>
  <c r="T20" i="63"/>
  <c r="S20" i="63"/>
  <c r="R20" i="63"/>
  <c r="Q20" i="63"/>
  <c r="P20" i="63"/>
  <c r="O20" i="63"/>
  <c r="N20" i="63"/>
  <c r="M20" i="63"/>
  <c r="L20" i="63"/>
  <c r="K20" i="63"/>
  <c r="J20" i="63"/>
  <c r="I20" i="63"/>
  <c r="H20" i="63"/>
  <c r="G20" i="63"/>
  <c r="F20" i="63"/>
  <c r="AD19" i="63"/>
  <c r="AC19" i="63"/>
  <c r="AB19" i="63"/>
  <c r="AA19" i="63"/>
  <c r="Z19" i="63"/>
  <c r="Y19" i="63"/>
  <c r="X19" i="63"/>
  <c r="W19" i="63"/>
  <c r="V19" i="63"/>
  <c r="U19" i="63"/>
  <c r="T19" i="63"/>
  <c r="S19" i="63"/>
  <c r="R19" i="63"/>
  <c r="Q19" i="63"/>
  <c r="P19" i="63"/>
  <c r="O19" i="63"/>
  <c r="N19" i="63"/>
  <c r="M19" i="63"/>
  <c r="L19" i="63"/>
  <c r="K19" i="63"/>
  <c r="J19" i="63"/>
  <c r="I19" i="63"/>
  <c r="H19" i="63"/>
  <c r="G19" i="63"/>
  <c r="F19" i="63"/>
  <c r="AD18" i="63"/>
  <c r="AC18" i="63"/>
  <c r="AB18" i="63"/>
  <c r="AA18" i="63"/>
  <c r="Z18" i="63"/>
  <c r="Y18" i="63"/>
  <c r="X18" i="63"/>
  <c r="W18" i="63"/>
  <c r="V18" i="63"/>
  <c r="U18" i="63"/>
  <c r="T18" i="63"/>
  <c r="S18" i="63"/>
  <c r="R18" i="63"/>
  <c r="Q18" i="63"/>
  <c r="P18" i="63"/>
  <c r="O18" i="63"/>
  <c r="N18" i="63"/>
  <c r="M18" i="63"/>
  <c r="L18" i="63"/>
  <c r="K18" i="63"/>
  <c r="J18" i="63"/>
  <c r="I18" i="63"/>
  <c r="H18" i="63"/>
  <c r="G18" i="63"/>
  <c r="F18" i="63"/>
  <c r="AD17" i="63"/>
  <c r="AC17" i="63"/>
  <c r="AB17" i="63"/>
  <c r="AA17" i="63"/>
  <c r="Z17" i="63"/>
  <c r="Y17" i="63"/>
  <c r="X17" i="63"/>
  <c r="W17" i="63"/>
  <c r="V17" i="63"/>
  <c r="U17" i="63"/>
  <c r="T17" i="63"/>
  <c r="S17" i="63"/>
  <c r="R17" i="63"/>
  <c r="Q17" i="63"/>
  <c r="P17" i="63"/>
  <c r="O17" i="63"/>
  <c r="N17" i="63"/>
  <c r="M17" i="63"/>
  <c r="L17" i="63"/>
  <c r="K17" i="63"/>
  <c r="J17" i="63"/>
  <c r="I17" i="63"/>
  <c r="H17" i="63"/>
  <c r="G17" i="63"/>
  <c r="F17" i="63"/>
  <c r="AD16" i="63"/>
  <c r="AC16" i="63"/>
  <c r="AB16" i="63"/>
  <c r="AA16" i="63"/>
  <c r="Z16" i="63"/>
  <c r="Y16" i="63"/>
  <c r="X16" i="63"/>
  <c r="W16" i="63"/>
  <c r="V16" i="63"/>
  <c r="U16" i="63"/>
  <c r="T16" i="63"/>
  <c r="S16" i="63"/>
  <c r="R16" i="63"/>
  <c r="Q16" i="63"/>
  <c r="P16" i="63"/>
  <c r="O16" i="63"/>
  <c r="N16" i="63"/>
  <c r="M16" i="63"/>
  <c r="L16" i="63"/>
  <c r="K16" i="63"/>
  <c r="J16" i="63"/>
  <c r="I16" i="63"/>
  <c r="H16" i="63"/>
  <c r="G16" i="63"/>
  <c r="F16" i="63"/>
  <c r="AD15" i="63"/>
  <c r="AC15" i="63"/>
  <c r="AB15" i="63"/>
  <c r="AA15" i="63"/>
  <c r="Z15" i="63"/>
  <c r="Y15" i="63"/>
  <c r="X15" i="63"/>
  <c r="W15" i="63"/>
  <c r="V15" i="63"/>
  <c r="U15" i="63"/>
  <c r="T15" i="63"/>
  <c r="S15" i="63"/>
  <c r="R15" i="63"/>
  <c r="Q15" i="63"/>
  <c r="P15" i="63"/>
  <c r="O15" i="63"/>
  <c r="N15" i="63"/>
  <c r="M15" i="63"/>
  <c r="L15" i="63"/>
  <c r="K15" i="63"/>
  <c r="J15" i="63"/>
  <c r="I15" i="63"/>
  <c r="H15" i="63"/>
  <c r="G15" i="63"/>
  <c r="F15"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AD13" i="63"/>
  <c r="AC13" i="63"/>
  <c r="AB13" i="63"/>
  <c r="AA13" i="63"/>
  <c r="Z13" i="63"/>
  <c r="Y13" i="63"/>
  <c r="X13" i="63"/>
  <c r="W13" i="63"/>
  <c r="V13" i="63"/>
  <c r="U13" i="63"/>
  <c r="T13" i="63"/>
  <c r="S13" i="63"/>
  <c r="R13" i="63"/>
  <c r="Q13" i="63"/>
  <c r="P13" i="63"/>
  <c r="O13" i="63"/>
  <c r="N13" i="63"/>
  <c r="M13" i="63"/>
  <c r="L13" i="63"/>
  <c r="K13" i="63"/>
  <c r="J13" i="63"/>
  <c r="I13" i="63"/>
  <c r="H13" i="63"/>
  <c r="G13" i="63"/>
  <c r="F13" i="63"/>
  <c r="AD12" i="63"/>
  <c r="AC12" i="63"/>
  <c r="AB12" i="63"/>
  <c r="AA12" i="63"/>
  <c r="Z12" i="63"/>
  <c r="Y12" i="63"/>
  <c r="X12" i="63"/>
  <c r="W12" i="63"/>
  <c r="V12" i="63"/>
  <c r="U12" i="63"/>
  <c r="T12" i="63"/>
  <c r="S12" i="63"/>
  <c r="R12" i="63"/>
  <c r="Q12" i="63"/>
  <c r="P12" i="63"/>
  <c r="O12" i="63"/>
  <c r="N12" i="63"/>
  <c r="M12" i="63"/>
  <c r="L12" i="63"/>
  <c r="K12" i="63"/>
  <c r="J12" i="63"/>
  <c r="I12" i="63"/>
  <c r="H12" i="63"/>
  <c r="G12" i="63"/>
  <c r="F12" i="63"/>
  <c r="AD11" i="63"/>
  <c r="AC11" i="63"/>
  <c r="AB11" i="63"/>
  <c r="AA11" i="63"/>
  <c r="Z11" i="63"/>
  <c r="Y11" i="63"/>
  <c r="X11" i="63"/>
  <c r="W11" i="63"/>
  <c r="V11" i="63"/>
  <c r="U11" i="63"/>
  <c r="T11" i="63"/>
  <c r="S11" i="63"/>
  <c r="R11" i="63"/>
  <c r="Q11" i="63"/>
  <c r="P11" i="63"/>
  <c r="O11" i="63"/>
  <c r="N11" i="63"/>
  <c r="M11" i="63"/>
  <c r="L11" i="63"/>
  <c r="K11" i="63"/>
  <c r="J11" i="63"/>
  <c r="I11" i="63"/>
  <c r="H11" i="63"/>
  <c r="G11" i="63"/>
  <c r="F11" i="63"/>
  <c r="AD10" i="63"/>
  <c r="AC10" i="63"/>
  <c r="AB10" i="63"/>
  <c r="AA10" i="63"/>
  <c r="Z10" i="63"/>
  <c r="Y10" i="63"/>
  <c r="X10" i="63"/>
  <c r="W10" i="63"/>
  <c r="V10" i="63"/>
  <c r="U10" i="63"/>
  <c r="T10" i="63"/>
  <c r="S10" i="63"/>
  <c r="R10" i="63"/>
  <c r="Q10" i="63"/>
  <c r="P10" i="63"/>
  <c r="O10" i="63"/>
  <c r="N10" i="63"/>
  <c r="M10" i="63"/>
  <c r="L10" i="63"/>
  <c r="K10" i="63"/>
  <c r="J10" i="63"/>
  <c r="I10" i="63"/>
  <c r="H10" i="63"/>
  <c r="G10" i="63"/>
  <c r="F10" i="63"/>
  <c r="AD9" i="63"/>
  <c r="AC9" i="63"/>
  <c r="AB9" i="63"/>
  <c r="AA9" i="63"/>
  <c r="Z9" i="63"/>
  <c r="Y9" i="63"/>
  <c r="X9" i="63"/>
  <c r="W9" i="63"/>
  <c r="V9" i="63"/>
  <c r="U9" i="63"/>
  <c r="T9" i="63"/>
  <c r="S9" i="63"/>
  <c r="R9" i="63"/>
  <c r="Q9" i="63"/>
  <c r="P9" i="63"/>
  <c r="O9" i="63"/>
  <c r="N9" i="63"/>
  <c r="M9" i="63"/>
  <c r="L9" i="63"/>
  <c r="K9" i="63"/>
  <c r="J9" i="63"/>
  <c r="I9" i="63"/>
  <c r="H9" i="63"/>
  <c r="G9" i="63"/>
  <c r="F9" i="63"/>
  <c r="AD8" i="63"/>
  <c r="AC8" i="63"/>
  <c r="AB8" i="63"/>
  <c r="AA8" i="63"/>
  <c r="Z8" i="63"/>
  <c r="Y8" i="63"/>
  <c r="X8" i="63"/>
  <c r="W8" i="63"/>
  <c r="V8" i="63"/>
  <c r="U8" i="63"/>
  <c r="T8" i="63"/>
  <c r="S8" i="63"/>
  <c r="R8" i="63"/>
  <c r="Q8" i="63"/>
  <c r="P8" i="63"/>
  <c r="O8" i="63"/>
  <c r="N8" i="63"/>
  <c r="M8" i="63"/>
  <c r="L8" i="63"/>
  <c r="K8" i="63"/>
  <c r="J8" i="63"/>
  <c r="I8" i="63"/>
  <c r="H8" i="63"/>
  <c r="G8" i="63"/>
  <c r="F8" i="63"/>
  <c r="AD7" i="63"/>
  <c r="AC7" i="63"/>
  <c r="AC65" i="63"/>
  <c r="AB7" i="63"/>
  <c r="AA7" i="63"/>
  <c r="Z7" i="63"/>
  <c r="Y7" i="63"/>
  <c r="Y65" i="63"/>
  <c r="X7" i="63"/>
  <c r="W7" i="63"/>
  <c r="V7" i="63"/>
  <c r="U7" i="63"/>
  <c r="U65" i="63"/>
  <c r="T7" i="63"/>
  <c r="S7" i="63"/>
  <c r="R7" i="63"/>
  <c r="Q7" i="63"/>
  <c r="Q65" i="63"/>
  <c r="P7" i="63"/>
  <c r="O7" i="63"/>
  <c r="N7" i="63"/>
  <c r="M7" i="63"/>
  <c r="M65" i="63"/>
  <c r="L7" i="63"/>
  <c r="K7" i="63"/>
  <c r="J7" i="63"/>
  <c r="I7" i="63"/>
  <c r="I65" i="63"/>
  <c r="H7" i="63"/>
  <c r="G7" i="63"/>
  <c r="F7" i="63"/>
  <c r="AD6" i="63"/>
  <c r="AD65" i="63"/>
  <c r="AC6" i="63"/>
  <c r="AB6" i="63"/>
  <c r="AA6" i="63"/>
  <c r="Z6" i="63"/>
  <c r="Z65" i="63"/>
  <c r="Y6" i="63"/>
  <c r="X6" i="63"/>
  <c r="W6" i="63"/>
  <c r="V6" i="63"/>
  <c r="V65" i="63"/>
  <c r="U6" i="63"/>
  <c r="T6" i="63"/>
  <c r="S6" i="63"/>
  <c r="R6" i="63"/>
  <c r="R65" i="63"/>
  <c r="Q6" i="63"/>
  <c r="P6" i="63"/>
  <c r="O6" i="63"/>
  <c r="N6" i="63"/>
  <c r="N65" i="63"/>
  <c r="M6" i="63"/>
  <c r="L6" i="63"/>
  <c r="K6" i="63"/>
  <c r="J6" i="63"/>
  <c r="J65" i="63"/>
  <c r="I6" i="63"/>
  <c r="H6" i="63"/>
  <c r="G6" i="63"/>
  <c r="F6" i="63"/>
  <c r="F65" i="63"/>
  <c r="AD5" i="63"/>
  <c r="AC5" i="63"/>
  <c r="AB5" i="63"/>
  <c r="AA5" i="63"/>
  <c r="AA65" i="63"/>
  <c r="Z5" i="63"/>
  <c r="Y5" i="63"/>
  <c r="X5" i="63"/>
  <c r="W5" i="63"/>
  <c r="W65" i="63"/>
  <c r="V5" i="63"/>
  <c r="U5" i="63"/>
  <c r="T5" i="63"/>
  <c r="S5" i="63"/>
  <c r="S65" i="63"/>
  <c r="R5" i="63"/>
  <c r="Q5" i="63"/>
  <c r="P5" i="63"/>
  <c r="O5" i="63"/>
  <c r="O65" i="63"/>
  <c r="N5" i="63"/>
  <c r="M5" i="63"/>
  <c r="L5" i="63"/>
  <c r="K5" i="63"/>
  <c r="K65" i="63"/>
  <c r="J5" i="63"/>
  <c r="I5" i="63"/>
  <c r="H5" i="63"/>
  <c r="G5" i="63"/>
  <c r="G65" i="63"/>
  <c r="F5" i="63"/>
  <c r="AB65" i="63"/>
  <c r="X65" i="63"/>
  <c r="T65" i="63"/>
  <c r="P65" i="63"/>
  <c r="L65" i="63"/>
  <c r="H65" i="63"/>
  <c r="E65" i="63"/>
  <c r="E64" i="63"/>
  <c r="E63" i="63"/>
  <c r="E62" i="63"/>
  <c r="E61" i="63"/>
  <c r="E60" i="63"/>
  <c r="E59" i="63"/>
  <c r="E58" i="63"/>
  <c r="E57" i="63"/>
  <c r="E56" i="63"/>
  <c r="E55" i="63"/>
  <c r="E54" i="63"/>
  <c r="E53" i="63"/>
  <c r="E52" i="63"/>
  <c r="E51" i="63"/>
  <c r="E50" i="63"/>
  <c r="E49" i="63"/>
  <c r="E48" i="63"/>
  <c r="E47" i="63"/>
  <c r="E46" i="63"/>
  <c r="E45" i="63"/>
  <c r="E44" i="63"/>
  <c r="E43" i="63"/>
  <c r="E42" i="63"/>
  <c r="E41" i="63"/>
  <c r="E40" i="63"/>
  <c r="E39" i="63"/>
  <c r="E38" i="63"/>
  <c r="E37" i="63"/>
  <c r="E36" i="63"/>
  <c r="E35" i="63"/>
  <c r="E34" i="63"/>
  <c r="E33" i="63"/>
  <c r="E32" i="63"/>
  <c r="E31" i="63"/>
  <c r="E30" i="63"/>
  <c r="E29" i="63"/>
  <c r="E28" i="63"/>
  <c r="E27" i="63"/>
  <c r="E26" i="63"/>
  <c r="E25" i="63"/>
  <c r="E24" i="63"/>
  <c r="E23" i="63"/>
  <c r="E22" i="63"/>
  <c r="E21" i="63"/>
  <c r="E20" i="63"/>
  <c r="E19" i="63"/>
  <c r="E18" i="63"/>
  <c r="E17" i="63"/>
  <c r="E16" i="63"/>
  <c r="E15" i="63"/>
  <c r="E14" i="63"/>
  <c r="E13" i="63"/>
  <c r="E12" i="63"/>
  <c r="E11" i="63"/>
  <c r="E10" i="63"/>
  <c r="E9" i="63"/>
  <c r="E8" i="63"/>
  <c r="E7" i="63"/>
  <c r="E6" i="63"/>
  <c r="C64" i="63"/>
  <c r="D64" i="63"/>
  <c r="C63" i="63"/>
  <c r="D65" i="63"/>
  <c r="B65" i="63"/>
  <c r="C61" i="63"/>
  <c r="C65" i="63"/>
  <c r="C62" i="63"/>
  <c r="B62" i="63"/>
  <c r="E5" i="63"/>
  <c r="B61" i="63"/>
  <c r="B63" i="63"/>
  <c r="B64" i="63"/>
  <c r="W25" i="112"/>
  <c r="W23" i="112"/>
  <c r="M38" i="112"/>
  <c r="AB23" i="62"/>
  <c r="AA23" i="62"/>
  <c r="AO23" i="62"/>
  <c r="Y23" i="62"/>
  <c r="AP23" i="62" s="1"/>
  <c r="AP23" i="61"/>
  <c r="AP23" i="58"/>
  <c r="AN36" i="62"/>
  <c r="Z23" i="62"/>
  <c r="AN23" i="62"/>
  <c r="AM23" i="62"/>
  <c r="AO36" i="62"/>
  <c r="AK36" i="62"/>
  <c r="AK38" i="62"/>
  <c r="AJ36" i="62"/>
  <c r="AN36" i="61"/>
  <c r="AA49" i="62"/>
  <c r="AA48" i="62"/>
  <c r="AA47" i="62"/>
  <c r="AA46" i="62"/>
  <c r="AA45" i="62"/>
  <c r="AA44" i="62"/>
  <c r="AA43" i="62"/>
  <c r="AA42" i="62"/>
  <c r="AA41" i="62"/>
  <c r="Z41" i="62"/>
  <c r="Z43" i="62"/>
  <c r="Z44" i="62"/>
  <c r="Z45" i="62"/>
  <c r="Z46" i="62"/>
  <c r="Z47" i="62"/>
  <c r="Z48" i="62"/>
  <c r="Z49" i="62"/>
  <c r="Z42" i="62"/>
  <c r="B36" i="62"/>
  <c r="C36" i="62"/>
  <c r="D36" i="62"/>
  <c r="E36" i="62"/>
  <c r="X23" i="62"/>
  <c r="W23" i="62"/>
  <c r="W38" i="62"/>
  <c r="AA38" i="62"/>
  <c r="H38" i="61"/>
  <c r="AO35" i="61"/>
  <c r="AN23" i="61"/>
  <c r="AM23" i="61"/>
  <c r="AM28" i="61"/>
  <c r="X38" i="61"/>
  <c r="T38" i="61"/>
  <c r="P38" i="61"/>
  <c r="D38" i="61"/>
  <c r="AN36" i="60"/>
  <c r="AN23" i="60"/>
  <c r="AM28" i="60"/>
  <c r="AM49" i="60"/>
  <c r="AO23" i="60"/>
  <c r="AM23" i="60"/>
  <c r="AM23" i="59"/>
  <c r="AN23" i="59"/>
  <c r="AO23" i="59"/>
  <c r="AP23" i="59"/>
  <c r="AM28" i="59"/>
  <c r="AN36" i="59"/>
  <c r="AO30" i="59"/>
  <c r="AN23" i="58"/>
  <c r="AM23" i="58"/>
  <c r="AG38" i="58"/>
  <c r="AA38" i="58"/>
  <c r="AN49" i="58"/>
  <c r="AN48" i="58"/>
  <c r="AN47" i="58"/>
  <c r="AN46" i="58"/>
  <c r="AN45" i="58"/>
  <c r="AN44" i="58"/>
  <c r="AN43" i="58"/>
  <c r="AN42" i="58"/>
  <c r="AN41" i="58"/>
  <c r="AM41" i="58"/>
  <c r="AD16" i="57"/>
  <c r="AH8" i="57"/>
  <c r="C27" i="55"/>
  <c r="C28" i="55"/>
  <c r="C29" i="55"/>
  <c r="G27" i="55"/>
  <c r="G28" i="55"/>
  <c r="G29" i="55"/>
  <c r="K27" i="55"/>
  <c r="K28" i="55"/>
  <c r="K29" i="55"/>
  <c r="O27" i="55"/>
  <c r="O28" i="55"/>
  <c r="O29" i="55"/>
  <c r="S27" i="55"/>
  <c r="S28" i="55"/>
  <c r="S29" i="55"/>
  <c r="W27" i="55"/>
  <c r="W28" i="55"/>
  <c r="W29" i="55"/>
  <c r="M47" i="52"/>
  <c r="AC42" i="52"/>
  <c r="AA44" i="52"/>
  <c r="AB44" i="52"/>
  <c r="AC44" i="52"/>
  <c r="AD44" i="52"/>
  <c r="AA35" i="52"/>
  <c r="AB35" i="52"/>
  <c r="AC35" i="52"/>
  <c r="AA33" i="52"/>
  <c r="AA27" i="52"/>
  <c r="AB27" i="52"/>
  <c r="AC27" i="52"/>
  <c r="AA28" i="52"/>
  <c r="AB28" i="52"/>
  <c r="AC28" i="52"/>
  <c r="AA29" i="52"/>
  <c r="AB29" i="52"/>
  <c r="AC29" i="52"/>
  <c r="AA12" i="52"/>
  <c r="AB12" i="52"/>
  <c r="AC12" i="52"/>
  <c r="M13" i="49"/>
  <c r="Y13" i="49" s="1"/>
  <c r="M11" i="49"/>
  <c r="M10" i="49"/>
  <c r="M9" i="49"/>
  <c r="G10" i="49"/>
  <c r="G11" i="49"/>
  <c r="G9" i="49"/>
  <c r="V15" i="43"/>
  <c r="E34" i="44"/>
  <c r="O33" i="43"/>
  <c r="S33" i="44"/>
  <c r="M33" i="44"/>
  <c r="J33" i="44"/>
  <c r="H33" i="44"/>
  <c r="S32" i="44"/>
  <c r="M32" i="44"/>
  <c r="Q32" i="44"/>
  <c r="M31" i="44"/>
  <c r="H30" i="44"/>
  <c r="S29" i="44"/>
  <c r="J29" i="44"/>
  <c r="M29" i="44"/>
  <c r="S27" i="44"/>
  <c r="J27" i="44"/>
  <c r="O26" i="43"/>
  <c r="O27" i="43"/>
  <c r="O28" i="43"/>
  <c r="O29" i="43"/>
  <c r="O30" i="43"/>
  <c r="O31" i="43"/>
  <c r="O32" i="43"/>
  <c r="S25" i="44"/>
  <c r="S23" i="44"/>
  <c r="M23" i="44"/>
  <c r="J23" i="44"/>
  <c r="O22" i="43"/>
  <c r="O23" i="43"/>
  <c r="O24" i="43"/>
  <c r="O21" i="43"/>
  <c r="O16" i="43"/>
  <c r="O17" i="43"/>
  <c r="O18" i="43"/>
  <c r="O15" i="43"/>
  <c r="S16" i="44"/>
  <c r="J16" i="44"/>
  <c r="J13" i="44"/>
  <c r="O13" i="43"/>
  <c r="O11" i="43"/>
  <c r="O12" i="43"/>
  <c r="B8" i="21"/>
  <c r="C8" i="21"/>
  <c r="D8" i="21"/>
  <c r="E8" i="21"/>
  <c r="F8" i="21"/>
  <c r="G8" i="21"/>
  <c r="H8" i="21"/>
  <c r="I8" i="21"/>
  <c r="J8" i="21"/>
  <c r="B9" i="21"/>
  <c r="C9" i="21"/>
  <c r="D9" i="21"/>
  <c r="E9" i="21"/>
  <c r="F9" i="21"/>
  <c r="G9" i="21"/>
  <c r="H9" i="21"/>
  <c r="I9" i="21"/>
  <c r="J9" i="21"/>
  <c r="B10" i="21"/>
  <c r="C10" i="21"/>
  <c r="D10" i="21"/>
  <c r="E10" i="21"/>
  <c r="F10" i="21"/>
  <c r="G10" i="21"/>
  <c r="H10" i="21"/>
  <c r="I10" i="21"/>
  <c r="J10" i="21"/>
  <c r="B11" i="21"/>
  <c r="C11" i="21"/>
  <c r="D11" i="21"/>
  <c r="E11" i="21"/>
  <c r="F11" i="21"/>
  <c r="G11" i="21"/>
  <c r="H11" i="21"/>
  <c r="I11" i="21"/>
  <c r="J11" i="21"/>
  <c r="B12" i="21"/>
  <c r="C12" i="21"/>
  <c r="D12" i="21"/>
  <c r="E12" i="21"/>
  <c r="F12" i="21"/>
  <c r="G12" i="21"/>
  <c r="H12" i="21"/>
  <c r="I12" i="21"/>
  <c r="J12" i="21"/>
  <c r="B14" i="21"/>
  <c r="C14" i="21"/>
  <c r="D14" i="21"/>
  <c r="E14" i="21"/>
  <c r="F14" i="21"/>
  <c r="G14" i="21"/>
  <c r="H14" i="21"/>
  <c r="I14" i="21"/>
  <c r="J14" i="21"/>
  <c r="B15" i="21"/>
  <c r="C15" i="21"/>
  <c r="D15" i="21"/>
  <c r="E15" i="21"/>
  <c r="F15" i="21"/>
  <c r="G15" i="21"/>
  <c r="H15" i="21"/>
  <c r="I15" i="21"/>
  <c r="J15" i="21"/>
  <c r="B16" i="21"/>
  <c r="C16" i="21"/>
  <c r="D16" i="21"/>
  <c r="E16" i="21"/>
  <c r="F16" i="21"/>
  <c r="G16" i="21"/>
  <c r="H16" i="21"/>
  <c r="I16" i="21"/>
  <c r="J16" i="21"/>
  <c r="B17" i="21"/>
  <c r="C17" i="21"/>
  <c r="D17" i="21"/>
  <c r="E17" i="21"/>
  <c r="F17" i="21"/>
  <c r="G17" i="21"/>
  <c r="H17" i="21"/>
  <c r="I17" i="21"/>
  <c r="J17" i="21"/>
  <c r="B18" i="21"/>
  <c r="C18" i="21"/>
  <c r="D18" i="21"/>
  <c r="E18" i="21"/>
  <c r="F18" i="21"/>
  <c r="G18" i="21"/>
  <c r="H18" i="21"/>
  <c r="I18" i="21"/>
  <c r="J18" i="21"/>
  <c r="B19" i="21"/>
  <c r="C19" i="21"/>
  <c r="D19" i="21"/>
  <c r="E19" i="21"/>
  <c r="F19" i="21"/>
  <c r="G19" i="21"/>
  <c r="H19" i="21"/>
  <c r="I19" i="21"/>
  <c r="J19" i="21"/>
  <c r="B20" i="21"/>
  <c r="C20" i="21"/>
  <c r="D20" i="21"/>
  <c r="E20" i="21"/>
  <c r="F20" i="21"/>
  <c r="G20" i="21"/>
  <c r="H20" i="21"/>
  <c r="I20" i="21"/>
  <c r="J20" i="21"/>
  <c r="B21" i="21"/>
  <c r="C21" i="21"/>
  <c r="D21" i="21"/>
  <c r="E21" i="21"/>
  <c r="F21" i="21"/>
  <c r="G21" i="21"/>
  <c r="H21" i="21"/>
  <c r="I21" i="21"/>
  <c r="J21" i="21"/>
  <c r="C20" i="38"/>
  <c r="E20" i="38"/>
  <c r="D19" i="32"/>
  <c r="D20" i="32"/>
  <c r="T56" i="40"/>
  <c r="T57" i="40"/>
  <c r="L41" i="106"/>
  <c r="L42" i="106"/>
  <c r="L20" i="106"/>
  <c r="L21" i="106"/>
  <c r="Y50" i="39"/>
  <c r="Z50" i="39"/>
  <c r="Y51" i="39"/>
  <c r="Z51" i="39"/>
  <c r="AA51" i="39"/>
  <c r="AA50" i="39"/>
  <c r="J23" i="106"/>
  <c r="I23" i="106"/>
  <c r="H23" i="106"/>
  <c r="G23" i="106"/>
  <c r="F23" i="106"/>
  <c r="E23" i="106"/>
  <c r="D23" i="106"/>
  <c r="C23" i="106"/>
  <c r="K23" i="106"/>
  <c r="H19" i="14"/>
  <c r="H17" i="14"/>
  <c r="K16" i="14" s="1"/>
  <c r="H16" i="14"/>
  <c r="K15" i="14" s="1"/>
  <c r="H15" i="14"/>
  <c r="K14" i="14" s="1"/>
  <c r="H14" i="14"/>
  <c r="K13" i="14" s="1"/>
  <c r="H13" i="14"/>
  <c r="K12" i="14" s="1"/>
  <c r="H12" i="14"/>
  <c r="K11" i="14" s="1"/>
  <c r="H10" i="14"/>
  <c r="K10" i="14" s="1"/>
  <c r="H9" i="14"/>
  <c r="K9" i="14" s="1"/>
  <c r="H8" i="14"/>
  <c r="K8" i="14" s="1"/>
  <c r="H7" i="14"/>
  <c r="K7" i="14" s="1"/>
  <c r="G19" i="14"/>
  <c r="F19" i="14"/>
  <c r="E19" i="14"/>
  <c r="D19" i="14"/>
  <c r="C19" i="14"/>
  <c r="B19" i="14"/>
  <c r="G17" i="14"/>
  <c r="F17" i="14"/>
  <c r="E17" i="14"/>
  <c r="D17" i="14"/>
  <c r="C17" i="14"/>
  <c r="B17" i="14"/>
  <c r="G16" i="14"/>
  <c r="F16" i="14"/>
  <c r="E16" i="14"/>
  <c r="D16" i="14"/>
  <c r="C16" i="14"/>
  <c r="B16" i="14"/>
  <c r="G15" i="14"/>
  <c r="F15" i="14"/>
  <c r="E15" i="14"/>
  <c r="D15" i="14"/>
  <c r="C15" i="14"/>
  <c r="B15" i="14"/>
  <c r="G14" i="14"/>
  <c r="F14" i="14"/>
  <c r="E14" i="14"/>
  <c r="D14" i="14"/>
  <c r="C14" i="14"/>
  <c r="B14" i="14"/>
  <c r="G13" i="14"/>
  <c r="F13" i="14"/>
  <c r="E13" i="14"/>
  <c r="D13" i="14"/>
  <c r="C13" i="14"/>
  <c r="B13" i="14"/>
  <c r="G12" i="14"/>
  <c r="F12" i="14"/>
  <c r="E12" i="14"/>
  <c r="D12" i="14"/>
  <c r="C12" i="14"/>
  <c r="B12" i="14"/>
  <c r="G10" i="14"/>
  <c r="F10" i="14"/>
  <c r="E10" i="14"/>
  <c r="D10" i="14"/>
  <c r="C10" i="14"/>
  <c r="B10" i="14"/>
  <c r="G9" i="14"/>
  <c r="F9" i="14"/>
  <c r="E9" i="14"/>
  <c r="D9" i="14"/>
  <c r="C9" i="14"/>
  <c r="B9" i="14"/>
  <c r="G8" i="14"/>
  <c r="F8" i="14"/>
  <c r="E8" i="14"/>
  <c r="D8" i="14"/>
  <c r="C8" i="14"/>
  <c r="B8" i="14"/>
  <c r="G7" i="14"/>
  <c r="F7" i="14"/>
  <c r="E7" i="14"/>
  <c r="D7" i="14"/>
  <c r="C7" i="14"/>
  <c r="B7" i="14"/>
  <c r="B42" i="13"/>
  <c r="C42" i="13"/>
  <c r="J75" i="12"/>
  <c r="J76" i="12"/>
  <c r="J77" i="12"/>
  <c r="J78" i="12"/>
  <c r="J79" i="12"/>
  <c r="J80" i="12"/>
  <c r="J81" i="12"/>
  <c r="J82" i="12"/>
  <c r="J83" i="12"/>
  <c r="J74" i="12"/>
  <c r="I76" i="12"/>
  <c r="I75" i="12"/>
  <c r="I74" i="12"/>
  <c r="H79" i="12"/>
  <c r="H80" i="12"/>
  <c r="H77" i="12"/>
  <c r="H78" i="12"/>
  <c r="H75" i="12"/>
  <c r="H76" i="12"/>
  <c r="H74" i="12"/>
  <c r="H81" i="12"/>
  <c r="H82" i="12"/>
  <c r="H83" i="12"/>
  <c r="G75" i="12"/>
  <c r="G74" i="12"/>
  <c r="G76" i="12"/>
  <c r="G77" i="12"/>
  <c r="G78" i="12"/>
  <c r="G79" i="12"/>
  <c r="G80" i="12"/>
  <c r="G81" i="12"/>
  <c r="G82" i="12"/>
  <c r="G83" i="12"/>
  <c r="F74" i="12"/>
  <c r="F81" i="12"/>
  <c r="F82" i="12"/>
  <c r="F83" i="12"/>
  <c r="F78" i="12"/>
  <c r="F79" i="12"/>
  <c r="F80" i="12"/>
  <c r="F75" i="12"/>
  <c r="F76" i="12"/>
  <c r="F77" i="12"/>
  <c r="E82" i="12"/>
  <c r="E80" i="12"/>
  <c r="E81" i="12"/>
  <c r="E77" i="12"/>
  <c r="E78" i="12"/>
  <c r="E79" i="12"/>
  <c r="E75" i="12"/>
  <c r="E76" i="12"/>
  <c r="E74" i="12"/>
  <c r="E83" i="12"/>
  <c r="D74" i="12"/>
  <c r="D75" i="12"/>
  <c r="D76" i="12"/>
  <c r="D77" i="12"/>
  <c r="D78" i="12"/>
  <c r="D79" i="12"/>
  <c r="D80" i="12"/>
  <c r="D81" i="12"/>
  <c r="D82" i="12"/>
  <c r="D83" i="12"/>
  <c r="D68" i="12"/>
  <c r="D69" i="12"/>
  <c r="D70" i="12"/>
  <c r="D71" i="12"/>
  <c r="E71" i="12"/>
  <c r="E70" i="12"/>
  <c r="E69" i="12"/>
  <c r="E68" i="12"/>
  <c r="F70" i="12"/>
  <c r="F69" i="12"/>
  <c r="F68" i="12"/>
  <c r="F71" i="12"/>
  <c r="G71" i="12"/>
  <c r="G70" i="12"/>
  <c r="G69" i="12"/>
  <c r="G68" i="12"/>
  <c r="H71" i="12"/>
  <c r="H70" i="12"/>
  <c r="H69" i="12"/>
  <c r="H68" i="12"/>
  <c r="I70" i="12"/>
  <c r="I69" i="12"/>
  <c r="I68" i="12"/>
  <c r="I71" i="12"/>
  <c r="J71" i="12"/>
  <c r="J70" i="12"/>
  <c r="J69" i="12"/>
  <c r="J68" i="12"/>
  <c r="J63" i="12"/>
  <c r="J64" i="12"/>
  <c r="J65" i="12"/>
  <c r="J62" i="12"/>
  <c r="I65" i="12"/>
  <c r="I64" i="12"/>
  <c r="I63" i="12"/>
  <c r="I62" i="12"/>
  <c r="H64" i="12"/>
  <c r="H65" i="12"/>
  <c r="H63" i="12"/>
  <c r="H62" i="12"/>
  <c r="G65" i="12"/>
  <c r="G64" i="12"/>
  <c r="G63" i="12"/>
  <c r="G62" i="12"/>
  <c r="F62" i="12"/>
  <c r="F63" i="12"/>
  <c r="F64" i="12"/>
  <c r="F65" i="12"/>
  <c r="E62" i="12"/>
  <c r="E63" i="12"/>
  <c r="E64" i="12"/>
  <c r="E65" i="12"/>
  <c r="D62" i="12"/>
  <c r="D65" i="12"/>
  <c r="D63" i="12"/>
  <c r="D64" i="12"/>
  <c r="J57" i="12"/>
  <c r="J58" i="12"/>
  <c r="J59" i="12"/>
  <c r="I59" i="12"/>
  <c r="I58" i="12"/>
  <c r="I57" i="12"/>
  <c r="H59" i="12"/>
  <c r="H58" i="12"/>
  <c r="H57" i="12"/>
  <c r="G59" i="12"/>
  <c r="G58" i="12"/>
  <c r="G57" i="12"/>
  <c r="F57" i="12"/>
  <c r="F58" i="12"/>
  <c r="F59" i="12"/>
  <c r="E58" i="12"/>
  <c r="E59" i="12"/>
  <c r="E57" i="12"/>
  <c r="D57" i="12"/>
  <c r="D58" i="12"/>
  <c r="D59" i="12"/>
  <c r="D44" i="12"/>
  <c r="D45" i="12"/>
  <c r="D46" i="12"/>
  <c r="D47" i="12"/>
  <c r="D48" i="12"/>
  <c r="D49" i="12"/>
  <c r="D50" i="12"/>
  <c r="D51" i="12"/>
  <c r="D52" i="12"/>
  <c r="D53" i="12"/>
  <c r="D54" i="12"/>
  <c r="E52" i="12"/>
  <c r="E53" i="12"/>
  <c r="E54" i="12"/>
  <c r="E48" i="12"/>
  <c r="E49" i="12"/>
  <c r="E50" i="12"/>
  <c r="E51" i="12"/>
  <c r="E45" i="12"/>
  <c r="E46" i="12"/>
  <c r="E47" i="12"/>
  <c r="E44" i="12"/>
  <c r="F48" i="12"/>
  <c r="F49" i="12"/>
  <c r="F50" i="12"/>
  <c r="F51" i="12"/>
  <c r="F52" i="12"/>
  <c r="F53" i="12"/>
  <c r="F54" i="12"/>
  <c r="F46" i="12"/>
  <c r="F47" i="12"/>
  <c r="F45" i="12"/>
  <c r="F44" i="12"/>
  <c r="G50" i="12"/>
  <c r="G49" i="12"/>
  <c r="G48" i="12"/>
  <c r="G47" i="12"/>
  <c r="G46" i="12"/>
  <c r="G45" i="12"/>
  <c r="G44" i="12"/>
  <c r="G51" i="12"/>
  <c r="G52" i="12"/>
  <c r="G53" i="12"/>
  <c r="G54" i="12"/>
  <c r="H49" i="12"/>
  <c r="H48" i="12"/>
  <c r="H47" i="12"/>
  <c r="H46" i="12"/>
  <c r="H45" i="12"/>
  <c r="H44" i="12"/>
  <c r="H50" i="12"/>
  <c r="H51" i="12"/>
  <c r="H52" i="12"/>
  <c r="H53" i="12"/>
  <c r="H54" i="12"/>
  <c r="I44" i="12"/>
  <c r="I45" i="12"/>
  <c r="I46" i="12"/>
  <c r="I47" i="12"/>
  <c r="I48" i="12"/>
  <c r="I49" i="12"/>
  <c r="I50" i="12"/>
  <c r="I51" i="12"/>
  <c r="I52" i="12"/>
  <c r="I53" i="12"/>
  <c r="I54" i="12"/>
  <c r="J44" i="12"/>
  <c r="J53" i="12"/>
  <c r="J54" i="12"/>
  <c r="J52" i="12"/>
  <c r="J50" i="12"/>
  <c r="J51" i="12"/>
  <c r="J48" i="12"/>
  <c r="J49" i="12"/>
  <c r="J45" i="12"/>
  <c r="J46" i="12"/>
  <c r="J47" i="12"/>
  <c r="J38" i="12"/>
  <c r="J39" i="12"/>
  <c r="J40" i="12"/>
  <c r="J41" i="12"/>
  <c r="I40" i="12"/>
  <c r="I41" i="12"/>
  <c r="I39" i="12"/>
  <c r="I38" i="12"/>
  <c r="H38" i="12"/>
  <c r="H39" i="12"/>
  <c r="H40" i="12"/>
  <c r="H41" i="12"/>
  <c r="G38" i="12"/>
  <c r="G39" i="12"/>
  <c r="G40" i="12"/>
  <c r="G41" i="12"/>
  <c r="F39" i="12"/>
  <c r="F38" i="12"/>
  <c r="F40" i="12"/>
  <c r="F41" i="12"/>
  <c r="E39" i="12"/>
  <c r="E40" i="12"/>
  <c r="E41" i="12"/>
  <c r="E38" i="12"/>
  <c r="D39" i="12"/>
  <c r="D40" i="12"/>
  <c r="D41" i="12"/>
  <c r="D38" i="12"/>
  <c r="J26" i="12"/>
  <c r="J27" i="12"/>
  <c r="I26" i="12"/>
  <c r="I27" i="12"/>
  <c r="H27" i="12"/>
  <c r="H26" i="12"/>
  <c r="G26" i="12"/>
  <c r="G27" i="12"/>
  <c r="F26" i="12"/>
  <c r="E27" i="12"/>
  <c r="E26" i="12"/>
  <c r="D26" i="12"/>
  <c r="J18" i="12"/>
  <c r="J19" i="12"/>
  <c r="J20" i="12"/>
  <c r="J21" i="12"/>
  <c r="J22" i="12"/>
  <c r="J23" i="12"/>
  <c r="I18" i="12"/>
  <c r="H19" i="12"/>
  <c r="H20" i="12"/>
  <c r="H21" i="12"/>
  <c r="H22" i="12"/>
  <c r="H23" i="12"/>
  <c r="H18" i="12"/>
  <c r="G18" i="12"/>
  <c r="G19" i="12"/>
  <c r="G20" i="12"/>
  <c r="G21" i="12"/>
  <c r="G22" i="12"/>
  <c r="G23" i="12"/>
  <c r="F18" i="12"/>
  <c r="F19" i="12"/>
  <c r="F20" i="12"/>
  <c r="F21" i="12"/>
  <c r="F22" i="12"/>
  <c r="F23" i="12"/>
  <c r="E18" i="12"/>
  <c r="E19" i="12"/>
  <c r="E20" i="12"/>
  <c r="E21" i="12"/>
  <c r="E22" i="12"/>
  <c r="E23" i="12"/>
  <c r="D18" i="12"/>
  <c r="D19" i="12"/>
  <c r="D20" i="12"/>
  <c r="D21" i="12"/>
  <c r="D22" i="12"/>
  <c r="D23" i="12"/>
  <c r="D11" i="12"/>
  <c r="D12" i="12"/>
  <c r="D13" i="12"/>
  <c r="D14" i="12"/>
  <c r="D15" i="12"/>
  <c r="D10" i="12"/>
  <c r="E11" i="12"/>
  <c r="E12" i="12"/>
  <c r="E13" i="12"/>
  <c r="E14" i="12"/>
  <c r="E15" i="12"/>
  <c r="E10" i="12"/>
  <c r="F10" i="12"/>
  <c r="F11" i="12"/>
  <c r="F12" i="12"/>
  <c r="F13" i="12"/>
  <c r="F14" i="12"/>
  <c r="F15" i="12"/>
  <c r="G13" i="12"/>
  <c r="G12" i="12"/>
  <c r="G11" i="12"/>
  <c r="G10" i="12"/>
  <c r="G14" i="12"/>
  <c r="G15" i="12"/>
  <c r="H11" i="12"/>
  <c r="H12" i="12"/>
  <c r="H13" i="12"/>
  <c r="H14" i="12"/>
  <c r="H15" i="12"/>
  <c r="H10" i="12"/>
  <c r="I11" i="12"/>
  <c r="I10" i="12"/>
  <c r="I12" i="12"/>
  <c r="I13" i="12"/>
  <c r="I14" i="12"/>
  <c r="I15" i="12"/>
  <c r="J11" i="12"/>
  <c r="J12" i="12"/>
  <c r="J13" i="12"/>
  <c r="J14" i="12"/>
  <c r="J15" i="12"/>
  <c r="J10" i="12"/>
  <c r="I19" i="12"/>
  <c r="I20" i="12"/>
  <c r="I21" i="12"/>
  <c r="I22" i="12"/>
  <c r="I23" i="12"/>
  <c r="I77" i="12"/>
  <c r="I78" i="12"/>
  <c r="I79" i="12"/>
  <c r="I80" i="12"/>
  <c r="I81" i="12"/>
  <c r="I82" i="12"/>
  <c r="I83" i="12"/>
  <c r="D85" i="11"/>
  <c r="L73" i="11"/>
  <c r="D43" i="11"/>
  <c r="E43" i="11"/>
  <c r="F43" i="11"/>
  <c r="G43" i="11"/>
  <c r="H43" i="11"/>
  <c r="C21" i="39"/>
  <c r="D21" i="39"/>
  <c r="M21" i="39"/>
  <c r="AA21" i="39"/>
  <c r="N21" i="39"/>
  <c r="AB21" i="39"/>
  <c r="C22" i="39"/>
  <c r="D22" i="39"/>
  <c r="M22" i="39"/>
  <c r="AA22" i="39"/>
  <c r="N22" i="39"/>
  <c r="AB22" i="39"/>
  <c r="C21" i="40"/>
  <c r="D21" i="40"/>
  <c r="E21" i="40"/>
  <c r="F21" i="40"/>
  <c r="G21" i="40"/>
  <c r="H21" i="40"/>
  <c r="I21" i="40"/>
  <c r="J21" i="40"/>
  <c r="K21" i="40"/>
  <c r="L21" i="40"/>
  <c r="M21" i="40"/>
  <c r="N21" i="40"/>
  <c r="O21" i="40"/>
  <c r="P21" i="40"/>
  <c r="Q21" i="40"/>
  <c r="R21" i="40"/>
  <c r="S21" i="40"/>
  <c r="C22" i="40"/>
  <c r="D22" i="40"/>
  <c r="E22" i="40"/>
  <c r="F22" i="40"/>
  <c r="G22" i="40"/>
  <c r="H22" i="40"/>
  <c r="I22" i="40"/>
  <c r="J22" i="40"/>
  <c r="K22" i="40"/>
  <c r="L22" i="40"/>
  <c r="M22" i="40"/>
  <c r="N22" i="40"/>
  <c r="O22" i="40"/>
  <c r="P22" i="40"/>
  <c r="Q22" i="40"/>
  <c r="R22" i="40"/>
  <c r="S22" i="40"/>
  <c r="T22" i="40"/>
  <c r="T21" i="40"/>
  <c r="AC22" i="39"/>
  <c r="AC21" i="39"/>
  <c r="Y8" i="112"/>
  <c r="X8" i="112"/>
  <c r="W8" i="112"/>
  <c r="V8" i="112"/>
  <c r="AA38" i="61"/>
  <c r="AA38" i="60"/>
  <c r="L38" i="60"/>
  <c r="H38" i="60"/>
  <c r="D38" i="60"/>
  <c r="AA38" i="59"/>
  <c r="Z38" i="59"/>
  <c r="H38" i="59"/>
  <c r="D38" i="59"/>
  <c r="AO36" i="58"/>
  <c r="N63" i="78"/>
  <c r="N62" i="78"/>
  <c r="N32" i="78"/>
  <c r="N31" i="78"/>
  <c r="N30" i="78"/>
  <c r="N29" i="78"/>
  <c r="N14" i="78"/>
  <c r="N26" i="78" s="1"/>
  <c r="L63" i="78"/>
  <c r="L62" i="78"/>
  <c r="L61" i="78"/>
  <c r="L57" i="78"/>
  <c r="L55" i="78"/>
  <c r="L51" i="78"/>
  <c r="L50" i="78"/>
  <c r="L45" i="78"/>
  <c r="L44" i="78"/>
  <c r="L32" i="78"/>
  <c r="L31" i="78"/>
  <c r="L30" i="78"/>
  <c r="L29" i="78"/>
  <c r="L14" i="78"/>
  <c r="L26" i="78" s="1"/>
  <c r="H68" i="78"/>
  <c r="H67" i="78"/>
  <c r="H66" i="78"/>
  <c r="H65" i="78"/>
  <c r="H63" i="78"/>
  <c r="H62" i="78"/>
  <c r="H61" i="78"/>
  <c r="H59" i="78"/>
  <c r="H58" i="78"/>
  <c r="H57" i="78"/>
  <c r="H55" i="78"/>
  <c r="H54" i="78"/>
  <c r="H53" i="78"/>
  <c r="H52" i="78"/>
  <c r="H51" i="78"/>
  <c r="H50" i="78"/>
  <c r="H48" i="78"/>
  <c r="H47" i="78"/>
  <c r="H46" i="78"/>
  <c r="H45" i="78"/>
  <c r="H44" i="78"/>
  <c r="H32" i="78"/>
  <c r="H31" i="78"/>
  <c r="H30" i="78"/>
  <c r="H29" i="78"/>
  <c r="H28" i="78"/>
  <c r="H25" i="78"/>
  <c r="H24" i="78"/>
  <c r="H23" i="78"/>
  <c r="H22" i="78"/>
  <c r="H21" i="78"/>
  <c r="H20" i="78"/>
  <c r="H19" i="78"/>
  <c r="H18" i="78"/>
  <c r="H17" i="78"/>
  <c r="H16" i="78"/>
  <c r="H15" i="78"/>
  <c r="H14" i="78"/>
  <c r="H13" i="78"/>
  <c r="H12" i="78"/>
  <c r="H11" i="78"/>
  <c r="H10" i="78"/>
  <c r="H9" i="78"/>
  <c r="F68" i="78"/>
  <c r="F67" i="78"/>
  <c r="F66" i="78"/>
  <c r="F65" i="78"/>
  <c r="F63" i="78"/>
  <c r="F62" i="78"/>
  <c r="F61" i="78"/>
  <c r="F59" i="78"/>
  <c r="F58" i="78"/>
  <c r="F57" i="78"/>
  <c r="F55" i="78"/>
  <c r="F54" i="78"/>
  <c r="F53" i="78"/>
  <c r="F52" i="78"/>
  <c r="F51" i="78"/>
  <c r="F50" i="78"/>
  <c r="F48" i="78"/>
  <c r="F47" i="78"/>
  <c r="F46" i="78"/>
  <c r="F45" i="78"/>
  <c r="F44" i="78"/>
  <c r="F32" i="78"/>
  <c r="F31" i="78"/>
  <c r="F30" i="78"/>
  <c r="F29" i="78"/>
  <c r="F28" i="78"/>
  <c r="F25" i="78"/>
  <c r="F24" i="78"/>
  <c r="F23" i="78"/>
  <c r="F22" i="78"/>
  <c r="F21" i="78"/>
  <c r="F20" i="78"/>
  <c r="F19" i="78"/>
  <c r="F18" i="78"/>
  <c r="F17" i="78"/>
  <c r="F16" i="78"/>
  <c r="F15" i="78"/>
  <c r="F14" i="78"/>
  <c r="F13" i="78"/>
  <c r="F12" i="78"/>
  <c r="F11" i="78"/>
  <c r="F10" i="78"/>
  <c r="F9" i="78"/>
  <c r="D68" i="78"/>
  <c r="D67" i="78"/>
  <c r="D66" i="78"/>
  <c r="D65" i="78"/>
  <c r="D63" i="78"/>
  <c r="D62" i="78"/>
  <c r="D61" i="78"/>
  <c r="D59" i="78"/>
  <c r="D58" i="78"/>
  <c r="D57" i="78"/>
  <c r="D55" i="78"/>
  <c r="D54" i="78"/>
  <c r="D53" i="78"/>
  <c r="D52" i="78"/>
  <c r="D51" i="78"/>
  <c r="D50" i="78"/>
  <c r="D48" i="78"/>
  <c r="D47" i="78"/>
  <c r="D46" i="78"/>
  <c r="D45" i="78"/>
  <c r="D44" i="78"/>
  <c r="D32" i="78"/>
  <c r="D31" i="78"/>
  <c r="D30" i="78"/>
  <c r="D29" i="78"/>
  <c r="D28" i="78"/>
  <c r="D25" i="78"/>
  <c r="D24" i="78"/>
  <c r="D23" i="78"/>
  <c r="D22" i="78"/>
  <c r="D21" i="78"/>
  <c r="D20" i="78"/>
  <c r="D19" i="78"/>
  <c r="D18" i="78"/>
  <c r="D17" i="78"/>
  <c r="D16" i="78"/>
  <c r="D15" i="78"/>
  <c r="D14" i="78"/>
  <c r="D13" i="78"/>
  <c r="D12" i="78"/>
  <c r="D11" i="78"/>
  <c r="D10" i="78"/>
  <c r="D9" i="78"/>
  <c r="B68" i="78"/>
  <c r="B67" i="78"/>
  <c r="B66" i="78"/>
  <c r="B65" i="78"/>
  <c r="B63" i="78"/>
  <c r="B62" i="78"/>
  <c r="B61" i="78"/>
  <c r="B59" i="78"/>
  <c r="B58" i="78"/>
  <c r="B57" i="78"/>
  <c r="B55" i="78"/>
  <c r="B54" i="78"/>
  <c r="B53" i="78"/>
  <c r="B52" i="78"/>
  <c r="B51" i="78"/>
  <c r="B50" i="78"/>
  <c r="B48" i="78"/>
  <c r="B47" i="78"/>
  <c r="B46" i="78"/>
  <c r="B45" i="78"/>
  <c r="B44" i="78"/>
  <c r="B42" i="78"/>
  <c r="B32" i="78"/>
  <c r="B31" i="78"/>
  <c r="B30" i="78"/>
  <c r="B29" i="78"/>
  <c r="B28" i="78"/>
  <c r="B25" i="78"/>
  <c r="B24" i="78"/>
  <c r="B23" i="78"/>
  <c r="B22" i="78"/>
  <c r="B21" i="78"/>
  <c r="B20" i="78"/>
  <c r="B19" i="78"/>
  <c r="B18" i="78"/>
  <c r="B17" i="78"/>
  <c r="B16" i="78"/>
  <c r="B15" i="78"/>
  <c r="B14" i="78"/>
  <c r="B13" i="78"/>
  <c r="B12" i="78"/>
  <c r="B11" i="78"/>
  <c r="B10" i="78"/>
  <c r="B9" i="78"/>
  <c r="AK38" i="58"/>
  <c r="H38" i="58"/>
  <c r="D38" i="58"/>
  <c r="AD30" i="57"/>
  <c r="Z30" i="57"/>
  <c r="V30" i="57"/>
  <c r="R30" i="57"/>
  <c r="J30" i="57"/>
  <c r="F30" i="57"/>
  <c r="Z29" i="57"/>
  <c r="V29" i="57"/>
  <c r="R29" i="57"/>
  <c r="J29" i="57"/>
  <c r="AL29" i="57" s="1"/>
  <c r="H29" i="67" s="1"/>
  <c r="F29" i="57"/>
  <c r="AD28" i="57"/>
  <c r="Z28" i="57"/>
  <c r="V28" i="57"/>
  <c r="R28" i="57"/>
  <c r="J28" i="57"/>
  <c r="AL28" i="57" s="1"/>
  <c r="H28" i="67" s="1"/>
  <c r="F28" i="57"/>
  <c r="Z27" i="57"/>
  <c r="V27" i="57"/>
  <c r="R27" i="57"/>
  <c r="J27" i="57"/>
  <c r="F27" i="57"/>
  <c r="AL27" i="57" s="1"/>
  <c r="H27" i="67" s="1"/>
  <c r="Z26" i="57"/>
  <c r="V26" i="57"/>
  <c r="R26" i="57"/>
  <c r="J26" i="57"/>
  <c r="AL26" i="57" s="1"/>
  <c r="H26" i="67" s="1"/>
  <c r="F26" i="57"/>
  <c r="Z24" i="57"/>
  <c r="V24" i="57"/>
  <c r="R24" i="57"/>
  <c r="J24" i="57"/>
  <c r="F24" i="57"/>
  <c r="AL24" i="57" s="1"/>
  <c r="H24" i="67" s="1"/>
  <c r="V23" i="57"/>
  <c r="R23" i="57"/>
  <c r="AL23" i="57" s="1"/>
  <c r="H23" i="67" s="1"/>
  <c r="AD22" i="57"/>
  <c r="Z22" i="57"/>
  <c r="V22" i="57"/>
  <c r="R22" i="57"/>
  <c r="J22" i="57"/>
  <c r="F22" i="57"/>
  <c r="F25" i="57" s="1"/>
  <c r="AL25" i="57" s="1"/>
  <c r="AH20" i="57"/>
  <c r="Z20" i="57"/>
  <c r="V20" i="57"/>
  <c r="R20" i="57"/>
  <c r="J20" i="57"/>
  <c r="F20" i="57"/>
  <c r="Z19" i="57"/>
  <c r="V19" i="57"/>
  <c r="R19" i="57"/>
  <c r="J19" i="57"/>
  <c r="AL19" i="57" s="1"/>
  <c r="F19" i="57"/>
  <c r="Z18" i="57"/>
  <c r="V18" i="57"/>
  <c r="R18" i="57"/>
  <c r="J18" i="57"/>
  <c r="F18" i="57"/>
  <c r="Z17" i="57"/>
  <c r="V17" i="57"/>
  <c r="V21" i="57" s="1"/>
  <c r="V31" i="57" s="1"/>
  <c r="R17" i="57"/>
  <c r="J17" i="57"/>
  <c r="J21" i="57" s="1"/>
  <c r="J31" i="57" s="1"/>
  <c r="F17" i="57"/>
  <c r="Z16" i="57"/>
  <c r="Z21" i="57" s="1"/>
  <c r="Z31" i="57" s="1"/>
  <c r="V16" i="57"/>
  <c r="R16" i="57"/>
  <c r="J16" i="57"/>
  <c r="F16" i="57"/>
  <c r="F21" i="57" s="1"/>
  <c r="AD14" i="57"/>
  <c r="Z14" i="57"/>
  <c r="V14" i="57"/>
  <c r="R14" i="57"/>
  <c r="J14" i="57"/>
  <c r="F14" i="57"/>
  <c r="AH13" i="57"/>
  <c r="AD13" i="57"/>
  <c r="Z13" i="57"/>
  <c r="V13" i="57"/>
  <c r="R13" i="57"/>
  <c r="J13" i="57"/>
  <c r="AL13" i="57" s="1"/>
  <c r="H14" i="67" s="1"/>
  <c r="F13" i="57"/>
  <c r="AH12" i="57"/>
  <c r="AD12" i="57"/>
  <c r="Z12" i="57"/>
  <c r="V12" i="57"/>
  <c r="R12" i="57"/>
  <c r="J12" i="57"/>
  <c r="F12" i="57"/>
  <c r="AL12" i="57" s="1"/>
  <c r="H13" i="67" s="1"/>
  <c r="Z10" i="57"/>
  <c r="V10" i="57"/>
  <c r="R10" i="57"/>
  <c r="J10" i="57"/>
  <c r="AL10" i="57" s="1"/>
  <c r="H11" i="67" s="1"/>
  <c r="F10" i="57"/>
  <c r="AD9" i="57"/>
  <c r="Z9" i="57"/>
  <c r="V9" i="57"/>
  <c r="R9" i="57"/>
  <c r="J9" i="57"/>
  <c r="F9" i="57"/>
  <c r="AD8" i="57"/>
  <c r="AD11" i="57" s="1"/>
  <c r="AD15" i="57" s="1"/>
  <c r="Z8" i="57"/>
  <c r="V8" i="57"/>
  <c r="V11" i="57" s="1"/>
  <c r="V15" i="57" s="1"/>
  <c r="V32" i="57" s="1"/>
  <c r="R8" i="57"/>
  <c r="J8" i="57"/>
  <c r="J11" i="57" s="1"/>
  <c r="J15" i="57" s="1"/>
  <c r="J32" i="57" s="1"/>
  <c r="F8" i="57"/>
  <c r="U46" i="56"/>
  <c r="U42" i="56"/>
  <c r="Q45" i="56"/>
  <c r="Q39" i="56"/>
  <c r="Q35" i="56"/>
  <c r="Q29" i="56"/>
  <c r="Q20" i="56"/>
  <c r="Q17" i="56"/>
  <c r="Q13" i="56"/>
  <c r="Q22" i="56"/>
  <c r="M45" i="56"/>
  <c r="M39" i="56"/>
  <c r="M35" i="56"/>
  <c r="M29" i="56"/>
  <c r="M20" i="56"/>
  <c r="M17" i="56"/>
  <c r="M13" i="56"/>
  <c r="M22" i="56"/>
  <c r="I45" i="56"/>
  <c r="I39" i="56"/>
  <c r="I35" i="56"/>
  <c r="I29" i="56"/>
  <c r="I20" i="56"/>
  <c r="I17" i="56"/>
  <c r="I13" i="56"/>
  <c r="I22" i="56"/>
  <c r="E45" i="56"/>
  <c r="E39" i="56"/>
  <c r="E35" i="56"/>
  <c r="E29" i="56"/>
  <c r="E20" i="56"/>
  <c r="E22" i="56"/>
  <c r="E17" i="56"/>
  <c r="E13" i="56"/>
  <c r="F18" i="51"/>
  <c r="F23" i="51" s="1"/>
  <c r="J18" i="51"/>
  <c r="I14" i="50"/>
  <c r="I18" i="50"/>
  <c r="I21" i="50"/>
  <c r="I23" i="50"/>
  <c r="I31" i="50"/>
  <c r="I37" i="50"/>
  <c r="I41" i="50"/>
  <c r="I47" i="50"/>
  <c r="Y47" i="54"/>
  <c r="Y41" i="54"/>
  <c r="Y37" i="54"/>
  <c r="Y31" i="54"/>
  <c r="Y21" i="54"/>
  <c r="Y18" i="54"/>
  <c r="Y14" i="54"/>
  <c r="Y23" i="54"/>
  <c r="U47" i="54"/>
  <c r="U41" i="54"/>
  <c r="U37" i="54"/>
  <c r="U31" i="54"/>
  <c r="U21" i="54"/>
  <c r="U18" i="54"/>
  <c r="U14" i="54"/>
  <c r="U23" i="54"/>
  <c r="Q47" i="54"/>
  <c r="Q41" i="54"/>
  <c r="Q37" i="54"/>
  <c r="Q31" i="54"/>
  <c r="Q21" i="54"/>
  <c r="Q18" i="54"/>
  <c r="Q14" i="54"/>
  <c r="Q23" i="54"/>
  <c r="M47" i="54"/>
  <c r="M41" i="54"/>
  <c r="M37" i="54"/>
  <c r="M31" i="54"/>
  <c r="M21" i="54"/>
  <c r="M18" i="54"/>
  <c r="M14" i="54"/>
  <c r="M23" i="54"/>
  <c r="I47" i="54"/>
  <c r="I41" i="54"/>
  <c r="I37" i="54"/>
  <c r="I31" i="54"/>
  <c r="I21" i="54"/>
  <c r="I18" i="54"/>
  <c r="I14" i="54"/>
  <c r="I23" i="54"/>
  <c r="E47" i="54"/>
  <c r="E41" i="54"/>
  <c r="E37" i="54"/>
  <c r="E31" i="54"/>
  <c r="E21" i="54"/>
  <c r="E18" i="54"/>
  <c r="E14" i="54"/>
  <c r="E23" i="54"/>
  <c r="Y47" i="53"/>
  <c r="X47" i="53"/>
  <c r="W47" i="53"/>
  <c r="Y41" i="53"/>
  <c r="Y37" i="53"/>
  <c r="Y31" i="53"/>
  <c r="Y21" i="53"/>
  <c r="Y23" i="53"/>
  <c r="Y18" i="53"/>
  <c r="Y14" i="53"/>
  <c r="U47" i="53"/>
  <c r="T47" i="53"/>
  <c r="S47" i="53"/>
  <c r="U41" i="53"/>
  <c r="U37" i="53"/>
  <c r="U31" i="53"/>
  <c r="U21" i="53"/>
  <c r="U23" i="53"/>
  <c r="U18" i="53"/>
  <c r="U14" i="53"/>
  <c r="Q47" i="53"/>
  <c r="P47" i="53"/>
  <c r="O47" i="53"/>
  <c r="Q41" i="53"/>
  <c r="Q37" i="53"/>
  <c r="Q31" i="53"/>
  <c r="Q21" i="53"/>
  <c r="Q23" i="53"/>
  <c r="Q18" i="53"/>
  <c r="Q14" i="53"/>
  <c r="M47" i="53"/>
  <c r="L47" i="53"/>
  <c r="K47" i="53"/>
  <c r="M41" i="53"/>
  <c r="L41" i="53"/>
  <c r="M37" i="53"/>
  <c r="L37" i="53"/>
  <c r="M31" i="53"/>
  <c r="L31" i="53"/>
  <c r="M21" i="53"/>
  <c r="L21" i="53"/>
  <c r="M18" i="53"/>
  <c r="L18" i="53"/>
  <c r="L23" i="53"/>
  <c r="M14" i="53"/>
  <c r="M23" i="53"/>
  <c r="L14" i="53"/>
  <c r="I47" i="53"/>
  <c r="H47" i="53"/>
  <c r="G47" i="53"/>
  <c r="I41" i="53"/>
  <c r="I37" i="53"/>
  <c r="I31" i="53"/>
  <c r="I21" i="53"/>
  <c r="I23" i="53"/>
  <c r="I18" i="53"/>
  <c r="I14" i="53"/>
  <c r="E47" i="53"/>
  <c r="E41" i="53"/>
  <c r="E37" i="53"/>
  <c r="E31" i="53"/>
  <c r="E21" i="53"/>
  <c r="E23" i="53"/>
  <c r="E18" i="53"/>
  <c r="E14" i="53"/>
  <c r="L47" i="52"/>
  <c r="K47" i="52"/>
  <c r="M41" i="52"/>
  <c r="M37" i="52"/>
  <c r="M31" i="52"/>
  <c r="M21" i="52"/>
  <c r="M18" i="52"/>
  <c r="M23" i="52"/>
  <c r="M14" i="52"/>
  <c r="E47" i="52"/>
  <c r="D47" i="52"/>
  <c r="C47" i="52"/>
  <c r="E41" i="52"/>
  <c r="E37" i="52"/>
  <c r="E31" i="52"/>
  <c r="E21" i="52"/>
  <c r="E23" i="52"/>
  <c r="E18" i="52"/>
  <c r="E14" i="52"/>
  <c r="X47" i="51"/>
  <c r="W47" i="51"/>
  <c r="U47" i="51"/>
  <c r="T47" i="51"/>
  <c r="S47" i="51"/>
  <c r="U41" i="51"/>
  <c r="U37" i="51"/>
  <c r="U31" i="51"/>
  <c r="U21" i="51"/>
  <c r="U23" i="51"/>
  <c r="U18" i="51"/>
  <c r="U14" i="51"/>
  <c r="Q47" i="51"/>
  <c r="P47" i="51"/>
  <c r="O47" i="51"/>
  <c r="Q41" i="51"/>
  <c r="Q37" i="51"/>
  <c r="Q31" i="51"/>
  <c r="Q21" i="51"/>
  <c r="Q23" i="51"/>
  <c r="Q18" i="51"/>
  <c r="Q14" i="51"/>
  <c r="M47" i="51"/>
  <c r="L47" i="51"/>
  <c r="K47" i="51"/>
  <c r="M41" i="51"/>
  <c r="M37" i="51"/>
  <c r="M31" i="51"/>
  <c r="M21" i="51"/>
  <c r="M23" i="51"/>
  <c r="M18" i="51"/>
  <c r="M14" i="51"/>
  <c r="I47" i="51"/>
  <c r="H47" i="51"/>
  <c r="G47" i="51"/>
  <c r="I41" i="51"/>
  <c r="I37" i="51"/>
  <c r="I31" i="51"/>
  <c r="I21" i="51"/>
  <c r="I23" i="51"/>
  <c r="I18" i="51"/>
  <c r="I14" i="51"/>
  <c r="E47" i="51"/>
  <c r="D47" i="51"/>
  <c r="C47" i="51"/>
  <c r="E41" i="51"/>
  <c r="E37" i="51"/>
  <c r="E31" i="51"/>
  <c r="E21" i="51"/>
  <c r="E23" i="51"/>
  <c r="E18" i="51"/>
  <c r="E14" i="51"/>
  <c r="Y47" i="50"/>
  <c r="Y41" i="50"/>
  <c r="Y37" i="50"/>
  <c r="Y31" i="50"/>
  <c r="Y21" i="50"/>
  <c r="Y18" i="50"/>
  <c r="Y14" i="50"/>
  <c r="Y23" i="50"/>
  <c r="U47" i="50"/>
  <c r="U41" i="50"/>
  <c r="U37" i="50"/>
  <c r="U31" i="50"/>
  <c r="U21" i="50"/>
  <c r="U18" i="50"/>
  <c r="U14" i="50"/>
  <c r="U23" i="50"/>
  <c r="Q47" i="50"/>
  <c r="Q41" i="50"/>
  <c r="Q37" i="50"/>
  <c r="Q31" i="50"/>
  <c r="Q21" i="50"/>
  <c r="Q18" i="50"/>
  <c r="Q14" i="50"/>
  <c r="Q23" i="50"/>
  <c r="M47" i="50"/>
  <c r="M41" i="50"/>
  <c r="M37" i="50"/>
  <c r="M31" i="50"/>
  <c r="M23" i="50"/>
  <c r="M21" i="50"/>
  <c r="M18" i="50"/>
  <c r="M14" i="50"/>
  <c r="E47" i="50"/>
  <c r="E41" i="50"/>
  <c r="E37" i="50"/>
  <c r="E31" i="50"/>
  <c r="E21" i="50"/>
  <c r="E18" i="50"/>
  <c r="E23" i="50"/>
  <c r="E14" i="50"/>
  <c r="R13" i="47"/>
  <c r="R12" i="47"/>
  <c r="R11" i="47"/>
  <c r="R6" i="47"/>
  <c r="R5" i="47"/>
  <c r="R4" i="47"/>
  <c r="S26" i="45"/>
  <c r="S15" i="45"/>
  <c r="S20" i="45"/>
  <c r="O26" i="45"/>
  <c r="O20" i="45"/>
  <c r="O15" i="45"/>
  <c r="K26" i="45"/>
  <c r="K20" i="45"/>
  <c r="K15" i="45"/>
  <c r="G26" i="45"/>
  <c r="G20" i="45"/>
  <c r="G15" i="45"/>
  <c r="U26" i="44"/>
  <c r="U20" i="44"/>
  <c r="R26" i="44"/>
  <c r="R15" i="44"/>
  <c r="R20" i="44"/>
  <c r="O26" i="44"/>
  <c r="O20" i="44"/>
  <c r="O15" i="44"/>
  <c r="L26" i="44"/>
  <c r="L20" i="44"/>
  <c r="L15" i="44"/>
  <c r="I26" i="44"/>
  <c r="I15" i="44"/>
  <c r="I20" i="44"/>
  <c r="F26" i="44"/>
  <c r="F20" i="44"/>
  <c r="F15" i="44"/>
  <c r="C26" i="44"/>
  <c r="C35" i="44"/>
  <c r="C20" i="44"/>
  <c r="C36" i="44"/>
  <c r="C15" i="44"/>
  <c r="AE19" i="38"/>
  <c r="AC19" i="38"/>
  <c r="AA19" i="38"/>
  <c r="Y19" i="38"/>
  <c r="W19" i="38"/>
  <c r="U19" i="38"/>
  <c r="R19" i="38"/>
  <c r="S19" i="38"/>
  <c r="Q19" i="38"/>
  <c r="O19" i="38"/>
  <c r="M19" i="38"/>
  <c r="K19" i="38"/>
  <c r="I19" i="38"/>
  <c r="H19" i="38"/>
  <c r="F19" i="38"/>
  <c r="G19" i="38"/>
  <c r="E19" i="38"/>
  <c r="C19" i="38"/>
  <c r="AE18" i="38"/>
  <c r="AC18" i="38"/>
  <c r="AA18" i="38"/>
  <c r="Y18" i="38"/>
  <c r="W18" i="38"/>
  <c r="U18" i="38"/>
  <c r="S18" i="38"/>
  <c r="R18" i="38"/>
  <c r="Q18" i="38"/>
  <c r="O18" i="38"/>
  <c r="M18" i="38"/>
  <c r="K18" i="38"/>
  <c r="H18" i="38"/>
  <c r="I18" i="38"/>
  <c r="G18" i="38"/>
  <c r="F18" i="38"/>
  <c r="E18" i="38"/>
  <c r="C18" i="38"/>
  <c r="AE17" i="38"/>
  <c r="AC17" i="38"/>
  <c r="AA17" i="38"/>
  <c r="Y17" i="38"/>
  <c r="W17" i="38"/>
  <c r="U17" i="38"/>
  <c r="R17" i="38"/>
  <c r="S17" i="38"/>
  <c r="Q17" i="38"/>
  <c r="O17" i="38"/>
  <c r="M17" i="38"/>
  <c r="K17" i="38"/>
  <c r="I17" i="38"/>
  <c r="H17" i="38"/>
  <c r="F17" i="38"/>
  <c r="G17" i="38"/>
  <c r="E17" i="38"/>
  <c r="C17" i="38"/>
  <c r="AE16" i="38"/>
  <c r="AC16" i="38"/>
  <c r="AA16" i="38"/>
  <c r="Y16" i="38"/>
  <c r="W16" i="38"/>
  <c r="U16" i="38"/>
  <c r="S16" i="38"/>
  <c r="R16" i="38"/>
  <c r="Q16" i="38"/>
  <c r="O16" i="38"/>
  <c r="M16" i="38"/>
  <c r="K16" i="38"/>
  <c r="H16" i="38"/>
  <c r="I16" i="38"/>
  <c r="G16" i="38"/>
  <c r="F16" i="38"/>
  <c r="E16" i="38"/>
  <c r="C16" i="38"/>
  <c r="AE15" i="38"/>
  <c r="AC15" i="38"/>
  <c r="AA15" i="38"/>
  <c r="Y15" i="38"/>
  <c r="W15" i="38"/>
  <c r="U15" i="38"/>
  <c r="R15" i="38"/>
  <c r="S15" i="38"/>
  <c r="Q15" i="38"/>
  <c r="O15" i="38"/>
  <c r="M15" i="38"/>
  <c r="K15" i="38"/>
  <c r="I15" i="38"/>
  <c r="H15" i="38"/>
  <c r="F15" i="38"/>
  <c r="G15" i="38"/>
  <c r="E15" i="38"/>
  <c r="C15" i="38"/>
  <c r="AE14" i="38"/>
  <c r="AC14" i="38"/>
  <c r="AA14" i="38"/>
  <c r="Y14" i="38"/>
  <c r="W14" i="38"/>
  <c r="U14" i="38"/>
  <c r="S14" i="38"/>
  <c r="R14" i="38"/>
  <c r="Q14" i="38"/>
  <c r="O14" i="38"/>
  <c r="M14" i="38"/>
  <c r="K14" i="38"/>
  <c r="H14" i="38"/>
  <c r="I14" i="38"/>
  <c r="G14" i="38"/>
  <c r="F14" i="38"/>
  <c r="E14" i="38"/>
  <c r="C14" i="38"/>
  <c r="AE13" i="38"/>
  <c r="AC13" i="38"/>
  <c r="AA13" i="38"/>
  <c r="Y13" i="38"/>
  <c r="W13" i="38"/>
  <c r="U13" i="38"/>
  <c r="R13" i="38"/>
  <c r="S13" i="38"/>
  <c r="Q13" i="38"/>
  <c r="O13" i="38"/>
  <c r="M13" i="38"/>
  <c r="K13" i="38"/>
  <c r="I13" i="38"/>
  <c r="H13" i="38"/>
  <c r="F13" i="38"/>
  <c r="G13" i="38"/>
  <c r="E13" i="38"/>
  <c r="C13" i="38"/>
  <c r="AE12" i="38"/>
  <c r="AC12" i="38"/>
  <c r="AA12" i="38"/>
  <c r="Y12" i="38"/>
  <c r="W12" i="38"/>
  <c r="U12" i="38"/>
  <c r="S12" i="38"/>
  <c r="R12" i="38"/>
  <c r="Q12" i="38"/>
  <c r="O12" i="38"/>
  <c r="M12" i="38"/>
  <c r="K12" i="38"/>
  <c r="H12" i="38"/>
  <c r="I12" i="38"/>
  <c r="G12" i="38"/>
  <c r="F12" i="38"/>
  <c r="E12" i="38"/>
  <c r="C12" i="38"/>
  <c r="AE11" i="38"/>
  <c r="AC11" i="38"/>
  <c r="AA11" i="38"/>
  <c r="Y11" i="38"/>
  <c r="W11" i="38"/>
  <c r="U11" i="38"/>
  <c r="R11" i="38"/>
  <c r="S11" i="38"/>
  <c r="Q11" i="38"/>
  <c r="O11" i="38"/>
  <c r="M11" i="38"/>
  <c r="K11" i="38"/>
  <c r="I11" i="38"/>
  <c r="H11" i="38"/>
  <c r="F11" i="38"/>
  <c r="G11" i="38"/>
  <c r="E11" i="38"/>
  <c r="C11" i="38"/>
  <c r="AE19" i="37"/>
  <c r="AC19" i="37"/>
  <c r="AA19" i="37"/>
  <c r="Y19" i="37"/>
  <c r="W19" i="37"/>
  <c r="U19" i="37"/>
  <c r="R19" i="37"/>
  <c r="S19" i="37"/>
  <c r="Q19" i="37"/>
  <c r="O19" i="37"/>
  <c r="M19" i="37"/>
  <c r="K19" i="37"/>
  <c r="H19" i="37"/>
  <c r="I19" i="37"/>
  <c r="F19" i="37"/>
  <c r="G19" i="37"/>
  <c r="E19" i="37"/>
  <c r="C19" i="37"/>
  <c r="AE18" i="37"/>
  <c r="AC18" i="37"/>
  <c r="AA18" i="37"/>
  <c r="Y18" i="37"/>
  <c r="W18" i="37"/>
  <c r="U18" i="37"/>
  <c r="R18" i="37"/>
  <c r="S18" i="37"/>
  <c r="Q18" i="37"/>
  <c r="O18" i="37"/>
  <c r="M18" i="37"/>
  <c r="K18" i="37"/>
  <c r="H18" i="37"/>
  <c r="I18" i="37"/>
  <c r="F18" i="37"/>
  <c r="G18" i="37"/>
  <c r="E18" i="37"/>
  <c r="C18" i="37"/>
  <c r="AE17" i="37"/>
  <c r="AC17" i="37"/>
  <c r="AA17" i="37"/>
  <c r="Y17" i="37"/>
  <c r="W17" i="37"/>
  <c r="U17" i="37"/>
  <c r="R17" i="37"/>
  <c r="S17" i="37"/>
  <c r="Q17" i="37"/>
  <c r="O17" i="37"/>
  <c r="M17" i="37"/>
  <c r="K17" i="37"/>
  <c r="H17" i="37"/>
  <c r="I17" i="37"/>
  <c r="F17" i="37"/>
  <c r="G17" i="37"/>
  <c r="E17" i="37"/>
  <c r="C17" i="37"/>
  <c r="AE16" i="37"/>
  <c r="AC16" i="37"/>
  <c r="AA16" i="37"/>
  <c r="Y16" i="37"/>
  <c r="W16" i="37"/>
  <c r="U16" i="37"/>
  <c r="R16" i="37"/>
  <c r="S16" i="37"/>
  <c r="Q16" i="37"/>
  <c r="O16" i="37"/>
  <c r="M16" i="37"/>
  <c r="K16" i="37"/>
  <c r="H16" i="37"/>
  <c r="I16" i="37"/>
  <c r="F16" i="37"/>
  <c r="G16" i="37"/>
  <c r="AE15" i="37"/>
  <c r="AC15" i="37"/>
  <c r="AA15" i="37"/>
  <c r="Y15" i="37"/>
  <c r="W15" i="37"/>
  <c r="U15" i="37"/>
  <c r="R15" i="37"/>
  <c r="S15" i="37"/>
  <c r="Q15" i="37"/>
  <c r="O15" i="37"/>
  <c r="M15" i="37"/>
  <c r="K15" i="37"/>
  <c r="H15" i="37"/>
  <c r="I15" i="37"/>
  <c r="F15" i="37"/>
  <c r="G15" i="37"/>
  <c r="AE14" i="37"/>
  <c r="AC14" i="37"/>
  <c r="AA14" i="37"/>
  <c r="Y14" i="37"/>
  <c r="W14" i="37"/>
  <c r="U14" i="37"/>
  <c r="R14" i="37"/>
  <c r="S14" i="37"/>
  <c r="Q14" i="37"/>
  <c r="O14" i="37"/>
  <c r="M14" i="37"/>
  <c r="K14" i="37"/>
  <c r="H14" i="37"/>
  <c r="I14" i="37"/>
  <c r="F14" i="37"/>
  <c r="G14" i="37"/>
  <c r="C14" i="37"/>
  <c r="AE13" i="37"/>
  <c r="AC13" i="37"/>
  <c r="AA13" i="37"/>
  <c r="Y13" i="37"/>
  <c r="W13" i="37"/>
  <c r="U13" i="37"/>
  <c r="R13" i="37"/>
  <c r="S13" i="37"/>
  <c r="Q13" i="37"/>
  <c r="O13" i="37"/>
  <c r="M13" i="37"/>
  <c r="K13" i="37"/>
  <c r="I13" i="37"/>
  <c r="H13" i="37"/>
  <c r="F13" i="37"/>
  <c r="G13" i="37"/>
  <c r="C13" i="37"/>
  <c r="AE12" i="37"/>
  <c r="AC12" i="37"/>
  <c r="AA12" i="37"/>
  <c r="Y12" i="37"/>
  <c r="W12" i="37"/>
  <c r="U12" i="37"/>
  <c r="R12" i="37"/>
  <c r="S12" i="37"/>
  <c r="Q12" i="37"/>
  <c r="O12" i="37"/>
  <c r="M12" i="37"/>
  <c r="K12" i="37"/>
  <c r="H12" i="37"/>
  <c r="I12" i="37"/>
  <c r="F12" i="37"/>
  <c r="G12" i="37"/>
  <c r="C12" i="37"/>
  <c r="AE11" i="37"/>
  <c r="AC11" i="37"/>
  <c r="AA11" i="37"/>
  <c r="Y11" i="37"/>
  <c r="W11" i="37"/>
  <c r="U11" i="37"/>
  <c r="S11" i="37"/>
  <c r="R11" i="37"/>
  <c r="Q11" i="37"/>
  <c r="O11" i="37"/>
  <c r="M11" i="37"/>
  <c r="K11" i="37"/>
  <c r="H11" i="37"/>
  <c r="I11" i="37"/>
  <c r="G11" i="37"/>
  <c r="F11" i="37"/>
  <c r="E11" i="37"/>
  <c r="C11" i="37"/>
  <c r="AE19" i="35"/>
  <c r="AC19" i="35"/>
  <c r="AA19" i="35"/>
  <c r="Y19" i="35"/>
  <c r="W19" i="35"/>
  <c r="U19" i="35"/>
  <c r="R19" i="35"/>
  <c r="S19" i="35"/>
  <c r="Q19" i="35"/>
  <c r="O19" i="35"/>
  <c r="M19" i="35"/>
  <c r="K19" i="35"/>
  <c r="H19" i="35"/>
  <c r="I19" i="35"/>
  <c r="F19" i="35"/>
  <c r="G19" i="35"/>
  <c r="E19" i="35"/>
  <c r="C19" i="35"/>
  <c r="AE18" i="35"/>
  <c r="AC18" i="35"/>
  <c r="AA18" i="35"/>
  <c r="Y18" i="35"/>
  <c r="W18" i="35"/>
  <c r="U18" i="35"/>
  <c r="R18" i="35"/>
  <c r="S18" i="35"/>
  <c r="Q18" i="35"/>
  <c r="O18" i="35"/>
  <c r="M18" i="35"/>
  <c r="K18" i="35"/>
  <c r="H18" i="35"/>
  <c r="I18" i="35"/>
  <c r="F18" i="35"/>
  <c r="G18" i="35"/>
  <c r="E18" i="35"/>
  <c r="C18" i="35"/>
  <c r="AE17" i="35"/>
  <c r="AC17" i="35"/>
  <c r="AA17" i="35"/>
  <c r="Y17" i="35"/>
  <c r="W17" i="35"/>
  <c r="U17" i="35"/>
  <c r="R17" i="35"/>
  <c r="S17" i="35"/>
  <c r="Q17" i="35"/>
  <c r="O17" i="35"/>
  <c r="M17" i="35"/>
  <c r="K17" i="35"/>
  <c r="H17" i="35"/>
  <c r="I17" i="35"/>
  <c r="F17" i="35"/>
  <c r="G17" i="35"/>
  <c r="E17" i="35"/>
  <c r="C17" i="35"/>
  <c r="AE16" i="35"/>
  <c r="AC16" i="35"/>
  <c r="AA16" i="35"/>
  <c r="Y16" i="35"/>
  <c r="W16" i="35"/>
  <c r="U16" i="35"/>
  <c r="R16" i="35"/>
  <c r="S16" i="35"/>
  <c r="Q16" i="35"/>
  <c r="O16" i="35"/>
  <c r="M16" i="35"/>
  <c r="K16" i="35"/>
  <c r="H16" i="35"/>
  <c r="I16" i="35"/>
  <c r="F16" i="35"/>
  <c r="G16" i="35"/>
  <c r="E16" i="35"/>
  <c r="C16" i="35"/>
  <c r="AE15" i="35"/>
  <c r="AC15" i="35"/>
  <c r="AA15" i="35"/>
  <c r="Y15" i="35"/>
  <c r="W15" i="35"/>
  <c r="U15" i="35"/>
  <c r="R15" i="35"/>
  <c r="S15" i="35"/>
  <c r="Q15" i="35"/>
  <c r="O15" i="35"/>
  <c r="M15" i="35"/>
  <c r="K15" i="35"/>
  <c r="H15" i="35"/>
  <c r="I15" i="35"/>
  <c r="F15" i="35"/>
  <c r="G15" i="35"/>
  <c r="E15" i="35"/>
  <c r="C15" i="35"/>
  <c r="AE14" i="35"/>
  <c r="AC14" i="35"/>
  <c r="AA14" i="35"/>
  <c r="Y14" i="35"/>
  <c r="W14" i="35"/>
  <c r="U14" i="35"/>
  <c r="R14" i="35"/>
  <c r="S14" i="35"/>
  <c r="Q14" i="35"/>
  <c r="O14" i="35"/>
  <c r="M14" i="35"/>
  <c r="K14" i="35"/>
  <c r="H14" i="35"/>
  <c r="I14" i="35"/>
  <c r="F14" i="35"/>
  <c r="G14" i="35"/>
  <c r="E14" i="35"/>
  <c r="C14" i="35"/>
  <c r="AE13" i="35"/>
  <c r="AC13" i="35"/>
  <c r="AA13" i="35"/>
  <c r="Y13" i="35"/>
  <c r="W13" i="35"/>
  <c r="U13" i="35"/>
  <c r="R13" i="35"/>
  <c r="S13" i="35"/>
  <c r="Q13" i="35"/>
  <c r="O13" i="35"/>
  <c r="M13" i="35"/>
  <c r="K13" i="35"/>
  <c r="H13" i="35"/>
  <c r="I13" i="35"/>
  <c r="F13" i="35"/>
  <c r="G13" i="35"/>
  <c r="E13" i="35"/>
  <c r="C13" i="35"/>
  <c r="AE12" i="35"/>
  <c r="AC12" i="35"/>
  <c r="AA12" i="35"/>
  <c r="Y12" i="35"/>
  <c r="W12" i="35"/>
  <c r="U12" i="35"/>
  <c r="R12" i="35"/>
  <c r="S12" i="35"/>
  <c r="Q12" i="35"/>
  <c r="O12" i="35"/>
  <c r="M12" i="35"/>
  <c r="K12" i="35"/>
  <c r="H12" i="35"/>
  <c r="I12" i="35"/>
  <c r="F12" i="35"/>
  <c r="G12" i="35"/>
  <c r="E12" i="35"/>
  <c r="C12" i="35"/>
  <c r="AE11" i="35"/>
  <c r="AC11" i="35"/>
  <c r="AA11" i="35"/>
  <c r="Y11" i="35"/>
  <c r="W11" i="35"/>
  <c r="U11" i="35"/>
  <c r="R11" i="35"/>
  <c r="S11" i="35"/>
  <c r="Q11" i="35"/>
  <c r="O11" i="35"/>
  <c r="M11" i="35"/>
  <c r="K11" i="35"/>
  <c r="H11" i="35"/>
  <c r="I11" i="35"/>
  <c r="F11" i="35"/>
  <c r="G11" i="35"/>
  <c r="E11" i="35"/>
  <c r="C11" i="35"/>
  <c r="AE19" i="34"/>
  <c r="AC19" i="34"/>
  <c r="AA19" i="34"/>
  <c r="Y19" i="34"/>
  <c r="W19" i="34"/>
  <c r="U19" i="34"/>
  <c r="R19" i="34"/>
  <c r="S19" i="34"/>
  <c r="Q19" i="34"/>
  <c r="O19" i="34"/>
  <c r="M19" i="34"/>
  <c r="K19" i="34"/>
  <c r="H19" i="34"/>
  <c r="I19" i="34"/>
  <c r="F19" i="34"/>
  <c r="G19" i="34"/>
  <c r="E19" i="34"/>
  <c r="C19" i="34"/>
  <c r="AE18" i="34"/>
  <c r="AC18" i="34"/>
  <c r="AA18" i="34"/>
  <c r="Y18" i="34"/>
  <c r="W18" i="34"/>
  <c r="U18" i="34"/>
  <c r="R18" i="34"/>
  <c r="S18" i="34"/>
  <c r="Q18" i="34"/>
  <c r="O18" i="34"/>
  <c r="M18" i="34"/>
  <c r="K18" i="34"/>
  <c r="H18" i="34"/>
  <c r="I18" i="34"/>
  <c r="F18" i="34"/>
  <c r="G18" i="34"/>
  <c r="E18" i="34"/>
  <c r="C18" i="34"/>
  <c r="AE17" i="34"/>
  <c r="AC17" i="34"/>
  <c r="AA17" i="34"/>
  <c r="Y17" i="34"/>
  <c r="W17" i="34"/>
  <c r="U17" i="34"/>
  <c r="R17" i="34"/>
  <c r="S17" i="34"/>
  <c r="Q17" i="34"/>
  <c r="O17" i="34"/>
  <c r="M17" i="34"/>
  <c r="K17" i="34"/>
  <c r="H17" i="34"/>
  <c r="I17" i="34"/>
  <c r="F17" i="34"/>
  <c r="G17" i="34"/>
  <c r="E17" i="34"/>
  <c r="C17" i="34"/>
  <c r="AE16" i="34"/>
  <c r="AC16" i="34"/>
  <c r="AA16" i="34"/>
  <c r="Y16" i="34"/>
  <c r="W16" i="34"/>
  <c r="U16" i="34"/>
  <c r="R16" i="34"/>
  <c r="S16" i="34"/>
  <c r="Q16" i="34"/>
  <c r="O16" i="34"/>
  <c r="M16" i="34"/>
  <c r="K16" i="34"/>
  <c r="H16" i="34"/>
  <c r="I16" i="34"/>
  <c r="F16" i="34"/>
  <c r="G16" i="34"/>
  <c r="E16" i="34"/>
  <c r="C16" i="34"/>
  <c r="AE15" i="34"/>
  <c r="AC15" i="34"/>
  <c r="AA15" i="34"/>
  <c r="Y15" i="34"/>
  <c r="W15" i="34"/>
  <c r="U15" i="34"/>
  <c r="R15" i="34"/>
  <c r="S15" i="34"/>
  <c r="Q15" i="34"/>
  <c r="O15" i="34"/>
  <c r="M15" i="34"/>
  <c r="K15" i="34"/>
  <c r="H15" i="34"/>
  <c r="I15" i="34"/>
  <c r="F15" i="34"/>
  <c r="G15" i="34"/>
  <c r="E15" i="34"/>
  <c r="C15" i="34"/>
  <c r="AE14" i="34"/>
  <c r="AC14" i="34"/>
  <c r="AA14" i="34"/>
  <c r="Y14" i="34"/>
  <c r="W14" i="34"/>
  <c r="U14" i="34"/>
  <c r="R14" i="34"/>
  <c r="S14" i="34"/>
  <c r="Q14" i="34"/>
  <c r="O14" i="34"/>
  <c r="M14" i="34"/>
  <c r="K14" i="34"/>
  <c r="H14" i="34"/>
  <c r="I14" i="34"/>
  <c r="F14" i="34"/>
  <c r="G14" i="34"/>
  <c r="E14" i="34"/>
  <c r="C14" i="34"/>
  <c r="AE13" i="34"/>
  <c r="AC13" i="34"/>
  <c r="AA13" i="34"/>
  <c r="Y13" i="34"/>
  <c r="W13" i="34"/>
  <c r="U13" i="34"/>
  <c r="R13" i="34"/>
  <c r="S13" i="34"/>
  <c r="Q13" i="34"/>
  <c r="O13" i="34"/>
  <c r="M13" i="34"/>
  <c r="K13" i="34"/>
  <c r="H13" i="34"/>
  <c r="I13" i="34"/>
  <c r="F13" i="34"/>
  <c r="G13" i="34"/>
  <c r="E13" i="34"/>
  <c r="C13" i="34"/>
  <c r="AE12" i="34"/>
  <c r="AC12" i="34"/>
  <c r="AA12" i="34"/>
  <c r="Y12" i="34"/>
  <c r="W12" i="34"/>
  <c r="U12" i="34"/>
  <c r="R12" i="34"/>
  <c r="S12" i="34"/>
  <c r="Q12" i="34"/>
  <c r="O12" i="34"/>
  <c r="M12" i="34"/>
  <c r="K12" i="34"/>
  <c r="H12" i="34"/>
  <c r="I12" i="34"/>
  <c r="F12" i="34"/>
  <c r="G12" i="34"/>
  <c r="E12" i="34"/>
  <c r="C12" i="34"/>
  <c r="AE11" i="34"/>
  <c r="AC11" i="34"/>
  <c r="AA11" i="34"/>
  <c r="Y11" i="34"/>
  <c r="W11" i="34"/>
  <c r="U11" i="34"/>
  <c r="R11" i="34"/>
  <c r="S11" i="34"/>
  <c r="Q11" i="34"/>
  <c r="O11" i="34"/>
  <c r="M11" i="34"/>
  <c r="K11" i="34"/>
  <c r="H11" i="34"/>
  <c r="I11" i="34"/>
  <c r="F11" i="34"/>
  <c r="G11" i="34"/>
  <c r="E11" i="34"/>
  <c r="C11" i="34"/>
  <c r="AE19" i="33"/>
  <c r="AC19" i="33"/>
  <c r="AA19" i="33"/>
  <c r="Y19" i="33"/>
  <c r="W19" i="33"/>
  <c r="U19" i="33"/>
  <c r="R19" i="33"/>
  <c r="S19" i="33"/>
  <c r="Q19" i="33"/>
  <c r="O19" i="33"/>
  <c r="M19" i="33"/>
  <c r="K19" i="33"/>
  <c r="H19" i="33"/>
  <c r="I19" i="33"/>
  <c r="F19" i="33"/>
  <c r="G19" i="33"/>
  <c r="E19" i="33"/>
  <c r="C19" i="33"/>
  <c r="AE18" i="33"/>
  <c r="AC18" i="33"/>
  <c r="AA18" i="33"/>
  <c r="Y18" i="33"/>
  <c r="W18" i="33"/>
  <c r="U18" i="33"/>
  <c r="R18" i="33"/>
  <c r="S18" i="33"/>
  <c r="Q18" i="33"/>
  <c r="O18" i="33"/>
  <c r="M18" i="33"/>
  <c r="K18" i="33"/>
  <c r="H18" i="33"/>
  <c r="I18" i="33"/>
  <c r="F18" i="33"/>
  <c r="G18" i="33"/>
  <c r="E18" i="33"/>
  <c r="C18" i="33"/>
  <c r="AE17" i="33"/>
  <c r="AC17" i="33"/>
  <c r="AA17" i="33"/>
  <c r="Y17" i="33"/>
  <c r="W17" i="33"/>
  <c r="U17" i="33"/>
  <c r="R17" i="33"/>
  <c r="S17" i="33"/>
  <c r="Q17" i="33"/>
  <c r="O17" i="33"/>
  <c r="M17" i="33"/>
  <c r="K17" i="33"/>
  <c r="H17" i="33"/>
  <c r="I17" i="33"/>
  <c r="F17" i="33"/>
  <c r="G17" i="33"/>
  <c r="E17" i="33"/>
  <c r="C17" i="33"/>
  <c r="AE16" i="33"/>
  <c r="AC16" i="33"/>
  <c r="AA16" i="33"/>
  <c r="Y16" i="33"/>
  <c r="W16" i="33"/>
  <c r="U16" i="33"/>
  <c r="R16" i="33"/>
  <c r="S16" i="33"/>
  <c r="Q16" i="33"/>
  <c r="O16" i="33"/>
  <c r="M16" i="33"/>
  <c r="K16" i="33"/>
  <c r="H16" i="33"/>
  <c r="I16" i="33"/>
  <c r="F16" i="33"/>
  <c r="G16" i="33"/>
  <c r="E16" i="33"/>
  <c r="C16" i="33"/>
  <c r="AE15" i="33"/>
  <c r="AC15" i="33"/>
  <c r="AA15" i="33"/>
  <c r="Y15" i="33"/>
  <c r="W15" i="33"/>
  <c r="U15" i="33"/>
  <c r="R15" i="33"/>
  <c r="S15" i="33"/>
  <c r="Q15" i="33"/>
  <c r="O15" i="33"/>
  <c r="M15" i="33"/>
  <c r="K15" i="33"/>
  <c r="H15" i="33"/>
  <c r="I15" i="33"/>
  <c r="F15" i="33"/>
  <c r="G15" i="33"/>
  <c r="E15" i="33"/>
  <c r="C15" i="33"/>
  <c r="AE14" i="33"/>
  <c r="AC14" i="33"/>
  <c r="AA14" i="33"/>
  <c r="Y14" i="33"/>
  <c r="W14" i="33"/>
  <c r="U14" i="33"/>
  <c r="R14" i="33"/>
  <c r="S14" i="33"/>
  <c r="Q14" i="33"/>
  <c r="O14" i="33"/>
  <c r="M14" i="33"/>
  <c r="K14" i="33"/>
  <c r="H14" i="33"/>
  <c r="I14" i="33"/>
  <c r="F14" i="33"/>
  <c r="G14" i="33"/>
  <c r="E14" i="33"/>
  <c r="C14" i="33"/>
  <c r="AE13" i="33"/>
  <c r="AC13" i="33"/>
  <c r="AA13" i="33"/>
  <c r="Y13" i="33"/>
  <c r="W13" i="33"/>
  <c r="U13" i="33"/>
  <c r="R13" i="33"/>
  <c r="S13" i="33"/>
  <c r="Q13" i="33"/>
  <c r="O13" i="33"/>
  <c r="M13" i="33"/>
  <c r="K13" i="33"/>
  <c r="H13" i="33"/>
  <c r="I13" i="33"/>
  <c r="F13" i="33"/>
  <c r="G13" i="33"/>
  <c r="E13" i="33"/>
  <c r="C13" i="33"/>
  <c r="AE12" i="33"/>
  <c r="AC12" i="33"/>
  <c r="AA12" i="33"/>
  <c r="Y12" i="33"/>
  <c r="W12" i="33"/>
  <c r="U12" i="33"/>
  <c r="R12" i="33"/>
  <c r="S12" i="33"/>
  <c r="Q12" i="33"/>
  <c r="O12" i="33"/>
  <c r="M12" i="33"/>
  <c r="K12" i="33"/>
  <c r="H12" i="33"/>
  <c r="I12" i="33"/>
  <c r="F12" i="33"/>
  <c r="G12" i="33"/>
  <c r="E12" i="33"/>
  <c r="C12" i="33"/>
  <c r="AE11" i="33"/>
  <c r="AC11" i="33"/>
  <c r="AA11" i="33"/>
  <c r="Y11" i="33"/>
  <c r="W11" i="33"/>
  <c r="U11" i="33"/>
  <c r="R11" i="33"/>
  <c r="S11" i="33"/>
  <c r="Q11" i="33"/>
  <c r="O11" i="33"/>
  <c r="M11" i="33"/>
  <c r="K11" i="33"/>
  <c r="H11" i="33"/>
  <c r="I11" i="33"/>
  <c r="F11" i="33"/>
  <c r="G11" i="33"/>
  <c r="E11" i="33"/>
  <c r="C11" i="33"/>
  <c r="AD19" i="32"/>
  <c r="AE19" i="32"/>
  <c r="AB19" i="32"/>
  <c r="AC19" i="32"/>
  <c r="Z19" i="32"/>
  <c r="AA19" i="32"/>
  <c r="X19" i="32"/>
  <c r="Y19" i="32"/>
  <c r="V19" i="32"/>
  <c r="W19" i="32"/>
  <c r="T19" i="32"/>
  <c r="U19" i="32"/>
  <c r="P19" i="32"/>
  <c r="Q19" i="32"/>
  <c r="N19" i="32"/>
  <c r="O19" i="32"/>
  <c r="L19" i="32"/>
  <c r="J19" i="32"/>
  <c r="K19" i="32"/>
  <c r="E19" i="32"/>
  <c r="B19" i="32"/>
  <c r="C19" i="32"/>
  <c r="AD18" i="32"/>
  <c r="AE18" i="32"/>
  <c r="AB18" i="32"/>
  <c r="AC18" i="32"/>
  <c r="Z18" i="32"/>
  <c r="AA18" i="32"/>
  <c r="X18" i="32"/>
  <c r="Y18" i="32"/>
  <c r="V18" i="32"/>
  <c r="W18" i="32"/>
  <c r="T18" i="32"/>
  <c r="U18" i="32"/>
  <c r="P18" i="32"/>
  <c r="Q18" i="32"/>
  <c r="N18" i="32"/>
  <c r="O18" i="32"/>
  <c r="L18" i="32"/>
  <c r="J18" i="32"/>
  <c r="K18" i="32"/>
  <c r="D18" i="32"/>
  <c r="E18" i="32"/>
  <c r="B18" i="32"/>
  <c r="C18" i="32"/>
  <c r="AD17" i="32"/>
  <c r="AE17" i="32"/>
  <c r="AB17" i="32"/>
  <c r="AC17" i="32"/>
  <c r="Z17" i="32"/>
  <c r="AA17" i="32"/>
  <c r="X17" i="32"/>
  <c r="Y17" i="32"/>
  <c r="V17" i="32"/>
  <c r="W17" i="32"/>
  <c r="T17" i="32"/>
  <c r="R17" i="32"/>
  <c r="P17" i="32"/>
  <c r="Q17" i="32"/>
  <c r="N17" i="32"/>
  <c r="O17" i="32"/>
  <c r="L17" i="32"/>
  <c r="J17" i="32"/>
  <c r="K17" i="32"/>
  <c r="D17" i="32"/>
  <c r="E17" i="32"/>
  <c r="B17" i="32"/>
  <c r="C17" i="32"/>
  <c r="AD16" i="32"/>
  <c r="AE16" i="32"/>
  <c r="AB16" i="32"/>
  <c r="AC16" i="32"/>
  <c r="Z16" i="32"/>
  <c r="AA16" i="32"/>
  <c r="X16" i="32"/>
  <c r="Y16" i="32"/>
  <c r="V16" i="32"/>
  <c r="W16" i="32"/>
  <c r="T16" i="32"/>
  <c r="U16" i="32"/>
  <c r="P16" i="32"/>
  <c r="Q16" i="32"/>
  <c r="N16" i="32"/>
  <c r="H16" i="32"/>
  <c r="I16" i="32"/>
  <c r="L16" i="32"/>
  <c r="J16" i="32"/>
  <c r="K16" i="32"/>
  <c r="E16" i="32"/>
  <c r="D16" i="32"/>
  <c r="B16" i="32"/>
  <c r="C16" i="32"/>
  <c r="AE15" i="32"/>
  <c r="AD15" i="32"/>
  <c r="AB15" i="32"/>
  <c r="AC15" i="32"/>
  <c r="AA15" i="32"/>
  <c r="Z15" i="32"/>
  <c r="X15" i="32"/>
  <c r="Y15" i="32"/>
  <c r="W15" i="32"/>
  <c r="V15" i="32"/>
  <c r="T15" i="32"/>
  <c r="R15" i="32"/>
  <c r="P15" i="32"/>
  <c r="Q15" i="32"/>
  <c r="O15" i="32"/>
  <c r="N15" i="32"/>
  <c r="L15" i="32"/>
  <c r="J15" i="32"/>
  <c r="H15" i="32"/>
  <c r="D15" i="32"/>
  <c r="E15" i="32"/>
  <c r="B15" i="32"/>
  <c r="C15" i="32"/>
  <c r="AD14" i="32"/>
  <c r="AE14" i="32"/>
  <c r="AB14" i="32"/>
  <c r="AC14" i="32"/>
  <c r="Z14" i="32"/>
  <c r="AA14" i="32"/>
  <c r="X14" i="32"/>
  <c r="Y14" i="32"/>
  <c r="V14" i="32"/>
  <c r="W14" i="32"/>
  <c r="T14" i="32"/>
  <c r="P14" i="32"/>
  <c r="Q14" i="32"/>
  <c r="N14" i="32"/>
  <c r="O14" i="32"/>
  <c r="L14" i="32"/>
  <c r="M14" i="32"/>
  <c r="J14" i="32"/>
  <c r="K14" i="32"/>
  <c r="H14" i="32"/>
  <c r="I14" i="32"/>
  <c r="D14" i="32"/>
  <c r="E14" i="32"/>
  <c r="B14" i="32"/>
  <c r="C14" i="32"/>
  <c r="AD13" i="32"/>
  <c r="AE13" i="32"/>
  <c r="AB13" i="32"/>
  <c r="AC13" i="32"/>
  <c r="Z13" i="32"/>
  <c r="AA13" i="32"/>
  <c r="X13" i="32"/>
  <c r="Y13" i="32"/>
  <c r="V13" i="32"/>
  <c r="W13" i="32"/>
  <c r="T13" i="32"/>
  <c r="U13" i="32"/>
  <c r="P13" i="32"/>
  <c r="Q13" i="32"/>
  <c r="N13" i="32"/>
  <c r="O13" i="32"/>
  <c r="L13" i="32"/>
  <c r="M13" i="32"/>
  <c r="J13" i="32"/>
  <c r="D13" i="32"/>
  <c r="E13" i="32"/>
  <c r="B13" i="32"/>
  <c r="C13" i="32"/>
  <c r="AD12" i="32"/>
  <c r="AE12" i="32"/>
  <c r="AB12" i="32"/>
  <c r="AC12" i="32"/>
  <c r="Z12" i="32"/>
  <c r="AA12" i="32"/>
  <c r="X12" i="32"/>
  <c r="Y12" i="32"/>
  <c r="V12" i="32"/>
  <c r="W12" i="32"/>
  <c r="T12" i="32"/>
  <c r="P12" i="32"/>
  <c r="Q12" i="32"/>
  <c r="N12" i="32"/>
  <c r="O12" i="32"/>
  <c r="L12" i="32"/>
  <c r="M12" i="32"/>
  <c r="J12" i="32"/>
  <c r="K12" i="32"/>
  <c r="D12" i="32"/>
  <c r="E12" i="32"/>
  <c r="B12" i="32"/>
  <c r="C12" i="32"/>
  <c r="AD11" i="32"/>
  <c r="AE11" i="32"/>
  <c r="AB11" i="32"/>
  <c r="AC11" i="32"/>
  <c r="Z11" i="32"/>
  <c r="AA11" i="32"/>
  <c r="X11" i="32"/>
  <c r="Y11" i="32"/>
  <c r="V11" i="32"/>
  <c r="W11" i="32"/>
  <c r="T11" i="32"/>
  <c r="U11" i="32"/>
  <c r="P11" i="32"/>
  <c r="Q11" i="32"/>
  <c r="N11" i="32"/>
  <c r="O11" i="32"/>
  <c r="L11" i="32"/>
  <c r="M11" i="32"/>
  <c r="J11" i="32"/>
  <c r="D11" i="32"/>
  <c r="E11" i="32"/>
  <c r="B11" i="32"/>
  <c r="C11" i="32"/>
  <c r="AC19" i="31"/>
  <c r="U19" i="31"/>
  <c r="R19" i="31"/>
  <c r="F19" i="31"/>
  <c r="G19" i="31"/>
  <c r="Q19" i="31"/>
  <c r="I19" i="31"/>
  <c r="H19" i="31"/>
  <c r="E19" i="31"/>
  <c r="AC18" i="31"/>
  <c r="U18" i="31"/>
  <c r="S18" i="31"/>
  <c r="R18" i="31"/>
  <c r="Q18" i="31"/>
  <c r="H18" i="31"/>
  <c r="I18" i="31"/>
  <c r="F18" i="31"/>
  <c r="G18" i="31"/>
  <c r="E18" i="31"/>
  <c r="C18" i="31"/>
  <c r="R17" i="31"/>
  <c r="H17" i="31"/>
  <c r="F17" i="31"/>
  <c r="R16" i="31"/>
  <c r="H16" i="31"/>
  <c r="F16" i="31"/>
  <c r="AE15" i="31"/>
  <c r="AC15" i="31"/>
  <c r="AA15" i="31"/>
  <c r="Y15" i="31"/>
  <c r="W15" i="31"/>
  <c r="U15" i="31"/>
  <c r="R15" i="31"/>
  <c r="S15" i="31"/>
  <c r="Q15" i="31"/>
  <c r="O15" i="31"/>
  <c r="K15" i="31"/>
  <c r="I15" i="31"/>
  <c r="H15" i="31"/>
  <c r="E15" i="31"/>
  <c r="C15" i="31"/>
  <c r="AE14" i="31"/>
  <c r="AC14" i="31"/>
  <c r="AA14" i="31"/>
  <c r="Y14" i="31"/>
  <c r="W14" i="31"/>
  <c r="U14" i="31"/>
  <c r="S14" i="31"/>
  <c r="R14" i="31"/>
  <c r="Q14" i="31"/>
  <c r="O14" i="31"/>
  <c r="K14" i="31"/>
  <c r="H14" i="31"/>
  <c r="I14" i="31"/>
  <c r="F14" i="31"/>
  <c r="G14" i="31"/>
  <c r="E14" i="31"/>
  <c r="C14" i="31"/>
  <c r="AE13" i="31"/>
  <c r="AC13" i="31"/>
  <c r="AA13" i="31"/>
  <c r="Y13" i="31"/>
  <c r="W13" i="31"/>
  <c r="U13" i="31"/>
  <c r="R13" i="31"/>
  <c r="S13" i="31"/>
  <c r="Q13" i="31"/>
  <c r="O13" i="31"/>
  <c r="K13" i="31"/>
  <c r="I13" i="31"/>
  <c r="H13" i="31"/>
  <c r="F13" i="31"/>
  <c r="G13" i="31"/>
  <c r="E13" i="31"/>
  <c r="C13" i="31"/>
  <c r="AE12" i="31"/>
  <c r="AC12" i="31"/>
  <c r="AA12" i="31"/>
  <c r="Y12" i="31"/>
  <c r="W12" i="31"/>
  <c r="U12" i="31"/>
  <c r="S12" i="31"/>
  <c r="R12" i="31"/>
  <c r="Q12" i="31"/>
  <c r="O12" i="31"/>
  <c r="K12" i="31"/>
  <c r="H12" i="31"/>
  <c r="F12" i="31"/>
  <c r="G12" i="31"/>
  <c r="E12" i="31"/>
  <c r="C12" i="31"/>
  <c r="AE11" i="31"/>
  <c r="AC11" i="31"/>
  <c r="AA11" i="31"/>
  <c r="Y11" i="31"/>
  <c r="W11" i="31"/>
  <c r="U11" i="31"/>
  <c r="R11" i="31"/>
  <c r="F11" i="31"/>
  <c r="G11" i="31"/>
  <c r="Q11" i="31"/>
  <c r="O11" i="31"/>
  <c r="M11" i="31"/>
  <c r="K11" i="31"/>
  <c r="H11" i="31"/>
  <c r="I11" i="31"/>
  <c r="E11" i="31"/>
  <c r="C11" i="31"/>
  <c r="AE19" i="30"/>
  <c r="AC19" i="30"/>
  <c r="AA19" i="30"/>
  <c r="Y19" i="30"/>
  <c r="W19" i="30"/>
  <c r="U19" i="30"/>
  <c r="R19" i="30"/>
  <c r="S19" i="30"/>
  <c r="Q19" i="30"/>
  <c r="O19" i="30"/>
  <c r="M19" i="30"/>
  <c r="K19" i="30"/>
  <c r="H19" i="30"/>
  <c r="I19" i="30"/>
  <c r="F19" i="30"/>
  <c r="G19" i="30"/>
  <c r="E19" i="30"/>
  <c r="C19" i="30"/>
  <c r="K8" i="21"/>
  <c r="K9" i="21"/>
  <c r="K10" i="21"/>
  <c r="K11" i="21"/>
  <c r="K14" i="21"/>
  <c r="K15" i="21"/>
  <c r="K16" i="21"/>
  <c r="K17" i="21"/>
  <c r="K18" i="21"/>
  <c r="K19" i="21"/>
  <c r="J19" i="22"/>
  <c r="E19" i="22"/>
  <c r="D19" i="22"/>
  <c r="J18" i="22"/>
  <c r="E18" i="22"/>
  <c r="D18" i="22"/>
  <c r="J17" i="22"/>
  <c r="D17" i="22"/>
  <c r="E17" i="22"/>
  <c r="J16" i="22"/>
  <c r="E16" i="22"/>
  <c r="D16" i="22"/>
  <c r="J15" i="22"/>
  <c r="E15" i="22"/>
  <c r="D15" i="22"/>
  <c r="J14" i="22"/>
  <c r="E14" i="22"/>
  <c r="D14" i="22"/>
  <c r="J13" i="22"/>
  <c r="D13" i="22"/>
  <c r="E13" i="22"/>
  <c r="J12" i="22"/>
  <c r="E12" i="22"/>
  <c r="D12" i="22"/>
  <c r="J11" i="22"/>
  <c r="E11" i="22"/>
  <c r="D11" i="22"/>
  <c r="J59" i="46"/>
  <c r="I59" i="46"/>
  <c r="H59" i="46"/>
  <c r="G59" i="46"/>
  <c r="F59" i="46"/>
  <c r="E59" i="46"/>
  <c r="D59" i="46"/>
  <c r="C59" i="46"/>
  <c r="J58" i="46"/>
  <c r="I58" i="46"/>
  <c r="H58" i="46"/>
  <c r="G58" i="46"/>
  <c r="F58" i="46"/>
  <c r="E58" i="46"/>
  <c r="D58" i="46"/>
  <c r="C58" i="46"/>
  <c r="J57" i="46"/>
  <c r="I57" i="46"/>
  <c r="H57" i="46"/>
  <c r="G57" i="46"/>
  <c r="F57" i="46"/>
  <c r="E57" i="46"/>
  <c r="D57" i="46"/>
  <c r="C57" i="46"/>
  <c r="J56" i="46"/>
  <c r="I56" i="46"/>
  <c r="H56" i="46"/>
  <c r="G56" i="46"/>
  <c r="F56" i="46"/>
  <c r="E56" i="46"/>
  <c r="D56" i="46"/>
  <c r="C56" i="46"/>
  <c r="J49" i="46"/>
  <c r="I49" i="46"/>
  <c r="H49" i="46"/>
  <c r="G49" i="46"/>
  <c r="F49" i="46"/>
  <c r="E49" i="46"/>
  <c r="D49" i="46"/>
  <c r="C49" i="46"/>
  <c r="J48" i="46"/>
  <c r="I48" i="46"/>
  <c r="H48" i="46"/>
  <c r="G48" i="46"/>
  <c r="F48" i="46"/>
  <c r="E48" i="46"/>
  <c r="D48" i="46"/>
  <c r="C48" i="46"/>
  <c r="J47" i="46"/>
  <c r="I47" i="46"/>
  <c r="H47" i="46"/>
  <c r="G47" i="46"/>
  <c r="F47" i="46"/>
  <c r="E47" i="46"/>
  <c r="D47" i="46"/>
  <c r="C47" i="46"/>
  <c r="J46" i="46"/>
  <c r="I46" i="46"/>
  <c r="H46" i="46"/>
  <c r="G46" i="46"/>
  <c r="F46" i="46"/>
  <c r="E46" i="46"/>
  <c r="D46" i="46"/>
  <c r="C46" i="46"/>
  <c r="I40" i="46"/>
  <c r="G40" i="46"/>
  <c r="E40" i="46"/>
  <c r="C40" i="46"/>
  <c r="I39" i="46"/>
  <c r="G39" i="46"/>
  <c r="E39" i="46"/>
  <c r="C39" i="46"/>
  <c r="I38" i="46"/>
  <c r="G38" i="46"/>
  <c r="E38" i="46"/>
  <c r="C38" i="46"/>
  <c r="I36" i="46"/>
  <c r="G36" i="46"/>
  <c r="E36" i="46"/>
  <c r="C36" i="46"/>
  <c r="I35" i="46"/>
  <c r="G35" i="46"/>
  <c r="E35" i="46"/>
  <c r="C35" i="46"/>
  <c r="I34" i="46"/>
  <c r="G34" i="46"/>
  <c r="E34" i="46"/>
  <c r="C34" i="46"/>
  <c r="I32" i="46"/>
  <c r="G32" i="46"/>
  <c r="E32" i="46"/>
  <c r="C32" i="46"/>
  <c r="I31" i="46"/>
  <c r="G31" i="46"/>
  <c r="E31" i="46"/>
  <c r="C31" i="46"/>
  <c r="I29" i="46"/>
  <c r="G29" i="46"/>
  <c r="E29" i="46"/>
  <c r="C29" i="46"/>
  <c r="I28" i="46"/>
  <c r="G28" i="46"/>
  <c r="E28" i="46"/>
  <c r="C28" i="46"/>
  <c r="I27" i="46"/>
  <c r="G27" i="46"/>
  <c r="E27" i="46"/>
  <c r="C27" i="46"/>
  <c r="I26" i="46"/>
  <c r="G26" i="46"/>
  <c r="E26" i="46"/>
  <c r="C26" i="46"/>
  <c r="J19" i="46"/>
  <c r="I19" i="46"/>
  <c r="H19" i="46"/>
  <c r="G19" i="46"/>
  <c r="F19" i="46"/>
  <c r="E19" i="46"/>
  <c r="D19" i="46"/>
  <c r="C19" i="46"/>
  <c r="J18" i="46"/>
  <c r="I18" i="46"/>
  <c r="H18" i="46"/>
  <c r="G18" i="46"/>
  <c r="F18" i="46"/>
  <c r="E18" i="46"/>
  <c r="D18" i="46"/>
  <c r="C18" i="46"/>
  <c r="J17" i="46"/>
  <c r="I17" i="46"/>
  <c r="H17" i="46"/>
  <c r="G17" i="46"/>
  <c r="F17" i="46"/>
  <c r="E17" i="46"/>
  <c r="D17" i="46"/>
  <c r="C17" i="46"/>
  <c r="J16" i="46"/>
  <c r="I16" i="46"/>
  <c r="H16" i="46"/>
  <c r="G16" i="46"/>
  <c r="F16" i="46"/>
  <c r="E16" i="46"/>
  <c r="D16" i="46"/>
  <c r="C16" i="46"/>
  <c r="J15" i="46"/>
  <c r="I15" i="46"/>
  <c r="H15" i="46"/>
  <c r="G15" i="46"/>
  <c r="F15" i="46"/>
  <c r="E15" i="46"/>
  <c r="D15" i="46"/>
  <c r="C15" i="46"/>
  <c r="J14" i="46"/>
  <c r="I14" i="46"/>
  <c r="H14" i="46"/>
  <c r="G14" i="46"/>
  <c r="F14" i="46"/>
  <c r="E14" i="46"/>
  <c r="D14" i="46"/>
  <c r="C14" i="46"/>
  <c r="J13" i="46"/>
  <c r="I13" i="46"/>
  <c r="H13" i="46"/>
  <c r="G13" i="46"/>
  <c r="F13" i="46"/>
  <c r="E13" i="46"/>
  <c r="D13" i="46"/>
  <c r="C13" i="46"/>
  <c r="J12" i="46"/>
  <c r="I12" i="46"/>
  <c r="H12" i="46"/>
  <c r="G12" i="46"/>
  <c r="F12" i="46"/>
  <c r="E12" i="46"/>
  <c r="D12" i="46"/>
  <c r="C12" i="46"/>
  <c r="J11" i="46"/>
  <c r="I11" i="46"/>
  <c r="H11" i="46"/>
  <c r="G11" i="46"/>
  <c r="F11" i="46"/>
  <c r="E11" i="46"/>
  <c r="D11" i="46"/>
  <c r="C11" i="46"/>
  <c r="H11" i="32"/>
  <c r="R11" i="32"/>
  <c r="R14" i="32"/>
  <c r="U17" i="32"/>
  <c r="R18" i="32"/>
  <c r="H12" i="32"/>
  <c r="I12" i="32"/>
  <c r="U15" i="32"/>
  <c r="R12" i="32"/>
  <c r="H13" i="32"/>
  <c r="R13" i="32"/>
  <c r="R19" i="32"/>
  <c r="F12" i="32"/>
  <c r="G12" i="32"/>
  <c r="I13" i="32"/>
  <c r="I11" i="32"/>
  <c r="F11" i="32"/>
  <c r="G11" i="32"/>
  <c r="F14" i="32"/>
  <c r="G14" i="32"/>
  <c r="I15" i="32"/>
  <c r="F15" i="32"/>
  <c r="G15" i="32"/>
  <c r="R16" i="32"/>
  <c r="H17" i="32"/>
  <c r="I17" i="32"/>
  <c r="K11" i="32"/>
  <c r="U12" i="32"/>
  <c r="K13" i="32"/>
  <c r="U14" i="32"/>
  <c r="K15" i="32"/>
  <c r="O16" i="32"/>
  <c r="H18" i="32"/>
  <c r="I18" i="32"/>
  <c r="H19" i="32"/>
  <c r="I19" i="32"/>
  <c r="S11" i="31"/>
  <c r="I12" i="31"/>
  <c r="F15" i="31"/>
  <c r="G15" i="31"/>
  <c r="S19" i="31"/>
  <c r="F13" i="32"/>
  <c r="G13" i="32"/>
  <c r="F19" i="32"/>
  <c r="G19" i="32"/>
  <c r="F18" i="32"/>
  <c r="G18" i="32"/>
  <c r="F17" i="32"/>
  <c r="G17" i="32"/>
  <c r="F16" i="32"/>
  <c r="G16" i="32"/>
  <c r="W19" i="48"/>
  <c r="V19" i="48"/>
  <c r="U19" i="48"/>
  <c r="T19" i="48"/>
  <c r="S19" i="48"/>
  <c r="R19" i="48"/>
  <c r="Q19" i="48"/>
  <c r="P19" i="48"/>
  <c r="O19" i="48"/>
  <c r="N19" i="48"/>
  <c r="M19" i="48"/>
  <c r="L19" i="48"/>
  <c r="I19" i="48"/>
  <c r="H19" i="48"/>
  <c r="G19" i="48"/>
  <c r="F19" i="48"/>
  <c r="E19" i="48"/>
  <c r="D19" i="48"/>
  <c r="C19" i="48"/>
  <c r="B19" i="48"/>
  <c r="W18" i="48"/>
  <c r="V18" i="48"/>
  <c r="U18" i="48"/>
  <c r="T18" i="48"/>
  <c r="S18" i="48"/>
  <c r="R18" i="48"/>
  <c r="Q18" i="48"/>
  <c r="P18" i="48"/>
  <c r="O18" i="48"/>
  <c r="N18" i="48"/>
  <c r="M18" i="48"/>
  <c r="L18" i="48"/>
  <c r="I18" i="48"/>
  <c r="H18" i="48"/>
  <c r="G18" i="48"/>
  <c r="F18" i="48"/>
  <c r="E18" i="48"/>
  <c r="D18" i="48"/>
  <c r="C18" i="48"/>
  <c r="B18" i="48"/>
  <c r="W17" i="48"/>
  <c r="V17" i="48"/>
  <c r="U17" i="48"/>
  <c r="T17" i="48"/>
  <c r="S17" i="48"/>
  <c r="R17" i="48"/>
  <c r="Q17" i="48"/>
  <c r="P17" i="48"/>
  <c r="O17" i="48"/>
  <c r="N17" i="48"/>
  <c r="M17" i="48"/>
  <c r="L17" i="48"/>
  <c r="I17" i="48"/>
  <c r="H17" i="48"/>
  <c r="G17" i="48"/>
  <c r="F17" i="48"/>
  <c r="E17" i="48"/>
  <c r="D17" i="48"/>
  <c r="C17" i="48"/>
  <c r="B17" i="48"/>
  <c r="W15" i="48"/>
  <c r="V15" i="48"/>
  <c r="U15" i="48"/>
  <c r="T15" i="48"/>
  <c r="S15" i="48"/>
  <c r="R15" i="48"/>
  <c r="Q15" i="48"/>
  <c r="P15" i="48"/>
  <c r="O15" i="48"/>
  <c r="N15" i="48"/>
  <c r="M15" i="48"/>
  <c r="L15" i="48"/>
  <c r="I15" i="48"/>
  <c r="H15" i="48"/>
  <c r="G15" i="48"/>
  <c r="F15" i="48"/>
  <c r="E15" i="48"/>
  <c r="D15" i="48"/>
  <c r="C15" i="48"/>
  <c r="B15" i="48"/>
  <c r="W14" i="48"/>
  <c r="V14" i="48"/>
  <c r="U14" i="48"/>
  <c r="T14" i="48"/>
  <c r="S14" i="48"/>
  <c r="R14" i="48"/>
  <c r="Q14" i="48"/>
  <c r="P14" i="48"/>
  <c r="O14" i="48"/>
  <c r="N14" i="48"/>
  <c r="M14" i="48"/>
  <c r="L14" i="48"/>
  <c r="I14" i="48"/>
  <c r="H14" i="48"/>
  <c r="G14" i="48"/>
  <c r="F14" i="48"/>
  <c r="E14" i="48"/>
  <c r="D14" i="48"/>
  <c r="C14" i="48"/>
  <c r="B14" i="48"/>
  <c r="W13" i="48"/>
  <c r="V13" i="48"/>
  <c r="U13" i="48"/>
  <c r="T13" i="48"/>
  <c r="S13" i="48"/>
  <c r="R13" i="48"/>
  <c r="Q13" i="48"/>
  <c r="P13" i="48"/>
  <c r="O13" i="48"/>
  <c r="N13" i="48"/>
  <c r="M13" i="48"/>
  <c r="L13" i="48"/>
  <c r="I13" i="48"/>
  <c r="H13" i="48"/>
  <c r="G13" i="48"/>
  <c r="F13" i="48"/>
  <c r="E13" i="48"/>
  <c r="D13" i="48"/>
  <c r="C13" i="48"/>
  <c r="B13" i="48"/>
  <c r="W12" i="48"/>
  <c r="V12" i="48"/>
  <c r="U12" i="48"/>
  <c r="T12" i="48"/>
  <c r="S12" i="48"/>
  <c r="R12" i="48"/>
  <c r="Q12" i="48"/>
  <c r="P12" i="48"/>
  <c r="O12" i="48"/>
  <c r="N12" i="48"/>
  <c r="M12" i="48"/>
  <c r="L12" i="48"/>
  <c r="I12" i="48"/>
  <c r="H12" i="48"/>
  <c r="G12" i="48"/>
  <c r="F12" i="48"/>
  <c r="E12" i="48"/>
  <c r="D12" i="48"/>
  <c r="C12" i="48"/>
  <c r="B12" i="48"/>
  <c r="W11" i="48"/>
  <c r="V11" i="48"/>
  <c r="U11" i="48"/>
  <c r="T11" i="48"/>
  <c r="S11" i="48"/>
  <c r="R11" i="48"/>
  <c r="Q11" i="48"/>
  <c r="P11" i="48"/>
  <c r="O11" i="48"/>
  <c r="N11" i="48"/>
  <c r="M11" i="48"/>
  <c r="L11" i="48"/>
  <c r="I11" i="48"/>
  <c r="H11" i="48"/>
  <c r="G11" i="48"/>
  <c r="F11" i="48"/>
  <c r="E11" i="48"/>
  <c r="C11" i="48"/>
  <c r="B11" i="48"/>
  <c r="D11" i="48"/>
  <c r="B20" i="32"/>
  <c r="B20" i="36"/>
  <c r="D20" i="36"/>
  <c r="H20" i="31"/>
  <c r="J20" i="32"/>
  <c r="K20" i="32"/>
  <c r="L20" i="32"/>
  <c r="N20" i="32"/>
  <c r="O20" i="32"/>
  <c r="P20" i="32"/>
  <c r="Q20" i="32"/>
  <c r="T20" i="32"/>
  <c r="R20" i="32"/>
  <c r="V20" i="32"/>
  <c r="W20" i="32"/>
  <c r="X20" i="32"/>
  <c r="Y20" i="32"/>
  <c r="Z20" i="32"/>
  <c r="AA20" i="32"/>
  <c r="AB20" i="32"/>
  <c r="AC20" i="32"/>
  <c r="AD20" i="32"/>
  <c r="AE20" i="32"/>
  <c r="U20" i="32"/>
  <c r="H20" i="32"/>
  <c r="F20" i="32"/>
  <c r="U25" i="43"/>
  <c r="U34" i="43"/>
  <c r="S25" i="43"/>
  <c r="S34" i="43"/>
  <c r="Q25" i="43"/>
  <c r="Q34" i="43"/>
  <c r="U14" i="43"/>
  <c r="U19" i="43"/>
  <c r="U35" i="43"/>
  <c r="S14" i="43"/>
  <c r="S19" i="43"/>
  <c r="S35" i="43"/>
  <c r="Q14" i="43"/>
  <c r="Q19" i="43"/>
  <c r="Q35" i="43"/>
  <c r="O14" i="43"/>
  <c r="O19" i="43"/>
  <c r="I26" i="43"/>
  <c r="O35" i="43"/>
  <c r="T13" i="43"/>
  <c r="R14" i="43"/>
  <c r="R18" i="43"/>
  <c r="R19" i="43"/>
  <c r="T21" i="43"/>
  <c r="R22" i="43"/>
  <c r="R23" i="43"/>
  <c r="V24" i="43"/>
  <c r="R24" i="43"/>
  <c r="T24" i="43"/>
  <c r="O25" i="43"/>
  <c r="T25" i="43"/>
  <c r="R26" i="43"/>
  <c r="V26" i="43"/>
  <c r="R27" i="43"/>
  <c r="V27" i="43"/>
  <c r="T28" i="43"/>
  <c r="T29" i="43"/>
  <c r="V30" i="43"/>
  <c r="T31" i="43"/>
  <c r="V32" i="43"/>
  <c r="T33" i="43"/>
  <c r="O34" i="43"/>
  <c r="V34" i="43"/>
  <c r="V35" i="43"/>
  <c r="R35" i="43"/>
  <c r="T35" i="43"/>
  <c r="R29" i="43"/>
  <c r="R28" i="43"/>
  <c r="V22" i="43"/>
  <c r="R33" i="43"/>
  <c r="T32" i="43"/>
  <c r="V28" i="43"/>
  <c r="V25" i="43"/>
  <c r="V33" i="43"/>
  <c r="R32" i="43"/>
  <c r="V29" i="43"/>
  <c r="R25" i="43"/>
  <c r="R21" i="43"/>
  <c r="R13" i="43"/>
  <c r="P24" i="43"/>
  <c r="V23" i="43"/>
  <c r="V19" i="43"/>
  <c r="T27" i="43"/>
  <c r="P27" i="43"/>
  <c r="T23" i="43"/>
  <c r="T19" i="43"/>
  <c r="V18" i="43"/>
  <c r="V14" i="43"/>
  <c r="T34" i="43"/>
  <c r="R31" i="43"/>
  <c r="P31" i="43"/>
  <c r="T30" i="43"/>
  <c r="T26" i="43"/>
  <c r="P26" i="43"/>
  <c r="T22" i="43"/>
  <c r="V21" i="43"/>
  <c r="T18" i="43"/>
  <c r="T14" i="43"/>
  <c r="V13" i="43"/>
  <c r="R34" i="43"/>
  <c r="R30" i="43"/>
  <c r="V31" i="43"/>
  <c r="V12" i="43"/>
  <c r="P19" i="43"/>
  <c r="P25" i="43"/>
  <c r="P23" i="43"/>
  <c r="P35" i="43"/>
  <c r="P33" i="43"/>
  <c r="P29" i="43"/>
  <c r="P28" i="43"/>
  <c r="P22" i="43"/>
  <c r="P13" i="43"/>
  <c r="P32" i="43"/>
  <c r="P21" i="43"/>
  <c r="P14" i="43"/>
  <c r="P18" i="43"/>
  <c r="P30" i="43"/>
  <c r="P34" i="43"/>
  <c r="T12" i="43"/>
  <c r="R12" i="43"/>
  <c r="P12" i="43"/>
  <c r="V11" i="43"/>
  <c r="T11" i="43"/>
  <c r="R11" i="43"/>
  <c r="P11" i="43"/>
  <c r="W16" i="44"/>
  <c r="Q30" i="44"/>
  <c r="H28" i="44"/>
  <c r="Q16" i="44"/>
  <c r="E25" i="45"/>
  <c r="E24" i="45"/>
  <c r="E23" i="45"/>
  <c r="E22" i="45"/>
  <c r="AD12" i="52"/>
  <c r="V42" i="56"/>
  <c r="AL36" i="62"/>
  <c r="AP36" i="62"/>
  <c r="AP36" i="58"/>
  <c r="AP10" i="58"/>
  <c r="Y23" i="112"/>
  <c r="O17" i="83"/>
  <c r="O13" i="83"/>
  <c r="W13" i="83" s="1"/>
  <c r="O60" i="78"/>
  <c r="O56" i="78" s="1"/>
  <c r="O43" i="78"/>
  <c r="H72" i="72"/>
  <c r="H68" i="72"/>
  <c r="H77" i="72"/>
  <c r="H75" i="72"/>
  <c r="H69" i="72"/>
  <c r="H74" i="72"/>
  <c r="H65" i="72"/>
  <c r="H62" i="72"/>
  <c r="D61" i="72"/>
  <c r="E61" i="72"/>
  <c r="F61" i="72"/>
  <c r="G61" i="72"/>
  <c r="D62" i="72"/>
  <c r="E62" i="72"/>
  <c r="F62" i="72"/>
  <c r="G62" i="72"/>
  <c r="D63" i="72"/>
  <c r="E63" i="72"/>
  <c r="F63" i="72"/>
  <c r="G63" i="72"/>
  <c r="D64" i="72"/>
  <c r="E64" i="72"/>
  <c r="F64" i="72"/>
  <c r="G64" i="72"/>
  <c r="D65" i="72"/>
  <c r="E65" i="72"/>
  <c r="F65" i="72"/>
  <c r="G65" i="72"/>
  <c r="D66" i="72"/>
  <c r="E66" i="72"/>
  <c r="F66" i="72"/>
  <c r="G66" i="72"/>
  <c r="D67" i="72"/>
  <c r="E67" i="72"/>
  <c r="F67" i="72"/>
  <c r="G67" i="72"/>
  <c r="D68" i="72"/>
  <c r="E68" i="72"/>
  <c r="F68" i="72"/>
  <c r="G68" i="72"/>
  <c r="D69" i="72"/>
  <c r="E69" i="72"/>
  <c r="F69" i="72"/>
  <c r="G69" i="72"/>
  <c r="D70" i="72"/>
  <c r="E70" i="72"/>
  <c r="F70" i="72"/>
  <c r="G70" i="72"/>
  <c r="D71" i="72"/>
  <c r="E71" i="72"/>
  <c r="F71" i="72"/>
  <c r="G71" i="72"/>
  <c r="D72" i="72"/>
  <c r="E72" i="72"/>
  <c r="F72" i="72"/>
  <c r="G72" i="72"/>
  <c r="D73" i="72"/>
  <c r="E73" i="72"/>
  <c r="F73" i="72"/>
  <c r="G73" i="72"/>
  <c r="D74" i="72"/>
  <c r="E74" i="72"/>
  <c r="F74" i="72"/>
  <c r="G74" i="72"/>
  <c r="D75" i="72"/>
  <c r="E75" i="72"/>
  <c r="F75" i="72"/>
  <c r="G75" i="72"/>
  <c r="D76" i="72"/>
  <c r="E76" i="72"/>
  <c r="F76" i="72"/>
  <c r="G76" i="72"/>
  <c r="D77" i="72"/>
  <c r="E77" i="72"/>
  <c r="F77" i="72"/>
  <c r="G77" i="72"/>
  <c r="D78" i="72"/>
  <c r="E78" i="72"/>
  <c r="F78" i="72"/>
  <c r="G78" i="72"/>
  <c r="D79" i="72"/>
  <c r="E79" i="72"/>
  <c r="F79" i="72"/>
  <c r="G79" i="72"/>
  <c r="C79" i="72"/>
  <c r="C63" i="72"/>
  <c r="C64" i="72"/>
  <c r="C65" i="72"/>
  <c r="C66" i="72"/>
  <c r="C67" i="72"/>
  <c r="C68" i="72"/>
  <c r="C69" i="72"/>
  <c r="C70" i="72"/>
  <c r="C71" i="72"/>
  <c r="C72" i="72"/>
  <c r="C73" i="72"/>
  <c r="C74" i="72"/>
  <c r="C75" i="72"/>
  <c r="C76" i="72"/>
  <c r="C77" i="72"/>
  <c r="C78" i="72"/>
  <c r="C62" i="72"/>
  <c r="C61" i="72"/>
  <c r="J26" i="111"/>
  <c r="J25" i="111"/>
  <c r="J23" i="111"/>
  <c r="J22" i="111"/>
  <c r="J21" i="111"/>
  <c r="J20" i="111"/>
  <c r="J19" i="111"/>
  <c r="W17" i="71"/>
  <c r="F26" i="68"/>
  <c r="F29" i="68"/>
  <c r="F33" i="68"/>
  <c r="F17" i="68"/>
  <c r="F28" i="68"/>
  <c r="F34" i="68"/>
  <c r="F11" i="68"/>
  <c r="H20" i="66"/>
  <c r="S38" i="112"/>
  <c r="P35" i="67"/>
  <c r="P21" i="67"/>
  <c r="P22" i="67"/>
  <c r="P24" i="67"/>
  <c r="P25" i="67"/>
  <c r="P26" i="67"/>
  <c r="P27" i="67"/>
  <c r="P28" i="67"/>
  <c r="P30" i="67"/>
  <c r="P31" i="67"/>
  <c r="P32" i="67"/>
  <c r="P33" i="67"/>
  <c r="P34" i="67"/>
  <c r="C86" i="65"/>
  <c r="C73" i="65"/>
  <c r="C75" i="65"/>
  <c r="C77" i="65"/>
  <c r="C88" i="65"/>
  <c r="C82" i="65"/>
  <c r="C70" i="65"/>
  <c r="C72" i="65"/>
  <c r="C85" i="65"/>
  <c r="C69" i="65"/>
  <c r="C74" i="65"/>
  <c r="C76" i="65"/>
  <c r="C78" i="65"/>
  <c r="C80" i="65"/>
  <c r="C71" i="65"/>
  <c r="C90" i="65"/>
  <c r="C89" i="65"/>
  <c r="C87" i="65"/>
  <c r="C83" i="65"/>
  <c r="C84" i="65"/>
  <c r="C81" i="65"/>
  <c r="C79" i="65"/>
  <c r="O38" i="112"/>
  <c r="N38" i="112"/>
  <c r="AP49" i="61"/>
  <c r="AP48" i="61"/>
  <c r="AP47" i="61"/>
  <c r="AP46" i="61"/>
  <c r="AP45" i="61"/>
  <c r="AP44" i="61"/>
  <c r="AP43" i="61"/>
  <c r="AP42" i="61"/>
  <c r="AP41" i="61"/>
  <c r="AP49" i="60"/>
  <c r="AP48" i="60"/>
  <c r="AP47" i="60"/>
  <c r="AP46" i="60"/>
  <c r="AP45" i="60"/>
  <c r="AP44" i="60"/>
  <c r="AP43" i="60"/>
  <c r="AP42" i="60"/>
  <c r="AP41" i="60"/>
  <c r="AP49" i="59"/>
  <c r="AP48" i="59"/>
  <c r="AP47" i="59"/>
  <c r="AP46" i="59"/>
  <c r="AP45" i="59"/>
  <c r="AP44" i="59"/>
  <c r="AP43" i="59"/>
  <c r="AP42" i="59"/>
  <c r="AP41" i="59"/>
  <c r="AP49" i="58"/>
  <c r="AP48" i="58"/>
  <c r="AP47" i="58"/>
  <c r="AP46" i="58"/>
  <c r="AP45" i="58"/>
  <c r="AP44" i="58"/>
  <c r="AP43" i="58"/>
  <c r="AP42" i="58"/>
  <c r="AP41" i="58"/>
  <c r="Z38" i="62"/>
  <c r="AB49" i="62"/>
  <c r="AB48" i="62"/>
  <c r="AB47" i="62"/>
  <c r="AB46" i="62"/>
  <c r="AB45" i="62"/>
  <c r="AB44" i="62"/>
  <c r="AB43" i="62"/>
  <c r="AB42" i="62"/>
  <c r="AB41" i="62"/>
  <c r="AJ37" i="62"/>
  <c r="AJ35" i="62"/>
  <c r="AJ34" i="62"/>
  <c r="AJ33" i="62"/>
  <c r="AJ32" i="62"/>
  <c r="AJ31" i="62"/>
  <c r="AJ30" i="62"/>
  <c r="AJ29" i="62"/>
  <c r="AJ28" i="62"/>
  <c r="AJ27" i="62"/>
  <c r="AJ26" i="62"/>
  <c r="AJ25" i="62"/>
  <c r="AJ24" i="62"/>
  <c r="AJ23" i="62"/>
  <c r="AJ22" i="62"/>
  <c r="AJ21" i="62"/>
  <c r="AJ20" i="62"/>
  <c r="AJ19" i="62"/>
  <c r="AJ18" i="62"/>
  <c r="AJ17" i="62"/>
  <c r="AJ16" i="62"/>
  <c r="AJ15" i="62"/>
  <c r="AJ14" i="62"/>
  <c r="AJ13" i="62"/>
  <c r="AJ12" i="62"/>
  <c r="AJ11" i="62"/>
  <c r="AJ10" i="62"/>
  <c r="AJ9" i="62"/>
  <c r="X38" i="62"/>
  <c r="P49" i="62"/>
  <c r="P48" i="62"/>
  <c r="P47" i="62"/>
  <c r="P46" i="62"/>
  <c r="P45" i="62"/>
  <c r="P44" i="62"/>
  <c r="P43" i="62"/>
  <c r="P42" i="62"/>
  <c r="P41" i="62"/>
  <c r="P37" i="62"/>
  <c r="P36" i="62"/>
  <c r="P35" i="62"/>
  <c r="P34" i="62"/>
  <c r="P33" i="62"/>
  <c r="P32" i="62"/>
  <c r="P31" i="62"/>
  <c r="P30" i="62"/>
  <c r="P29" i="62"/>
  <c r="P28" i="62"/>
  <c r="P27" i="62"/>
  <c r="P26" i="62"/>
  <c r="P25" i="62"/>
  <c r="P24" i="62"/>
  <c r="P23" i="62"/>
  <c r="P22" i="62"/>
  <c r="P21" i="62"/>
  <c r="P20" i="62"/>
  <c r="P19" i="62"/>
  <c r="P18" i="62"/>
  <c r="P17" i="62"/>
  <c r="P16" i="62"/>
  <c r="P15" i="62"/>
  <c r="P14" i="62"/>
  <c r="P13" i="62"/>
  <c r="P12" i="62"/>
  <c r="P11" i="62"/>
  <c r="P10" i="62"/>
  <c r="P9" i="62"/>
  <c r="AJ38" i="58"/>
  <c r="AN32" i="61"/>
  <c r="AN28" i="61"/>
  <c r="AO23" i="61"/>
  <c r="AO36" i="61"/>
  <c r="AP23" i="60"/>
  <c r="AO36" i="60"/>
  <c r="AN32" i="60"/>
  <c r="AN28" i="60"/>
  <c r="AO36" i="59"/>
  <c r="AP36" i="59"/>
  <c r="AM49" i="58"/>
  <c r="AO49" i="58"/>
  <c r="AJ38" i="62"/>
  <c r="P38" i="62"/>
  <c r="AJ26" i="57"/>
  <c r="AJ27" i="57"/>
  <c r="AE31" i="57"/>
  <c r="AE32" i="57"/>
  <c r="AF32" i="57"/>
  <c r="S35" i="55"/>
  <c r="G35" i="55"/>
  <c r="AA35" i="55"/>
  <c r="C33" i="55"/>
  <c r="D33" i="55"/>
  <c r="G33" i="55"/>
  <c r="H33" i="55"/>
  <c r="K33" i="55"/>
  <c r="L33" i="55"/>
  <c r="O33" i="55"/>
  <c r="P33" i="55"/>
  <c r="S33" i="55"/>
  <c r="T33" i="55"/>
  <c r="W33" i="55"/>
  <c r="X33" i="55"/>
  <c r="C12" i="55"/>
  <c r="D12" i="55"/>
  <c r="E12" i="55"/>
  <c r="W12" i="55"/>
  <c r="X12" i="55"/>
  <c r="Y12" i="55"/>
  <c r="S12" i="55"/>
  <c r="T12" i="55"/>
  <c r="U12" i="55"/>
  <c r="O12" i="55"/>
  <c r="P12" i="55"/>
  <c r="Q12" i="55"/>
  <c r="R12" i="55"/>
  <c r="K12" i="55"/>
  <c r="L12" i="55"/>
  <c r="M12" i="55"/>
  <c r="N12" i="55"/>
  <c r="G12" i="55"/>
  <c r="H12" i="55"/>
  <c r="I12" i="55"/>
  <c r="J12" i="55"/>
  <c r="AB33" i="52"/>
  <c r="AA12" i="55"/>
  <c r="AC12" i="55"/>
  <c r="AB12" i="55"/>
  <c r="AB46" i="51"/>
  <c r="AG38" i="60"/>
  <c r="AB38" i="59"/>
  <c r="S31" i="56"/>
  <c r="T31" i="56"/>
  <c r="S24" i="56"/>
  <c r="T24" i="56"/>
  <c r="S25" i="56"/>
  <c r="T25" i="56"/>
  <c r="S11" i="56"/>
  <c r="T11" i="56"/>
  <c r="U11" i="56"/>
  <c r="F21" i="54"/>
  <c r="AA33" i="54"/>
  <c r="AB33" i="54"/>
  <c r="AA27" i="54"/>
  <c r="AB27" i="54"/>
  <c r="AA28" i="54"/>
  <c r="AB28" i="54"/>
  <c r="AA29" i="54"/>
  <c r="AB29" i="54"/>
  <c r="AA12" i="54"/>
  <c r="AB12" i="54"/>
  <c r="AC12" i="54"/>
  <c r="AA33" i="53"/>
  <c r="AB33" i="53"/>
  <c r="AA27" i="53"/>
  <c r="AB27" i="53"/>
  <c r="AA28" i="53"/>
  <c r="AB28" i="53"/>
  <c r="AA29" i="53"/>
  <c r="AB29" i="53"/>
  <c r="AA12" i="53"/>
  <c r="AB12" i="53"/>
  <c r="AC12" i="53"/>
  <c r="F14" i="53"/>
  <c r="F18" i="53"/>
  <c r="F21" i="53"/>
  <c r="F31" i="53"/>
  <c r="F37" i="53"/>
  <c r="F41" i="53"/>
  <c r="J47" i="51"/>
  <c r="AD45" i="51"/>
  <c r="AD47" i="51" s="1"/>
  <c r="AA33" i="51"/>
  <c r="AB33" i="51"/>
  <c r="AA27" i="51"/>
  <c r="AB27" i="51"/>
  <c r="AA28" i="51"/>
  <c r="AB28" i="51"/>
  <c r="AA29" i="51"/>
  <c r="AB29" i="51"/>
  <c r="AA12" i="51"/>
  <c r="AB12" i="51"/>
  <c r="AC12" i="51"/>
  <c r="AA12" i="50"/>
  <c r="AB12" i="50"/>
  <c r="AA27" i="50"/>
  <c r="AB27" i="50"/>
  <c r="AC27" i="50"/>
  <c r="AA28" i="50"/>
  <c r="AB28" i="50"/>
  <c r="AC28" i="50"/>
  <c r="AA29" i="50"/>
  <c r="AB29" i="50"/>
  <c r="AC29" i="50"/>
  <c r="AA33" i="50"/>
  <c r="AB33" i="50"/>
  <c r="AC12" i="50"/>
  <c r="M12" i="49"/>
  <c r="Q18" i="78"/>
  <c r="Q14" i="78"/>
  <c r="Q12" i="78"/>
  <c r="Q31" i="78"/>
  <c r="Q23" i="78"/>
  <c r="Q13" i="78"/>
  <c r="M56" i="78"/>
  <c r="K19" i="79" s="1"/>
  <c r="M43" i="78"/>
  <c r="Q67" i="78"/>
  <c r="Q65" i="78"/>
  <c r="Q62" i="78"/>
  <c r="Q59" i="78"/>
  <c r="Q54" i="78"/>
  <c r="K49" i="78"/>
  <c r="K43" i="78" s="1"/>
  <c r="Q47" i="78"/>
  <c r="Q45" i="78"/>
  <c r="Q68" i="78"/>
  <c r="Q58" i="78"/>
  <c r="Q55" i="78"/>
  <c r="Q53" i="78"/>
  <c r="Q46" i="78"/>
  <c r="G19" i="79"/>
  <c r="I43" i="78"/>
  <c r="H19" i="79" s="1"/>
  <c r="C22" i="45"/>
  <c r="C23" i="45"/>
  <c r="C24" i="45"/>
  <c r="C25" i="45"/>
  <c r="D30" i="12"/>
  <c r="D31" i="12"/>
  <c r="D32" i="12"/>
  <c r="J30" i="12"/>
  <c r="J31" i="12"/>
  <c r="J32" i="12"/>
  <c r="I31" i="12"/>
  <c r="I32" i="12"/>
  <c r="I30" i="12"/>
  <c r="H31" i="12"/>
  <c r="H32" i="12"/>
  <c r="H30" i="12"/>
  <c r="G31" i="12"/>
  <c r="G32" i="12"/>
  <c r="G30" i="12"/>
  <c r="F31" i="12"/>
  <c r="F32" i="12"/>
  <c r="F30" i="12"/>
  <c r="E31" i="12"/>
  <c r="E32" i="12"/>
  <c r="E30" i="12"/>
  <c r="D27" i="12"/>
  <c r="F27" i="12"/>
  <c r="X18" i="48"/>
  <c r="Y18" i="48"/>
  <c r="K18" i="48"/>
  <c r="J18" i="48"/>
  <c r="Z18" i="48"/>
  <c r="AA18" i="48"/>
  <c r="D29" i="11"/>
  <c r="R20" i="31"/>
  <c r="F20" i="31"/>
  <c r="Q34" i="44"/>
  <c r="Q33" i="44"/>
  <c r="Q29" i="44"/>
  <c r="Q28" i="44"/>
  <c r="Q27" i="44"/>
  <c r="Q25" i="44"/>
  <c r="Q23" i="44"/>
  <c r="Q22" i="44"/>
  <c r="Q18" i="44"/>
  <c r="Q17" i="44"/>
  <c r="Q14" i="44"/>
  <c r="Q13" i="44"/>
  <c r="Q12" i="44"/>
  <c r="T28" i="44"/>
  <c r="N28" i="44"/>
  <c r="K28" i="44"/>
  <c r="H27" i="44"/>
  <c r="E28" i="44"/>
  <c r="F12" i="55"/>
  <c r="V12" i="55"/>
  <c r="Z12" i="55"/>
  <c r="AD12" i="54"/>
  <c r="AD12" i="53"/>
  <c r="AD12" i="51"/>
  <c r="AD12" i="50"/>
  <c r="V11" i="56"/>
  <c r="AM36" i="62"/>
  <c r="AM36" i="61"/>
  <c r="AP36" i="61"/>
  <c r="AM36" i="60"/>
  <c r="AP36" i="60"/>
  <c r="AM36" i="59"/>
  <c r="AM36" i="58"/>
  <c r="AN36" i="58"/>
  <c r="AB38" i="62"/>
  <c r="AB38" i="61"/>
  <c r="AB38" i="60"/>
  <c r="AB38" i="58"/>
  <c r="T38" i="112"/>
  <c r="P38" i="112"/>
  <c r="L38" i="112"/>
  <c r="X15" i="112"/>
  <c r="Y15" i="112"/>
  <c r="X16" i="112"/>
  <c r="Y16" i="112"/>
  <c r="X17" i="112"/>
  <c r="Y17" i="112"/>
  <c r="X18" i="112"/>
  <c r="Y18" i="112"/>
  <c r="X19" i="112"/>
  <c r="Y19" i="112"/>
  <c r="X20" i="112"/>
  <c r="Y20" i="112"/>
  <c r="X21" i="112"/>
  <c r="Y21" i="112"/>
  <c r="X22" i="112"/>
  <c r="Y22" i="112"/>
  <c r="X24" i="112"/>
  <c r="Y24" i="112"/>
  <c r="X25" i="112"/>
  <c r="Y25" i="112"/>
  <c r="X26" i="112"/>
  <c r="Y26" i="112"/>
  <c r="X27" i="112"/>
  <c r="Y27" i="112"/>
  <c r="X28" i="112"/>
  <c r="Y28" i="112"/>
  <c r="X29" i="112"/>
  <c r="Y29" i="112"/>
  <c r="X30" i="112"/>
  <c r="Y30" i="112"/>
  <c r="X31" i="112"/>
  <c r="Y31" i="112"/>
  <c r="X32" i="112"/>
  <c r="Y32" i="112"/>
  <c r="X33" i="112"/>
  <c r="Y33" i="112"/>
  <c r="X34" i="112"/>
  <c r="Y34" i="112"/>
  <c r="X35" i="112"/>
  <c r="Y35" i="112"/>
  <c r="X36" i="112"/>
  <c r="Y36" i="112"/>
  <c r="X37" i="112"/>
  <c r="Y37" i="112"/>
  <c r="X10" i="112"/>
  <c r="Y10" i="112"/>
  <c r="X11" i="112"/>
  <c r="Y11" i="112"/>
  <c r="X12" i="112"/>
  <c r="Y12" i="112"/>
  <c r="X13" i="112"/>
  <c r="Y13" i="112"/>
  <c r="X14" i="112"/>
  <c r="Y14" i="112"/>
  <c r="X9" i="112"/>
  <c r="Y9" i="112"/>
  <c r="F30" i="68"/>
  <c r="F35" i="68"/>
  <c r="T44" i="71"/>
  <c r="P44" i="71"/>
  <c r="L44" i="71"/>
  <c r="H44" i="71"/>
  <c r="B44" i="71"/>
  <c r="W49" i="97"/>
  <c r="O23" i="121"/>
  <c r="O22" i="121"/>
  <c r="M19" i="121"/>
  <c r="O9" i="121"/>
  <c r="O8" i="121"/>
  <c r="O11" i="121" s="1"/>
  <c r="M11" i="121"/>
  <c r="O12" i="121"/>
  <c r="O13" i="121"/>
  <c r="O14" i="121"/>
  <c r="O15" i="121"/>
  <c r="O16" i="121"/>
  <c r="O17" i="121"/>
  <c r="O18" i="121"/>
  <c r="M22" i="120"/>
  <c r="L22" i="120"/>
  <c r="K22" i="120"/>
  <c r="J22" i="120"/>
  <c r="I22" i="120"/>
  <c r="H22" i="120"/>
  <c r="G22" i="120"/>
  <c r="F22" i="120"/>
  <c r="E22" i="120"/>
  <c r="D22" i="120"/>
  <c r="D23" i="120" s="1"/>
  <c r="C22" i="120"/>
  <c r="X42" i="94"/>
  <c r="W57" i="98"/>
  <c r="X57" i="98"/>
  <c r="Y57" i="98"/>
  <c r="W60" i="98"/>
  <c r="Y60" i="98"/>
  <c r="X60" i="98"/>
  <c r="W46" i="98"/>
  <c r="X46" i="98"/>
  <c r="X45" i="98"/>
  <c r="W45" i="98"/>
  <c r="O22" i="81"/>
  <c r="X22" i="81" s="1"/>
  <c r="Y22" i="81"/>
  <c r="I15" i="76"/>
  <c r="I16" i="76" s="1"/>
  <c r="C27" i="64"/>
  <c r="L35" i="110"/>
  <c r="N35" i="110"/>
  <c r="C36" i="64"/>
  <c r="L49" i="110"/>
  <c r="L51" i="110"/>
  <c r="C21" i="64"/>
  <c r="C39" i="64"/>
  <c r="C40" i="64"/>
  <c r="C64" i="64"/>
  <c r="AD25" i="57"/>
  <c r="AD31" i="57" s="1"/>
  <c r="AK9" i="57"/>
  <c r="AJ9" i="57"/>
  <c r="AI9" i="57"/>
  <c r="G13" i="110"/>
  <c r="G14" i="110"/>
  <c r="G15" i="110"/>
  <c r="G20" i="110"/>
  <c r="G27" i="110"/>
  <c r="G30" i="110"/>
  <c r="G31" i="110"/>
  <c r="G32" i="110"/>
  <c r="G33" i="110"/>
  <c r="G35" i="110"/>
  <c r="G36" i="110"/>
  <c r="G37" i="110"/>
  <c r="G38" i="110"/>
  <c r="G42" i="110"/>
  <c r="G45" i="110"/>
  <c r="G46" i="110"/>
  <c r="G49" i="110"/>
  <c r="G52" i="110"/>
  <c r="G53" i="110"/>
  <c r="G57" i="110"/>
  <c r="G28" i="110"/>
  <c r="G29" i="110"/>
  <c r="G34" i="110"/>
  <c r="G39" i="110"/>
  <c r="G40" i="110"/>
  <c r="G41" i="110"/>
  <c r="G43" i="110"/>
  <c r="G44" i="110"/>
  <c r="G47" i="110"/>
  <c r="G48" i="110"/>
  <c r="G50" i="110"/>
  <c r="G51" i="110"/>
  <c r="G54" i="110"/>
  <c r="G55" i="110"/>
  <c r="G56" i="110"/>
  <c r="G58" i="110"/>
  <c r="G62" i="110"/>
  <c r="G63" i="110"/>
  <c r="G64" i="110"/>
  <c r="AA27" i="55"/>
  <c r="AA28" i="55"/>
  <c r="AA29" i="55"/>
  <c r="AB33" i="55"/>
  <c r="AA33" i="55"/>
  <c r="AC20" i="33"/>
  <c r="W20" i="34"/>
  <c r="Q20" i="33"/>
  <c r="K20" i="37"/>
  <c r="H15" i="76"/>
  <c r="H16" i="76" s="1"/>
  <c r="G15" i="76"/>
  <c r="D15" i="76"/>
  <c r="I41" i="73"/>
  <c r="I39" i="73"/>
  <c r="H42" i="73"/>
  <c r="H38" i="73"/>
  <c r="G41" i="73"/>
  <c r="F42" i="73"/>
  <c r="F41" i="73"/>
  <c r="F40" i="73"/>
  <c r="F39" i="73"/>
  <c r="E42" i="73"/>
  <c r="E41" i="73"/>
  <c r="C42" i="73"/>
  <c r="C41" i="73"/>
  <c r="I44" i="106"/>
  <c r="E44" i="106"/>
  <c r="AA19" i="36"/>
  <c r="M26" i="78"/>
  <c r="E42" i="78"/>
  <c r="V23" i="62"/>
  <c r="V38" i="62"/>
  <c r="AO28" i="61"/>
  <c r="AO28" i="60"/>
  <c r="AP28" i="61"/>
  <c r="AP28" i="60"/>
  <c r="AN28" i="59"/>
  <c r="AO28" i="59"/>
  <c r="AP28" i="59"/>
  <c r="AM32" i="58"/>
  <c r="AJ23" i="57"/>
  <c r="AI22" i="57"/>
  <c r="AI20" i="57"/>
  <c r="AI12" i="57"/>
  <c r="AI13" i="57"/>
  <c r="AJ13" i="57"/>
  <c r="AI17" i="57"/>
  <c r="AJ17" i="57"/>
  <c r="AK17" i="57"/>
  <c r="U31" i="56"/>
  <c r="U24" i="56"/>
  <c r="U25" i="56"/>
  <c r="Y33" i="55"/>
  <c r="U33" i="55"/>
  <c r="Q33" i="55"/>
  <c r="M33" i="55"/>
  <c r="I33" i="55"/>
  <c r="E33" i="55"/>
  <c r="D27" i="55"/>
  <c r="E27" i="55"/>
  <c r="D28" i="55"/>
  <c r="E28" i="55"/>
  <c r="D29" i="55"/>
  <c r="E29" i="55"/>
  <c r="H27" i="55"/>
  <c r="I27" i="55"/>
  <c r="H28" i="55"/>
  <c r="I28" i="55"/>
  <c r="H29" i="55"/>
  <c r="I29" i="55"/>
  <c r="L27" i="55"/>
  <c r="M27" i="55"/>
  <c r="L28" i="55"/>
  <c r="M28" i="55"/>
  <c r="L29" i="55"/>
  <c r="M29" i="55"/>
  <c r="P27" i="55"/>
  <c r="Q27" i="55"/>
  <c r="P28" i="55"/>
  <c r="Q28" i="55"/>
  <c r="P29" i="55"/>
  <c r="Q29" i="55"/>
  <c r="T27" i="55"/>
  <c r="U27" i="55"/>
  <c r="T28" i="55"/>
  <c r="U28" i="55"/>
  <c r="T29" i="55"/>
  <c r="U29" i="55"/>
  <c r="X27" i="55"/>
  <c r="Y27" i="55"/>
  <c r="X28" i="55"/>
  <c r="Y28" i="55"/>
  <c r="X29" i="55"/>
  <c r="Y29" i="55"/>
  <c r="AC33" i="54"/>
  <c r="AC27" i="54"/>
  <c r="AC28" i="54"/>
  <c r="AC29" i="54"/>
  <c r="AC33" i="53"/>
  <c r="AC27" i="53"/>
  <c r="AC28" i="53"/>
  <c r="AC29" i="53"/>
  <c r="N37" i="52"/>
  <c r="AC33" i="52"/>
  <c r="AC33" i="51"/>
  <c r="AC27" i="51"/>
  <c r="AC28" i="51"/>
  <c r="AC29" i="51"/>
  <c r="AC33" i="50"/>
  <c r="AA35" i="50"/>
  <c r="AA44" i="50"/>
  <c r="C28" i="45"/>
  <c r="H28" i="45"/>
  <c r="O35" i="45"/>
  <c r="G35" i="45"/>
  <c r="G36" i="45"/>
  <c r="X34" i="44"/>
  <c r="X33" i="44"/>
  <c r="X32" i="44"/>
  <c r="X31" i="44"/>
  <c r="X30" i="44"/>
  <c r="X29" i="44"/>
  <c r="X28" i="44"/>
  <c r="X27" i="44"/>
  <c r="X22" i="44"/>
  <c r="X23" i="44"/>
  <c r="X24" i="44"/>
  <c r="X25" i="44"/>
  <c r="X12" i="44"/>
  <c r="X13" i="44"/>
  <c r="X14" i="44"/>
  <c r="X16" i="44"/>
  <c r="X17" i="44"/>
  <c r="X18" i="44"/>
  <c r="X19" i="44"/>
  <c r="O35" i="44"/>
  <c r="O36" i="44"/>
  <c r="J60" i="46"/>
  <c r="J50" i="46"/>
  <c r="G50" i="46"/>
  <c r="I37" i="46"/>
  <c r="G37" i="46"/>
  <c r="G33" i="46"/>
  <c r="E33" i="46"/>
  <c r="C33" i="46"/>
  <c r="I30" i="46"/>
  <c r="G30" i="46"/>
  <c r="C25" i="46"/>
  <c r="J20" i="46"/>
  <c r="I20" i="46"/>
  <c r="H20" i="46"/>
  <c r="G20" i="46"/>
  <c r="D20" i="46"/>
  <c r="W16" i="48"/>
  <c r="W20" i="48"/>
  <c r="T16" i="48"/>
  <c r="T20" i="48"/>
  <c r="P16" i="48"/>
  <c r="P20" i="48"/>
  <c r="P24" i="48"/>
  <c r="F16" i="48"/>
  <c r="F20" i="48"/>
  <c r="B16" i="48"/>
  <c r="B20" i="48"/>
  <c r="I19" i="111"/>
  <c r="I20" i="111"/>
  <c r="I21" i="111"/>
  <c r="I22" i="111"/>
  <c r="I23" i="111"/>
  <c r="I25" i="111"/>
  <c r="I26" i="111"/>
  <c r="M14" i="98"/>
  <c r="C14" i="98"/>
  <c r="N14" i="98"/>
  <c r="D14" i="98"/>
  <c r="AD14" i="98"/>
  <c r="M26" i="98"/>
  <c r="C26" i="98"/>
  <c r="N26" i="98"/>
  <c r="D26" i="98"/>
  <c r="M29" i="98"/>
  <c r="AC29" i="98"/>
  <c r="N29" i="98"/>
  <c r="AD29" i="98"/>
  <c r="E53" i="39"/>
  <c r="G53" i="39"/>
  <c r="I53" i="39"/>
  <c r="K53" i="39"/>
  <c r="M53" i="39"/>
  <c r="O53" i="39"/>
  <c r="Q53" i="39"/>
  <c r="S53" i="39"/>
  <c r="U53" i="39"/>
  <c r="W53" i="39"/>
  <c r="F53" i="39"/>
  <c r="H53" i="39"/>
  <c r="J53" i="39"/>
  <c r="L53" i="39"/>
  <c r="N53" i="39"/>
  <c r="P53" i="39"/>
  <c r="R53" i="39"/>
  <c r="T53" i="39"/>
  <c r="V53" i="39"/>
  <c r="X53" i="39"/>
  <c r="Y52" i="39"/>
  <c r="Z52" i="39"/>
  <c r="Y49" i="39"/>
  <c r="Z49" i="39"/>
  <c r="Y48" i="39"/>
  <c r="Z48" i="39"/>
  <c r="Y47" i="39"/>
  <c r="Z47" i="39"/>
  <c r="Y46" i="39"/>
  <c r="Z46" i="39"/>
  <c r="Y45" i="39"/>
  <c r="Z45" i="39"/>
  <c r="Y44" i="39"/>
  <c r="Z44" i="39"/>
  <c r="Y43" i="39"/>
  <c r="Z43" i="39"/>
  <c r="Y42" i="39"/>
  <c r="Z42" i="39"/>
  <c r="Y41" i="39"/>
  <c r="Z41" i="39"/>
  <c r="Y40" i="39"/>
  <c r="Z40" i="39"/>
  <c r="Y39" i="39"/>
  <c r="Z39" i="39"/>
  <c r="Y24" i="39"/>
  <c r="Z24" i="39"/>
  <c r="D53" i="39"/>
  <c r="F24" i="39"/>
  <c r="G24" i="39"/>
  <c r="H24" i="39"/>
  <c r="I24" i="39"/>
  <c r="J24" i="39"/>
  <c r="K24" i="39"/>
  <c r="L24" i="39"/>
  <c r="P24" i="39"/>
  <c r="Q24" i="39"/>
  <c r="R24" i="39"/>
  <c r="S24" i="39"/>
  <c r="T24" i="39"/>
  <c r="U24" i="39"/>
  <c r="V24" i="39"/>
  <c r="W24" i="39"/>
  <c r="X24" i="39"/>
  <c r="N13" i="39"/>
  <c r="N14" i="39"/>
  <c r="N15" i="39"/>
  <c r="N16" i="39"/>
  <c r="N17" i="39"/>
  <c r="N18" i="39"/>
  <c r="N19" i="39"/>
  <c r="N20" i="39"/>
  <c r="N23" i="39"/>
  <c r="N12" i="39"/>
  <c r="N10" i="39"/>
  <c r="N11" i="39"/>
  <c r="M13" i="39"/>
  <c r="M14" i="39"/>
  <c r="M15" i="39"/>
  <c r="M16" i="39"/>
  <c r="M17" i="39"/>
  <c r="M18" i="39"/>
  <c r="M19" i="39"/>
  <c r="M20" i="39"/>
  <c r="M23" i="39"/>
  <c r="M12" i="39"/>
  <c r="M10" i="39"/>
  <c r="M11" i="39"/>
  <c r="D13" i="39"/>
  <c r="AB13" i="39"/>
  <c r="D14" i="39"/>
  <c r="D15" i="39"/>
  <c r="D16" i="39"/>
  <c r="D17" i="39"/>
  <c r="D18" i="39"/>
  <c r="D19" i="39"/>
  <c r="AB19" i="39"/>
  <c r="D20" i="39"/>
  <c r="D23" i="39"/>
  <c r="D12" i="39"/>
  <c r="D10" i="39"/>
  <c r="D11" i="39"/>
  <c r="C13" i="39"/>
  <c r="C14" i="39"/>
  <c r="C15" i="39"/>
  <c r="C16" i="39"/>
  <c r="C17" i="39"/>
  <c r="C18" i="39"/>
  <c r="C19" i="39"/>
  <c r="C20" i="39"/>
  <c r="C23" i="39"/>
  <c r="C12" i="39"/>
  <c r="C10" i="39"/>
  <c r="C11" i="39"/>
  <c r="J26" i="44"/>
  <c r="K26" i="44"/>
  <c r="P26" i="44"/>
  <c r="P35" i="44"/>
  <c r="Q35" i="44"/>
  <c r="P15" i="44"/>
  <c r="P20" i="44"/>
  <c r="Q20" i="44"/>
  <c r="Y31" i="44"/>
  <c r="Y32" i="44"/>
  <c r="Y33" i="44"/>
  <c r="Y34" i="44"/>
  <c r="Y30" i="44"/>
  <c r="Y29" i="44"/>
  <c r="Y28" i="44"/>
  <c r="Y27" i="44"/>
  <c r="Y25" i="44"/>
  <c r="Y24" i="44"/>
  <c r="Y23" i="44"/>
  <c r="Y22" i="44"/>
  <c r="Y17" i="44"/>
  <c r="Y18" i="44"/>
  <c r="Y19" i="44"/>
  <c r="Y16" i="44"/>
  <c r="Y14" i="44"/>
  <c r="Y13" i="44"/>
  <c r="Y12" i="44"/>
  <c r="G10" i="44"/>
  <c r="M10" i="44"/>
  <c r="S10" i="44"/>
  <c r="V10" i="44"/>
  <c r="Y10" i="44"/>
  <c r="F10" i="44"/>
  <c r="I10" i="44"/>
  <c r="L10" i="44"/>
  <c r="I12" i="43"/>
  <c r="E32" i="43"/>
  <c r="G31" i="43"/>
  <c r="I30" i="43"/>
  <c r="I29" i="43"/>
  <c r="G28" i="43"/>
  <c r="G24" i="43"/>
  <c r="E23" i="43"/>
  <c r="I22" i="43"/>
  <c r="G21" i="43"/>
  <c r="E17" i="43"/>
  <c r="I16" i="43"/>
  <c r="G15" i="43"/>
  <c r="E11" i="43"/>
  <c r="AD27" i="52"/>
  <c r="AD28" i="52"/>
  <c r="AD27" i="51"/>
  <c r="AD28" i="51"/>
  <c r="AD27" i="50"/>
  <c r="AD28" i="50"/>
  <c r="Z27" i="55"/>
  <c r="Z28" i="55"/>
  <c r="R27" i="55"/>
  <c r="R28" i="55"/>
  <c r="N27" i="55"/>
  <c r="N28" i="55"/>
  <c r="J27" i="55"/>
  <c r="J28" i="55"/>
  <c r="V27" i="55"/>
  <c r="V28" i="55"/>
  <c r="F28" i="55"/>
  <c r="AD27" i="53"/>
  <c r="AD28" i="53"/>
  <c r="AD27" i="54"/>
  <c r="AD28" i="54"/>
  <c r="F27" i="55"/>
  <c r="AD29" i="54"/>
  <c r="AD29" i="53"/>
  <c r="AD29" i="52"/>
  <c r="AD29" i="51"/>
  <c r="AD29" i="50"/>
  <c r="Z29" i="55"/>
  <c r="V29" i="55"/>
  <c r="R29" i="55"/>
  <c r="N29" i="55"/>
  <c r="J29" i="55"/>
  <c r="F29" i="55"/>
  <c r="F40" i="68"/>
  <c r="E20" i="30"/>
  <c r="C20" i="30"/>
  <c r="V63" i="92"/>
  <c r="U63" i="92"/>
  <c r="T63" i="92"/>
  <c r="S63" i="92"/>
  <c r="R63" i="92"/>
  <c r="Q63" i="92"/>
  <c r="P63" i="92"/>
  <c r="O63" i="92"/>
  <c r="N63" i="92"/>
  <c r="M63" i="92"/>
  <c r="L63" i="92"/>
  <c r="K63" i="92"/>
  <c r="J63" i="92"/>
  <c r="I63" i="92"/>
  <c r="H63" i="92"/>
  <c r="G63" i="92"/>
  <c r="F63" i="92"/>
  <c r="E63" i="92"/>
  <c r="D63" i="92"/>
  <c r="C63" i="92"/>
  <c r="V60" i="92"/>
  <c r="U60" i="92"/>
  <c r="T60" i="92"/>
  <c r="S60" i="92"/>
  <c r="R60" i="92"/>
  <c r="Q60" i="92"/>
  <c r="P60" i="92"/>
  <c r="O60" i="92"/>
  <c r="N60" i="92"/>
  <c r="M60" i="92"/>
  <c r="L60" i="92"/>
  <c r="K60" i="92"/>
  <c r="J60" i="92"/>
  <c r="I60" i="92"/>
  <c r="H60" i="92"/>
  <c r="G60" i="92"/>
  <c r="F60" i="92"/>
  <c r="E60" i="92"/>
  <c r="D60" i="92"/>
  <c r="C60" i="92"/>
  <c r="V59" i="92"/>
  <c r="U59" i="92"/>
  <c r="T59" i="92"/>
  <c r="S59" i="92"/>
  <c r="R59" i="92"/>
  <c r="Q59" i="92"/>
  <c r="P59" i="92"/>
  <c r="O59" i="92"/>
  <c r="N59" i="92"/>
  <c r="M59" i="92"/>
  <c r="L59" i="92"/>
  <c r="K59" i="92"/>
  <c r="J59" i="92"/>
  <c r="I59" i="92"/>
  <c r="H59" i="92"/>
  <c r="G59" i="92"/>
  <c r="F59" i="92"/>
  <c r="E59" i="92"/>
  <c r="D59" i="92"/>
  <c r="C59" i="92"/>
  <c r="V58" i="92"/>
  <c r="U58" i="92"/>
  <c r="T58" i="92"/>
  <c r="S58" i="92"/>
  <c r="R58" i="92"/>
  <c r="Q58" i="92"/>
  <c r="P58" i="92"/>
  <c r="O58" i="92"/>
  <c r="N58" i="92"/>
  <c r="M58" i="92"/>
  <c r="L58" i="92"/>
  <c r="K58" i="92"/>
  <c r="J58" i="92"/>
  <c r="I58" i="92"/>
  <c r="H58" i="92"/>
  <c r="G58" i="92"/>
  <c r="F58" i="92"/>
  <c r="E58" i="92"/>
  <c r="D58" i="92"/>
  <c r="C58" i="92"/>
  <c r="V57" i="92"/>
  <c r="U57" i="92"/>
  <c r="T57" i="92"/>
  <c r="S57" i="92"/>
  <c r="R57" i="92"/>
  <c r="Q57" i="92"/>
  <c r="P57" i="92"/>
  <c r="O57" i="92"/>
  <c r="N57" i="92"/>
  <c r="M57" i="92"/>
  <c r="L57" i="92"/>
  <c r="K57" i="92"/>
  <c r="J57" i="92"/>
  <c r="I57" i="92"/>
  <c r="H57" i="92"/>
  <c r="G57" i="92"/>
  <c r="F57" i="92"/>
  <c r="E57" i="92"/>
  <c r="D57" i="92"/>
  <c r="C57" i="92"/>
  <c r="V56" i="92"/>
  <c r="U56" i="92"/>
  <c r="T56" i="92"/>
  <c r="S56" i="92"/>
  <c r="R56" i="92"/>
  <c r="Q56" i="92"/>
  <c r="P56" i="92"/>
  <c r="O56" i="92"/>
  <c r="N56" i="92"/>
  <c r="M56" i="92"/>
  <c r="L56" i="92"/>
  <c r="K56" i="92"/>
  <c r="J56" i="92"/>
  <c r="I56" i="92"/>
  <c r="H56" i="92"/>
  <c r="G56" i="92"/>
  <c r="F56" i="92"/>
  <c r="E56" i="92"/>
  <c r="D56" i="92"/>
  <c r="C56" i="92"/>
  <c r="V55" i="92"/>
  <c r="U55" i="92"/>
  <c r="T55" i="92"/>
  <c r="S55" i="92"/>
  <c r="R55" i="92"/>
  <c r="Q55" i="92"/>
  <c r="P55" i="92"/>
  <c r="O55" i="92"/>
  <c r="N55" i="92"/>
  <c r="M55" i="92"/>
  <c r="L55" i="92"/>
  <c r="K55" i="92"/>
  <c r="J55" i="92"/>
  <c r="I55" i="92"/>
  <c r="H55" i="92"/>
  <c r="G55" i="92"/>
  <c r="F55" i="92"/>
  <c r="E55" i="92"/>
  <c r="D55" i="92"/>
  <c r="C55" i="92"/>
  <c r="V54" i="92"/>
  <c r="U54" i="92"/>
  <c r="T54" i="92"/>
  <c r="S54" i="92"/>
  <c r="R54" i="92"/>
  <c r="Q54" i="92"/>
  <c r="P54" i="92"/>
  <c r="O54" i="92"/>
  <c r="N54" i="92"/>
  <c r="M54" i="92"/>
  <c r="L54" i="92"/>
  <c r="K54" i="92"/>
  <c r="J54" i="92"/>
  <c r="I54" i="92"/>
  <c r="H54" i="92"/>
  <c r="G54" i="92"/>
  <c r="F54" i="92"/>
  <c r="E54" i="92"/>
  <c r="D54" i="92"/>
  <c r="C54" i="92"/>
  <c r="V53" i="92"/>
  <c r="U53" i="92"/>
  <c r="T53" i="92"/>
  <c r="S53" i="92"/>
  <c r="R53" i="92"/>
  <c r="Q53" i="92"/>
  <c r="P53" i="92"/>
  <c r="O53" i="92"/>
  <c r="N53" i="92"/>
  <c r="M53" i="92"/>
  <c r="L53" i="92"/>
  <c r="K53" i="92"/>
  <c r="J53" i="92"/>
  <c r="I53" i="92"/>
  <c r="H53" i="92"/>
  <c r="G53" i="92"/>
  <c r="F53" i="92"/>
  <c r="E53" i="92"/>
  <c r="D53" i="92"/>
  <c r="C53" i="92"/>
  <c r="V52" i="92"/>
  <c r="U52" i="92"/>
  <c r="T52" i="92"/>
  <c r="S52" i="92"/>
  <c r="R52" i="92"/>
  <c r="Q52" i="92"/>
  <c r="P52" i="92"/>
  <c r="O52" i="92"/>
  <c r="N52" i="92"/>
  <c r="M52" i="92"/>
  <c r="L52" i="92"/>
  <c r="K52" i="92"/>
  <c r="J52" i="92"/>
  <c r="I52" i="92"/>
  <c r="H52" i="92"/>
  <c r="G52" i="92"/>
  <c r="F52" i="92"/>
  <c r="E52" i="92"/>
  <c r="D52" i="92"/>
  <c r="C52" i="92"/>
  <c r="V51" i="92"/>
  <c r="U51" i="92"/>
  <c r="T51" i="92"/>
  <c r="S51" i="92"/>
  <c r="R51" i="92"/>
  <c r="Q51" i="92"/>
  <c r="P51" i="92"/>
  <c r="O51" i="92"/>
  <c r="N51" i="92"/>
  <c r="M51" i="92"/>
  <c r="L51" i="92"/>
  <c r="K51" i="92"/>
  <c r="J51" i="92"/>
  <c r="I51" i="92"/>
  <c r="H51" i="92"/>
  <c r="G51" i="92"/>
  <c r="F51" i="92"/>
  <c r="E51" i="92"/>
  <c r="D51" i="92"/>
  <c r="C51" i="92"/>
  <c r="V50" i="92"/>
  <c r="U50" i="92"/>
  <c r="T50" i="92"/>
  <c r="S50" i="92"/>
  <c r="R50" i="92"/>
  <c r="Q50" i="92"/>
  <c r="P50" i="92"/>
  <c r="O50" i="92"/>
  <c r="N50" i="92"/>
  <c r="M50" i="92"/>
  <c r="L50" i="92"/>
  <c r="K50" i="92"/>
  <c r="J50" i="92"/>
  <c r="I50" i="92"/>
  <c r="H50" i="92"/>
  <c r="G50" i="92"/>
  <c r="F50" i="92"/>
  <c r="E50" i="92"/>
  <c r="D50" i="92"/>
  <c r="C50" i="92"/>
  <c r="V49" i="92"/>
  <c r="U49" i="92"/>
  <c r="T49" i="92"/>
  <c r="S49" i="92"/>
  <c r="R49" i="92"/>
  <c r="Q49" i="92"/>
  <c r="P49" i="92"/>
  <c r="O49" i="92"/>
  <c r="N49" i="92"/>
  <c r="M49" i="92"/>
  <c r="L49" i="92"/>
  <c r="K49" i="92"/>
  <c r="J49" i="92"/>
  <c r="I49" i="92"/>
  <c r="H49" i="92"/>
  <c r="G49" i="92"/>
  <c r="F49" i="92"/>
  <c r="E49" i="92"/>
  <c r="D49" i="92"/>
  <c r="C49" i="92"/>
  <c r="V48" i="92"/>
  <c r="U48" i="92"/>
  <c r="T48" i="92"/>
  <c r="S48" i="92"/>
  <c r="R48" i="92"/>
  <c r="Q48" i="92"/>
  <c r="P48" i="92"/>
  <c r="O48" i="92"/>
  <c r="N48" i="92"/>
  <c r="M48" i="92"/>
  <c r="L48" i="92"/>
  <c r="K48" i="92"/>
  <c r="J48" i="92"/>
  <c r="I48" i="92"/>
  <c r="H48" i="92"/>
  <c r="G48" i="92"/>
  <c r="F48" i="92"/>
  <c r="E48" i="92"/>
  <c r="D48" i="92"/>
  <c r="C48" i="92"/>
  <c r="V47" i="92"/>
  <c r="U47" i="92"/>
  <c r="T47" i="92"/>
  <c r="S47" i="92"/>
  <c r="R47" i="92"/>
  <c r="Q47" i="92"/>
  <c r="P47" i="92"/>
  <c r="O47" i="92"/>
  <c r="N47" i="92"/>
  <c r="M47" i="92"/>
  <c r="L47" i="92"/>
  <c r="K47" i="92"/>
  <c r="J47" i="92"/>
  <c r="I47" i="92"/>
  <c r="H47" i="92"/>
  <c r="G47" i="92"/>
  <c r="F47" i="92"/>
  <c r="E47" i="92"/>
  <c r="D47" i="92"/>
  <c r="C47" i="92"/>
  <c r="V46" i="92"/>
  <c r="U46" i="92"/>
  <c r="T46" i="92"/>
  <c r="S46" i="92"/>
  <c r="R46" i="92"/>
  <c r="Q46" i="92"/>
  <c r="P46" i="92"/>
  <c r="O46" i="92"/>
  <c r="N46" i="92"/>
  <c r="M46" i="92"/>
  <c r="L46" i="92"/>
  <c r="K46" i="92"/>
  <c r="J46" i="92"/>
  <c r="I46" i="92"/>
  <c r="H46" i="92"/>
  <c r="G46" i="92"/>
  <c r="F46" i="92"/>
  <c r="E46" i="92"/>
  <c r="D46" i="92"/>
  <c r="C46" i="92"/>
  <c r="V45" i="92"/>
  <c r="U45" i="92"/>
  <c r="T45" i="92"/>
  <c r="S45" i="92"/>
  <c r="R45" i="92"/>
  <c r="Q45" i="92"/>
  <c r="P45" i="92"/>
  <c r="O45" i="92"/>
  <c r="N45" i="92"/>
  <c r="M45" i="92"/>
  <c r="L45" i="92"/>
  <c r="K45" i="92"/>
  <c r="J45" i="92"/>
  <c r="I45" i="92"/>
  <c r="H45" i="92"/>
  <c r="G45" i="92"/>
  <c r="F45" i="92"/>
  <c r="E45" i="92"/>
  <c r="D45" i="92"/>
  <c r="C45" i="92"/>
  <c r="V44" i="92"/>
  <c r="U44" i="92"/>
  <c r="T44" i="92"/>
  <c r="S44" i="92"/>
  <c r="R44" i="92"/>
  <c r="Q44" i="92"/>
  <c r="P44" i="92"/>
  <c r="O44" i="92"/>
  <c r="N44" i="92"/>
  <c r="M44" i="92"/>
  <c r="L44" i="92"/>
  <c r="K44" i="92"/>
  <c r="J44" i="92"/>
  <c r="I44" i="92"/>
  <c r="H44" i="92"/>
  <c r="G44" i="92"/>
  <c r="F44" i="92"/>
  <c r="E44" i="92"/>
  <c r="D44" i="92"/>
  <c r="C44" i="92"/>
  <c r="C64" i="92"/>
  <c r="AB29" i="92"/>
  <c r="AA29" i="92"/>
  <c r="Z29" i="92"/>
  <c r="Y29" i="92"/>
  <c r="X29" i="92"/>
  <c r="W29" i="92"/>
  <c r="V29" i="92"/>
  <c r="U29" i="92"/>
  <c r="T29" i="92"/>
  <c r="S29" i="92"/>
  <c r="R29" i="92"/>
  <c r="Q29" i="92"/>
  <c r="P29" i="92"/>
  <c r="O29" i="92"/>
  <c r="AB26" i="92"/>
  <c r="AA26" i="92"/>
  <c r="Z26" i="92"/>
  <c r="Y26" i="92"/>
  <c r="X26" i="92"/>
  <c r="W26" i="92"/>
  <c r="V26" i="92"/>
  <c r="U26" i="92"/>
  <c r="T26" i="92"/>
  <c r="S26" i="92"/>
  <c r="R26" i="92"/>
  <c r="Q26" i="92"/>
  <c r="P26" i="92"/>
  <c r="O26" i="92"/>
  <c r="AB25" i="92"/>
  <c r="AA25" i="92"/>
  <c r="Z25" i="92"/>
  <c r="Y25" i="92"/>
  <c r="X25" i="92"/>
  <c r="W25" i="92"/>
  <c r="V25" i="92"/>
  <c r="U25" i="92"/>
  <c r="T25" i="92"/>
  <c r="S25" i="92"/>
  <c r="R25" i="92"/>
  <c r="Q25" i="92"/>
  <c r="P25" i="92"/>
  <c r="O25" i="92"/>
  <c r="AB24" i="92"/>
  <c r="AA24" i="92"/>
  <c r="Z24" i="92"/>
  <c r="Y24" i="92"/>
  <c r="X24" i="92"/>
  <c r="W24" i="92"/>
  <c r="V24" i="92"/>
  <c r="U24" i="92"/>
  <c r="T24" i="92"/>
  <c r="S24" i="92"/>
  <c r="R24" i="92"/>
  <c r="Q24" i="92"/>
  <c r="P24" i="92"/>
  <c r="O24" i="92"/>
  <c r="AB23" i="92"/>
  <c r="AA23" i="92"/>
  <c r="Z23" i="92"/>
  <c r="Y23" i="92"/>
  <c r="X23" i="92"/>
  <c r="W23" i="92"/>
  <c r="V23" i="92"/>
  <c r="U23" i="92"/>
  <c r="T23" i="92"/>
  <c r="S23" i="92"/>
  <c r="R23" i="92"/>
  <c r="Q23" i="92"/>
  <c r="P23" i="92"/>
  <c r="O23" i="92"/>
  <c r="AB22" i="92"/>
  <c r="AA22" i="92"/>
  <c r="Z22" i="92"/>
  <c r="Y22" i="92"/>
  <c r="X22" i="92"/>
  <c r="W22" i="92"/>
  <c r="V22" i="92"/>
  <c r="U22" i="92"/>
  <c r="T22" i="92"/>
  <c r="S22" i="92"/>
  <c r="R22" i="92"/>
  <c r="Q22" i="92"/>
  <c r="P22" i="92"/>
  <c r="O22" i="92"/>
  <c r="AB21" i="92"/>
  <c r="AA21" i="92"/>
  <c r="Z21" i="92"/>
  <c r="Y21" i="92"/>
  <c r="X21" i="92"/>
  <c r="W21" i="92"/>
  <c r="V21" i="92"/>
  <c r="U21" i="92"/>
  <c r="T21" i="92"/>
  <c r="S21" i="92"/>
  <c r="R21" i="92"/>
  <c r="Q21" i="92"/>
  <c r="P21" i="92"/>
  <c r="O21" i="92"/>
  <c r="AB20" i="92"/>
  <c r="AA20" i="92"/>
  <c r="Z20" i="92"/>
  <c r="Y20" i="92"/>
  <c r="X20" i="92"/>
  <c r="W20" i="92"/>
  <c r="V20" i="92"/>
  <c r="U20" i="92"/>
  <c r="T20" i="92"/>
  <c r="S20" i="92"/>
  <c r="R20" i="92"/>
  <c r="Q20" i="92"/>
  <c r="P20" i="92"/>
  <c r="O20" i="92"/>
  <c r="AB19" i="92"/>
  <c r="AA19" i="92"/>
  <c r="Z19" i="92"/>
  <c r="Y19" i="92"/>
  <c r="X19" i="92"/>
  <c r="W19" i="92"/>
  <c r="V19" i="92"/>
  <c r="U19" i="92"/>
  <c r="T19" i="92"/>
  <c r="S19" i="92"/>
  <c r="R19" i="92"/>
  <c r="Q19" i="92"/>
  <c r="P19" i="92"/>
  <c r="O19" i="92"/>
  <c r="AB18" i="92"/>
  <c r="AA18" i="92"/>
  <c r="Z18" i="92"/>
  <c r="Y18" i="92"/>
  <c r="X18" i="92"/>
  <c r="W18" i="92"/>
  <c r="V18" i="92"/>
  <c r="U18" i="92"/>
  <c r="T18" i="92"/>
  <c r="S18" i="92"/>
  <c r="R18" i="92"/>
  <c r="Q18" i="92"/>
  <c r="P18" i="92"/>
  <c r="O18" i="92"/>
  <c r="AB17" i="92"/>
  <c r="AA17" i="92"/>
  <c r="Z17" i="92"/>
  <c r="Y17" i="92"/>
  <c r="X17" i="92"/>
  <c r="W17" i="92"/>
  <c r="V17" i="92"/>
  <c r="U17" i="92"/>
  <c r="T17" i="92"/>
  <c r="S17" i="92"/>
  <c r="R17" i="92"/>
  <c r="Q17" i="92"/>
  <c r="P17" i="92"/>
  <c r="O17" i="92"/>
  <c r="AB16" i="92"/>
  <c r="AA16" i="92"/>
  <c r="Z16" i="92"/>
  <c r="Y16" i="92"/>
  <c r="X16" i="92"/>
  <c r="W16" i="92"/>
  <c r="V16" i="92"/>
  <c r="U16" i="92"/>
  <c r="T16" i="92"/>
  <c r="S16" i="92"/>
  <c r="R16" i="92"/>
  <c r="Q16" i="92"/>
  <c r="P16" i="92"/>
  <c r="O16" i="92"/>
  <c r="AB15" i="92"/>
  <c r="AA15" i="92"/>
  <c r="Z15" i="92"/>
  <c r="Y15" i="92"/>
  <c r="X15" i="92"/>
  <c r="W15" i="92"/>
  <c r="V15" i="92"/>
  <c r="U15" i="92"/>
  <c r="T15" i="92"/>
  <c r="S15" i="92"/>
  <c r="R15" i="92"/>
  <c r="Q15" i="92"/>
  <c r="P15" i="92"/>
  <c r="O15" i="92"/>
  <c r="AB14" i="92"/>
  <c r="AA14" i="92"/>
  <c r="Z14" i="92"/>
  <c r="Y14" i="92"/>
  <c r="X14" i="92"/>
  <c r="W14" i="92"/>
  <c r="V14" i="92"/>
  <c r="U14" i="92"/>
  <c r="T14" i="92"/>
  <c r="S14" i="92"/>
  <c r="R14" i="92"/>
  <c r="Q14" i="92"/>
  <c r="P14" i="92"/>
  <c r="O14" i="92"/>
  <c r="AB13" i="92"/>
  <c r="AA13" i="92"/>
  <c r="Z13" i="92"/>
  <c r="Y13" i="92"/>
  <c r="X13" i="92"/>
  <c r="W13" i="92"/>
  <c r="V13" i="92"/>
  <c r="U13" i="92"/>
  <c r="T13" i="92"/>
  <c r="S13" i="92"/>
  <c r="R13" i="92"/>
  <c r="Q13" i="92"/>
  <c r="P13" i="92"/>
  <c r="O13" i="92"/>
  <c r="AB12" i="92"/>
  <c r="AA12" i="92"/>
  <c r="Z12" i="92"/>
  <c r="Y12" i="92"/>
  <c r="X12" i="92"/>
  <c r="W12" i="92"/>
  <c r="V12" i="92"/>
  <c r="U12" i="92"/>
  <c r="T12" i="92"/>
  <c r="S12" i="92"/>
  <c r="R12" i="92"/>
  <c r="Q12" i="92"/>
  <c r="P12" i="92"/>
  <c r="O12" i="92"/>
  <c r="AB11" i="92"/>
  <c r="AA11" i="92"/>
  <c r="Z11" i="92"/>
  <c r="Y11" i="92"/>
  <c r="X11" i="92"/>
  <c r="W11" i="92"/>
  <c r="W10" i="92"/>
  <c r="V11" i="92"/>
  <c r="U11" i="92"/>
  <c r="T11" i="92"/>
  <c r="S11" i="92"/>
  <c r="R11" i="92"/>
  <c r="Q11" i="92"/>
  <c r="P11" i="92"/>
  <c r="O11" i="92"/>
  <c r="O10" i="92"/>
  <c r="AB10" i="92"/>
  <c r="AA10" i="92"/>
  <c r="Z10" i="92"/>
  <c r="Y10" i="92"/>
  <c r="X10" i="92"/>
  <c r="V10" i="92"/>
  <c r="U10" i="92"/>
  <c r="T10" i="92"/>
  <c r="S10" i="92"/>
  <c r="R10" i="92"/>
  <c r="Q10" i="92"/>
  <c r="P10" i="92"/>
  <c r="L29" i="92"/>
  <c r="K29" i="92"/>
  <c r="J29" i="92"/>
  <c r="I29" i="92"/>
  <c r="H29" i="92"/>
  <c r="G29" i="92"/>
  <c r="F29" i="92"/>
  <c r="L26" i="92"/>
  <c r="K26" i="92"/>
  <c r="J26" i="92"/>
  <c r="I26" i="92"/>
  <c r="H26" i="92"/>
  <c r="G26" i="92"/>
  <c r="F26" i="92"/>
  <c r="L25" i="92"/>
  <c r="K25" i="92"/>
  <c r="J25" i="92"/>
  <c r="I25" i="92"/>
  <c r="H25" i="92"/>
  <c r="G25" i="92"/>
  <c r="F25" i="92"/>
  <c r="L24" i="92"/>
  <c r="K24" i="92"/>
  <c r="J24" i="92"/>
  <c r="I24" i="92"/>
  <c r="H24" i="92"/>
  <c r="G24" i="92"/>
  <c r="F24" i="92"/>
  <c r="L23" i="92"/>
  <c r="K23" i="92"/>
  <c r="J23" i="92"/>
  <c r="I23" i="92"/>
  <c r="H23" i="92"/>
  <c r="G23" i="92"/>
  <c r="F23" i="92"/>
  <c r="L22" i="92"/>
  <c r="K22" i="92"/>
  <c r="J22" i="92"/>
  <c r="I22" i="92"/>
  <c r="H22" i="92"/>
  <c r="G22" i="92"/>
  <c r="F22" i="92"/>
  <c r="L21" i="92"/>
  <c r="K21" i="92"/>
  <c r="J21" i="92"/>
  <c r="I21" i="92"/>
  <c r="H21" i="92"/>
  <c r="G21" i="92"/>
  <c r="F21" i="92"/>
  <c r="L20" i="92"/>
  <c r="K20" i="92"/>
  <c r="J20" i="92"/>
  <c r="I20" i="92"/>
  <c r="H20" i="92"/>
  <c r="G20" i="92"/>
  <c r="F20" i="92"/>
  <c r="L19" i="92"/>
  <c r="K19" i="92"/>
  <c r="J19" i="92"/>
  <c r="I19" i="92"/>
  <c r="H19" i="92"/>
  <c r="G19" i="92"/>
  <c r="F19" i="92"/>
  <c r="L18" i="92"/>
  <c r="K18" i="92"/>
  <c r="J18" i="92"/>
  <c r="I18" i="92"/>
  <c r="H18" i="92"/>
  <c r="G18" i="92"/>
  <c r="F18" i="92"/>
  <c r="L17" i="92"/>
  <c r="K17" i="92"/>
  <c r="J17" i="92"/>
  <c r="I17" i="92"/>
  <c r="H17" i="92"/>
  <c r="G17" i="92"/>
  <c r="F17" i="92"/>
  <c r="L16" i="92"/>
  <c r="K16" i="92"/>
  <c r="J16" i="92"/>
  <c r="I16" i="92"/>
  <c r="H16" i="92"/>
  <c r="G16" i="92"/>
  <c r="F16" i="92"/>
  <c r="L15" i="92"/>
  <c r="K15" i="92"/>
  <c r="J15" i="92"/>
  <c r="I15" i="92"/>
  <c r="H15" i="92"/>
  <c r="G15" i="92"/>
  <c r="F15" i="92"/>
  <c r="L14" i="92"/>
  <c r="K14" i="92"/>
  <c r="J14" i="92"/>
  <c r="I14" i="92"/>
  <c r="H14" i="92"/>
  <c r="G14" i="92"/>
  <c r="F14" i="92"/>
  <c r="L13" i="92"/>
  <c r="K13" i="92"/>
  <c r="J13" i="92"/>
  <c r="I13" i="92"/>
  <c r="H13" i="92"/>
  <c r="G13" i="92"/>
  <c r="F13" i="92"/>
  <c r="L12" i="92"/>
  <c r="K12" i="92"/>
  <c r="J12" i="92"/>
  <c r="I12" i="92"/>
  <c r="H12" i="92"/>
  <c r="G12" i="92"/>
  <c r="F12" i="92"/>
  <c r="L11" i="92"/>
  <c r="K11" i="92"/>
  <c r="J11" i="92"/>
  <c r="I11" i="92"/>
  <c r="H11" i="92"/>
  <c r="G11" i="92"/>
  <c r="F11" i="92"/>
  <c r="L10" i="92"/>
  <c r="K10" i="92"/>
  <c r="J10" i="92"/>
  <c r="I10" i="92"/>
  <c r="H10" i="92"/>
  <c r="G10" i="92"/>
  <c r="F10" i="92"/>
  <c r="E29" i="92"/>
  <c r="E26" i="92"/>
  <c r="E25" i="92"/>
  <c r="E24" i="92"/>
  <c r="E23" i="92"/>
  <c r="E22" i="92"/>
  <c r="E21" i="92"/>
  <c r="E20" i="92"/>
  <c r="E19" i="92"/>
  <c r="E18" i="92"/>
  <c r="E17" i="92"/>
  <c r="E16" i="92"/>
  <c r="E15" i="92"/>
  <c r="E14" i="92"/>
  <c r="E13" i="92"/>
  <c r="E12" i="92"/>
  <c r="E11" i="92"/>
  <c r="E10" i="92"/>
  <c r="V61" i="94"/>
  <c r="U61" i="94"/>
  <c r="T61" i="94"/>
  <c r="S61" i="94"/>
  <c r="R61" i="94"/>
  <c r="Q61" i="94"/>
  <c r="P61" i="94"/>
  <c r="O61" i="94"/>
  <c r="N61" i="94"/>
  <c r="M61" i="94"/>
  <c r="L61" i="94"/>
  <c r="K61" i="94"/>
  <c r="J61" i="94"/>
  <c r="I61" i="94"/>
  <c r="H61" i="94"/>
  <c r="G61" i="94"/>
  <c r="F61" i="94"/>
  <c r="E61" i="94"/>
  <c r="D61" i="94"/>
  <c r="C61" i="94"/>
  <c r="X60" i="94"/>
  <c r="W60" i="94"/>
  <c r="X57" i="94"/>
  <c r="W57" i="94"/>
  <c r="X56" i="94"/>
  <c r="W56" i="94"/>
  <c r="X55" i="94"/>
  <c r="W55" i="94"/>
  <c r="X54" i="94"/>
  <c r="W54" i="94"/>
  <c r="X53" i="94"/>
  <c r="W53" i="94"/>
  <c r="X52" i="94"/>
  <c r="W52" i="94"/>
  <c r="X51" i="94"/>
  <c r="W51" i="94"/>
  <c r="X50" i="94"/>
  <c r="W50" i="94"/>
  <c r="X49" i="94"/>
  <c r="W49" i="94"/>
  <c r="X48" i="94"/>
  <c r="W48" i="94"/>
  <c r="X47" i="94"/>
  <c r="W47" i="94"/>
  <c r="X46" i="94"/>
  <c r="W46" i="94"/>
  <c r="X45" i="94"/>
  <c r="W45" i="94"/>
  <c r="X44" i="94"/>
  <c r="W44" i="94"/>
  <c r="X43" i="94"/>
  <c r="W43" i="94"/>
  <c r="W42" i="94"/>
  <c r="X41" i="94"/>
  <c r="W41" i="94"/>
  <c r="AB30" i="94"/>
  <c r="AA30" i="94"/>
  <c r="Z30" i="94"/>
  <c r="Y30" i="94"/>
  <c r="X30" i="94"/>
  <c r="W30" i="94"/>
  <c r="V30" i="94"/>
  <c r="U30" i="94"/>
  <c r="T30" i="94"/>
  <c r="S30" i="94"/>
  <c r="R30" i="94"/>
  <c r="Q30" i="94"/>
  <c r="P30" i="94"/>
  <c r="O30" i="94"/>
  <c r="L30" i="94"/>
  <c r="K30" i="94"/>
  <c r="J30" i="94"/>
  <c r="I30" i="94"/>
  <c r="H30" i="94"/>
  <c r="G30" i="94"/>
  <c r="F30" i="94"/>
  <c r="E30" i="94"/>
  <c r="N29" i="94"/>
  <c r="M29" i="94"/>
  <c r="N26" i="94"/>
  <c r="M26" i="94"/>
  <c r="N25" i="94"/>
  <c r="M25" i="94"/>
  <c r="N24" i="94"/>
  <c r="M24" i="94"/>
  <c r="N23" i="94"/>
  <c r="M23" i="94"/>
  <c r="N22" i="94"/>
  <c r="M22" i="94"/>
  <c r="N21" i="94"/>
  <c r="M21" i="94"/>
  <c r="N20" i="94"/>
  <c r="M20" i="94"/>
  <c r="N19" i="94"/>
  <c r="M19" i="94"/>
  <c r="N18" i="94"/>
  <c r="M18" i="94"/>
  <c r="N17" i="94"/>
  <c r="M17" i="94"/>
  <c r="N16" i="94"/>
  <c r="M16" i="94"/>
  <c r="N15" i="94"/>
  <c r="M15" i="94"/>
  <c r="N14" i="94"/>
  <c r="M14" i="94"/>
  <c r="N13" i="94"/>
  <c r="M13" i="94"/>
  <c r="N12" i="94"/>
  <c r="M12" i="94"/>
  <c r="N11" i="94"/>
  <c r="M11" i="94"/>
  <c r="N10" i="94"/>
  <c r="M10" i="94"/>
  <c r="D29" i="94"/>
  <c r="C29" i="94"/>
  <c r="D26" i="94"/>
  <c r="C26" i="94"/>
  <c r="AC26" i="94"/>
  <c r="D25" i="94"/>
  <c r="C25" i="94"/>
  <c r="D24" i="94"/>
  <c r="C24" i="94"/>
  <c r="AC24" i="94"/>
  <c r="D23" i="94"/>
  <c r="C23" i="94"/>
  <c r="D22" i="94"/>
  <c r="C22" i="94"/>
  <c r="AC22" i="94"/>
  <c r="D21" i="94"/>
  <c r="C21" i="94"/>
  <c r="D20" i="94"/>
  <c r="C20" i="94"/>
  <c r="AC20" i="94"/>
  <c r="D19" i="94"/>
  <c r="C19" i="94"/>
  <c r="D18" i="94"/>
  <c r="C18" i="94"/>
  <c r="D17" i="94"/>
  <c r="C17" i="94"/>
  <c r="D16" i="94"/>
  <c r="AD16" i="94"/>
  <c r="C16" i="94"/>
  <c r="D15" i="94"/>
  <c r="C15" i="94"/>
  <c r="D14" i="94"/>
  <c r="C14" i="94"/>
  <c r="AC14" i="94"/>
  <c r="D13" i="94"/>
  <c r="C13" i="94"/>
  <c r="D12" i="94"/>
  <c r="C12" i="94"/>
  <c r="D11" i="94"/>
  <c r="C11" i="94"/>
  <c r="D10" i="94"/>
  <c r="C10" i="94"/>
  <c r="V61" i="95"/>
  <c r="T61" i="95"/>
  <c r="S61" i="95"/>
  <c r="R61" i="95"/>
  <c r="Q61" i="95"/>
  <c r="P61" i="95"/>
  <c r="O61" i="95"/>
  <c r="N61" i="95"/>
  <c r="M61" i="95"/>
  <c r="L61" i="95"/>
  <c r="K61" i="95"/>
  <c r="J61" i="95"/>
  <c r="I61" i="95"/>
  <c r="H61" i="95"/>
  <c r="G61" i="95"/>
  <c r="F61" i="95"/>
  <c r="E61" i="95"/>
  <c r="D61" i="95"/>
  <c r="C61" i="95"/>
  <c r="X60" i="95"/>
  <c r="W60" i="95"/>
  <c r="X57" i="95"/>
  <c r="W57" i="95"/>
  <c r="X56" i="95"/>
  <c r="W56" i="95"/>
  <c r="X55" i="95"/>
  <c r="W55" i="95"/>
  <c r="X54" i="95"/>
  <c r="W54" i="95"/>
  <c r="X53" i="95"/>
  <c r="W53" i="95"/>
  <c r="X52" i="95"/>
  <c r="W52" i="95"/>
  <c r="X51" i="95"/>
  <c r="W51" i="95"/>
  <c r="X50" i="95"/>
  <c r="W50" i="95"/>
  <c r="Y50" i="95"/>
  <c r="X49" i="95"/>
  <c r="W49" i="95"/>
  <c r="X48" i="95"/>
  <c r="W48" i="95"/>
  <c r="Y48" i="95"/>
  <c r="X47" i="95"/>
  <c r="W47" i="95"/>
  <c r="X46" i="95"/>
  <c r="W46" i="95"/>
  <c r="X45" i="95"/>
  <c r="W45" i="95"/>
  <c r="X44" i="95"/>
  <c r="W44" i="95"/>
  <c r="X43" i="95"/>
  <c r="W43" i="95"/>
  <c r="X42" i="95"/>
  <c r="W42" i="95"/>
  <c r="X41" i="95"/>
  <c r="W41" i="95"/>
  <c r="AB30" i="95"/>
  <c r="AA30" i="95"/>
  <c r="Z30" i="95"/>
  <c r="Y30" i="95"/>
  <c r="X30" i="95"/>
  <c r="W30" i="95"/>
  <c r="V30" i="95"/>
  <c r="U30" i="95"/>
  <c r="T30" i="95"/>
  <c r="S30" i="95"/>
  <c r="R30" i="95"/>
  <c r="Q30" i="95"/>
  <c r="P30" i="95"/>
  <c r="O30" i="95"/>
  <c r="L30" i="95"/>
  <c r="K30" i="95"/>
  <c r="J30" i="95"/>
  <c r="I30" i="95"/>
  <c r="H30" i="95"/>
  <c r="G30" i="95"/>
  <c r="F30" i="95"/>
  <c r="E30" i="95"/>
  <c r="N29" i="95"/>
  <c r="M29" i="95"/>
  <c r="N26" i="95"/>
  <c r="M26" i="95"/>
  <c r="N25" i="95"/>
  <c r="M25" i="95"/>
  <c r="N24" i="95"/>
  <c r="M24" i="95"/>
  <c r="N23" i="95"/>
  <c r="M23" i="95"/>
  <c r="N22" i="95"/>
  <c r="M22" i="95"/>
  <c r="N21" i="95"/>
  <c r="M21" i="95"/>
  <c r="N20" i="95"/>
  <c r="M20" i="95"/>
  <c r="N19" i="95"/>
  <c r="M19" i="95"/>
  <c r="N18" i="95"/>
  <c r="M18" i="95"/>
  <c r="N17" i="95"/>
  <c r="M17" i="95"/>
  <c r="N16" i="95"/>
  <c r="M16" i="95"/>
  <c r="N15" i="95"/>
  <c r="M15" i="95"/>
  <c r="N14" i="95"/>
  <c r="M14" i="95"/>
  <c r="N13" i="95"/>
  <c r="M13" i="95"/>
  <c r="N12" i="95"/>
  <c r="M12" i="95"/>
  <c r="N11" i="95"/>
  <c r="M11" i="95"/>
  <c r="N10" i="95"/>
  <c r="M10" i="95"/>
  <c r="D29" i="95"/>
  <c r="C29" i="95"/>
  <c r="D26" i="95"/>
  <c r="C26" i="95"/>
  <c r="D25" i="95"/>
  <c r="AD25" i="95"/>
  <c r="C25" i="95"/>
  <c r="D24" i="95"/>
  <c r="C24" i="95"/>
  <c r="D23" i="95"/>
  <c r="C23" i="95"/>
  <c r="D22" i="95"/>
  <c r="C22" i="95"/>
  <c r="D21" i="95"/>
  <c r="C21" i="95"/>
  <c r="D20" i="95"/>
  <c r="AD20" i="95"/>
  <c r="C20" i="95"/>
  <c r="AC20" i="95"/>
  <c r="D19" i="95"/>
  <c r="AD19" i="95"/>
  <c r="C19" i="95"/>
  <c r="D18" i="95"/>
  <c r="C18" i="95"/>
  <c r="D17" i="95"/>
  <c r="C17" i="95"/>
  <c r="D16" i="95"/>
  <c r="C16" i="95"/>
  <c r="D15" i="95"/>
  <c r="AD15" i="95"/>
  <c r="C15" i="95"/>
  <c r="D14" i="95"/>
  <c r="C14" i="95"/>
  <c r="AC14" i="95"/>
  <c r="D13" i="95"/>
  <c r="C13" i="95"/>
  <c r="D12" i="95"/>
  <c r="AD12" i="95"/>
  <c r="C12" i="95"/>
  <c r="D11" i="95"/>
  <c r="AD11" i="95"/>
  <c r="C11" i="95"/>
  <c r="D10" i="95"/>
  <c r="AD10" i="95"/>
  <c r="C10" i="95"/>
  <c r="W43" i="96"/>
  <c r="X43" i="96"/>
  <c r="W44" i="96"/>
  <c r="X44" i="96"/>
  <c r="W45" i="96"/>
  <c r="X45" i="96"/>
  <c r="W46" i="96"/>
  <c r="X46" i="96"/>
  <c r="W47" i="96"/>
  <c r="X47" i="96"/>
  <c r="W48" i="96"/>
  <c r="X48" i="96"/>
  <c r="W49" i="96"/>
  <c r="X49" i="96"/>
  <c r="W50" i="96"/>
  <c r="X50" i="96"/>
  <c r="W51" i="96"/>
  <c r="X51" i="96"/>
  <c r="W52" i="96"/>
  <c r="X52" i="96"/>
  <c r="W53" i="96"/>
  <c r="X53" i="96"/>
  <c r="W54" i="96"/>
  <c r="X54" i="96"/>
  <c r="W55" i="96"/>
  <c r="X55" i="96"/>
  <c r="W56" i="96"/>
  <c r="X56" i="96"/>
  <c r="Y56" i="96"/>
  <c r="W57" i="96"/>
  <c r="X57" i="96"/>
  <c r="W60" i="96"/>
  <c r="X60" i="96"/>
  <c r="X42" i="96"/>
  <c r="W42" i="96"/>
  <c r="X41" i="96"/>
  <c r="W41" i="96"/>
  <c r="V61" i="96"/>
  <c r="U61" i="96"/>
  <c r="T61" i="96"/>
  <c r="S61" i="96"/>
  <c r="R61" i="96"/>
  <c r="Q61" i="96"/>
  <c r="P61" i="96"/>
  <c r="O61" i="96"/>
  <c r="N61" i="96"/>
  <c r="M61" i="96"/>
  <c r="L61" i="96"/>
  <c r="K61" i="96"/>
  <c r="J61" i="96"/>
  <c r="I61" i="96"/>
  <c r="H61" i="96"/>
  <c r="G61" i="96"/>
  <c r="F61" i="96"/>
  <c r="E61" i="96"/>
  <c r="D61" i="96"/>
  <c r="C61" i="96"/>
  <c r="AB30" i="96"/>
  <c r="AA30" i="96"/>
  <c r="Z30" i="96"/>
  <c r="Y30" i="96"/>
  <c r="X30" i="96"/>
  <c r="W30" i="96"/>
  <c r="V30" i="96"/>
  <c r="U30" i="96"/>
  <c r="T30" i="96"/>
  <c r="S30" i="96"/>
  <c r="R30" i="96"/>
  <c r="Q30" i="96"/>
  <c r="P30" i="96"/>
  <c r="O30" i="96"/>
  <c r="L30" i="96"/>
  <c r="K30" i="96"/>
  <c r="J30" i="96"/>
  <c r="I30" i="96"/>
  <c r="H30" i="96"/>
  <c r="G30" i="96"/>
  <c r="F30" i="96"/>
  <c r="E30" i="96"/>
  <c r="N25" i="96"/>
  <c r="D25" i="96"/>
  <c r="N23" i="96"/>
  <c r="D23" i="96"/>
  <c r="N26" i="96"/>
  <c r="M26" i="96"/>
  <c r="M25" i="96"/>
  <c r="C25" i="96"/>
  <c r="N24" i="96"/>
  <c r="D24" i="96"/>
  <c r="M24" i="96"/>
  <c r="C24" i="96"/>
  <c r="M23" i="96"/>
  <c r="N22" i="96"/>
  <c r="M22" i="96"/>
  <c r="N21" i="96"/>
  <c r="M21" i="96"/>
  <c r="N20" i="96"/>
  <c r="M20" i="96"/>
  <c r="N19" i="96"/>
  <c r="M19" i="96"/>
  <c r="N18" i="96"/>
  <c r="M18" i="96"/>
  <c r="N17" i="96"/>
  <c r="M17" i="96"/>
  <c r="N16" i="96"/>
  <c r="M16" i="96"/>
  <c r="N15" i="96"/>
  <c r="M15" i="96"/>
  <c r="N14" i="96"/>
  <c r="M14" i="96"/>
  <c r="N13" i="96"/>
  <c r="M13" i="96"/>
  <c r="N12" i="96"/>
  <c r="M12" i="96"/>
  <c r="N11" i="96"/>
  <c r="M11" i="96"/>
  <c r="N10" i="96"/>
  <c r="M10" i="96"/>
  <c r="D26" i="96"/>
  <c r="C26" i="96"/>
  <c r="C23" i="96"/>
  <c r="D22" i="96"/>
  <c r="C22" i="96"/>
  <c r="D21" i="96"/>
  <c r="C21" i="96"/>
  <c r="AC21" i="96"/>
  <c r="D20" i="96"/>
  <c r="C20" i="96"/>
  <c r="AC20" i="96"/>
  <c r="D19" i="96"/>
  <c r="C19" i="96"/>
  <c r="AC19" i="96"/>
  <c r="D18" i="96"/>
  <c r="C18" i="96"/>
  <c r="D17" i="96"/>
  <c r="C17" i="96"/>
  <c r="D16" i="96"/>
  <c r="C16" i="96"/>
  <c r="AC16" i="96"/>
  <c r="D15" i="96"/>
  <c r="AD15" i="96"/>
  <c r="C15" i="96"/>
  <c r="D14" i="96"/>
  <c r="C14" i="96"/>
  <c r="AC14" i="96"/>
  <c r="D13" i="96"/>
  <c r="C13" i="96"/>
  <c r="D12" i="96"/>
  <c r="C12" i="96"/>
  <c r="AC12" i="96"/>
  <c r="D11" i="96"/>
  <c r="AD11" i="96"/>
  <c r="C11" i="96"/>
  <c r="D10" i="96"/>
  <c r="C10" i="96"/>
  <c r="AC10" i="96"/>
  <c r="D10" i="97"/>
  <c r="C10" i="97"/>
  <c r="C15" i="97"/>
  <c r="D15" i="97"/>
  <c r="C16" i="97"/>
  <c r="D16" i="97"/>
  <c r="C17" i="97"/>
  <c r="D17" i="97"/>
  <c r="C18" i="97"/>
  <c r="D18" i="97"/>
  <c r="C19" i="97"/>
  <c r="D19" i="97"/>
  <c r="C20" i="97"/>
  <c r="D20" i="97"/>
  <c r="C21" i="97"/>
  <c r="D21" i="97"/>
  <c r="C22" i="97"/>
  <c r="D22" i="97"/>
  <c r="C23" i="97"/>
  <c r="D23" i="97"/>
  <c r="C24" i="97"/>
  <c r="D24" i="97"/>
  <c r="C25" i="97"/>
  <c r="D25" i="97"/>
  <c r="C26" i="97"/>
  <c r="D26" i="97"/>
  <c r="N26" i="97"/>
  <c r="AD26" i="97"/>
  <c r="C29" i="97"/>
  <c r="D29" i="97"/>
  <c r="C11" i="97"/>
  <c r="D11" i="97"/>
  <c r="C12" i="97"/>
  <c r="D12" i="97"/>
  <c r="C13" i="97"/>
  <c r="D13" i="97"/>
  <c r="C15" i="98"/>
  <c r="D15" i="98"/>
  <c r="C16" i="98"/>
  <c r="D16" i="98"/>
  <c r="C17" i="98"/>
  <c r="D17" i="98"/>
  <c r="C18" i="98"/>
  <c r="D18" i="98"/>
  <c r="C19" i="98"/>
  <c r="G19" i="93"/>
  <c r="D19" i="98"/>
  <c r="C20" i="98"/>
  <c r="D20" i="98"/>
  <c r="C21" i="98"/>
  <c r="AE21" i="98"/>
  <c r="G21" i="93"/>
  <c r="D21" i="98"/>
  <c r="C22" i="98"/>
  <c r="D22" i="98"/>
  <c r="C23" i="98"/>
  <c r="D23" i="98"/>
  <c r="C24" i="98"/>
  <c r="D24" i="98"/>
  <c r="C25" i="98"/>
  <c r="D25" i="98"/>
  <c r="C29" i="98"/>
  <c r="D29" i="98"/>
  <c r="C11" i="98"/>
  <c r="D11" i="98"/>
  <c r="C12" i="98"/>
  <c r="D12" i="98"/>
  <c r="C13" i="98"/>
  <c r="D13" i="98"/>
  <c r="AB30" i="97"/>
  <c r="AA30" i="97"/>
  <c r="Z30" i="97"/>
  <c r="Y30" i="97"/>
  <c r="X30" i="97"/>
  <c r="W30" i="97"/>
  <c r="V30" i="97"/>
  <c r="U30" i="97"/>
  <c r="T30" i="97"/>
  <c r="S30" i="97"/>
  <c r="R30" i="97"/>
  <c r="Q30" i="97"/>
  <c r="P30" i="97"/>
  <c r="O30" i="97"/>
  <c r="L30" i="97"/>
  <c r="K30" i="97"/>
  <c r="J30" i="97"/>
  <c r="I30" i="97"/>
  <c r="H30" i="97"/>
  <c r="G30" i="97"/>
  <c r="F30" i="97"/>
  <c r="E30" i="97"/>
  <c r="W41" i="97"/>
  <c r="X41" i="97"/>
  <c r="Y41" i="97"/>
  <c r="W42" i="97"/>
  <c r="X42" i="97"/>
  <c r="Y42" i="97"/>
  <c r="W43" i="97"/>
  <c r="X43" i="97"/>
  <c r="W44" i="97"/>
  <c r="X44" i="97"/>
  <c r="W46" i="97"/>
  <c r="X46" i="97"/>
  <c r="W47" i="97"/>
  <c r="X47" i="97"/>
  <c r="Y47" i="97"/>
  <c r="W48" i="97"/>
  <c r="X48" i="97"/>
  <c r="Y48" i="97"/>
  <c r="X49" i="97"/>
  <c r="Y49" i="97"/>
  <c r="W50" i="97"/>
  <c r="X50" i="97"/>
  <c r="Y50" i="97"/>
  <c r="W51" i="97"/>
  <c r="X51" i="97"/>
  <c r="W52" i="97"/>
  <c r="X52" i="97"/>
  <c r="Y52" i="97"/>
  <c r="W53" i="97"/>
  <c r="X53" i="97"/>
  <c r="W54" i="97"/>
  <c r="X54" i="97"/>
  <c r="W55" i="97"/>
  <c r="X55" i="97"/>
  <c r="W56" i="97"/>
  <c r="X56" i="97"/>
  <c r="V61" i="97"/>
  <c r="U61" i="97"/>
  <c r="T61" i="97"/>
  <c r="S61" i="97"/>
  <c r="R61" i="97"/>
  <c r="Q61" i="97"/>
  <c r="P61" i="97"/>
  <c r="O61" i="97"/>
  <c r="N61" i="97"/>
  <c r="M61" i="97"/>
  <c r="L61" i="97"/>
  <c r="K61" i="97"/>
  <c r="J61" i="97"/>
  <c r="I61" i="97"/>
  <c r="H61" i="97"/>
  <c r="G61" i="97"/>
  <c r="F61" i="97"/>
  <c r="E61" i="97"/>
  <c r="D61" i="97"/>
  <c r="C61" i="97"/>
  <c r="X60" i="97"/>
  <c r="W60" i="97"/>
  <c r="Y60" i="97"/>
  <c r="X57" i="97"/>
  <c r="W57" i="97"/>
  <c r="X45" i="97"/>
  <c r="W45" i="97"/>
  <c r="N29" i="97"/>
  <c r="AD29" i="97"/>
  <c r="M29" i="97"/>
  <c r="M26" i="97"/>
  <c r="N25" i="97"/>
  <c r="M25" i="97"/>
  <c r="AC25" i="97"/>
  <c r="N24" i="97"/>
  <c r="M24" i="97"/>
  <c r="N23" i="97"/>
  <c r="M23" i="97"/>
  <c r="AC23" i="97"/>
  <c r="N22" i="97"/>
  <c r="M22" i="97"/>
  <c r="N21" i="97"/>
  <c r="M21" i="97"/>
  <c r="AC21" i="97"/>
  <c r="N20" i="97"/>
  <c r="M20" i="97"/>
  <c r="N19" i="97"/>
  <c r="M19" i="97"/>
  <c r="AC19" i="97"/>
  <c r="N18" i="97"/>
  <c r="M18" i="97"/>
  <c r="N17" i="97"/>
  <c r="M17" i="97"/>
  <c r="N16" i="97"/>
  <c r="M16" i="97"/>
  <c r="N15" i="97"/>
  <c r="M15" i="97"/>
  <c r="N14" i="97"/>
  <c r="M14" i="97"/>
  <c r="N13" i="97"/>
  <c r="M13" i="97"/>
  <c r="N12" i="97"/>
  <c r="M12" i="97"/>
  <c r="N11" i="97"/>
  <c r="M11" i="97"/>
  <c r="N10" i="97"/>
  <c r="M10" i="97"/>
  <c r="D14" i="97"/>
  <c r="C14" i="97"/>
  <c r="Y56" i="97"/>
  <c r="D61" i="98"/>
  <c r="F61" i="98"/>
  <c r="G61" i="98"/>
  <c r="H61" i="98"/>
  <c r="I61" i="98"/>
  <c r="J61" i="98"/>
  <c r="K61" i="98"/>
  <c r="L61" i="98"/>
  <c r="M61" i="98"/>
  <c r="N61" i="98"/>
  <c r="O61" i="98"/>
  <c r="P61" i="98"/>
  <c r="Q61" i="98"/>
  <c r="R61" i="98"/>
  <c r="S61" i="98"/>
  <c r="T61" i="98"/>
  <c r="U61" i="98"/>
  <c r="V61" i="98"/>
  <c r="E61" i="98"/>
  <c r="D10" i="98"/>
  <c r="M13" i="98"/>
  <c r="N13" i="98"/>
  <c r="G13" i="93"/>
  <c r="M15" i="98"/>
  <c r="N15" i="98"/>
  <c r="M16" i="98"/>
  <c r="N16" i="98"/>
  <c r="G16" i="93"/>
  <c r="M17" i="98"/>
  <c r="N17" i="98"/>
  <c r="M18" i="98"/>
  <c r="N18" i="98"/>
  <c r="G18" i="93"/>
  <c r="M19" i="98"/>
  <c r="N19" i="98"/>
  <c r="M20" i="98"/>
  <c r="N20" i="98"/>
  <c r="AE20" i="98"/>
  <c r="G20" i="93"/>
  <c r="M21" i="98"/>
  <c r="N21" i="98"/>
  <c r="M22" i="98"/>
  <c r="N22" i="98"/>
  <c r="M23" i="98"/>
  <c r="N23" i="98"/>
  <c r="M24" i="98"/>
  <c r="N24" i="98"/>
  <c r="AE24" i="98"/>
  <c r="G24" i="93"/>
  <c r="M25" i="98"/>
  <c r="N25" i="98"/>
  <c r="M11" i="98"/>
  <c r="N11" i="98"/>
  <c r="AE11" i="98"/>
  <c r="G11" i="93"/>
  <c r="M12" i="98"/>
  <c r="N12" i="98"/>
  <c r="N10" i="98"/>
  <c r="M10" i="98"/>
  <c r="AB30" i="98"/>
  <c r="AA30" i="98"/>
  <c r="Z30" i="98"/>
  <c r="Y30" i="98"/>
  <c r="X30" i="98"/>
  <c r="W30" i="98"/>
  <c r="V30" i="98"/>
  <c r="U30" i="98"/>
  <c r="T30" i="98"/>
  <c r="S30" i="98"/>
  <c r="R30" i="98"/>
  <c r="Q30" i="98"/>
  <c r="P30" i="98"/>
  <c r="O30" i="98"/>
  <c r="G30" i="98"/>
  <c r="H30" i="98"/>
  <c r="I30" i="98"/>
  <c r="J30" i="98"/>
  <c r="K30" i="98"/>
  <c r="L30" i="98"/>
  <c r="E30" i="98"/>
  <c r="C10" i="98"/>
  <c r="X38" i="58"/>
  <c r="Y38" i="59"/>
  <c r="Y38" i="60"/>
  <c r="Y38" i="61"/>
  <c r="M23" i="62"/>
  <c r="I23" i="62"/>
  <c r="E23" i="62"/>
  <c r="U23" i="62"/>
  <c r="AF23" i="62"/>
  <c r="AL23" i="62"/>
  <c r="H16" i="44"/>
  <c r="E28" i="45"/>
  <c r="N28" i="45"/>
  <c r="Z33" i="55"/>
  <c r="V33" i="55"/>
  <c r="R33" i="55"/>
  <c r="N33" i="55"/>
  <c r="J33" i="55"/>
  <c r="F33" i="55"/>
  <c r="AD33" i="54"/>
  <c r="AD33" i="53"/>
  <c r="AD33" i="52"/>
  <c r="AD34" i="52"/>
  <c r="AD37" i="52" s="1"/>
  <c r="AD35" i="52"/>
  <c r="AD33" i="51"/>
  <c r="AD37" i="51" s="1"/>
  <c r="AD33" i="50"/>
  <c r="V31" i="56"/>
  <c r="V25" i="56"/>
  <c r="V36" i="56"/>
  <c r="V37" i="56"/>
  <c r="V38" i="56"/>
  <c r="V24" i="56"/>
  <c r="B28" i="62"/>
  <c r="C28" i="62"/>
  <c r="D28" i="62"/>
  <c r="E28" i="62"/>
  <c r="F28" i="62"/>
  <c r="G28" i="62"/>
  <c r="H28" i="62"/>
  <c r="I28" i="62"/>
  <c r="J28" i="62"/>
  <c r="K28" i="62"/>
  <c r="L28" i="62"/>
  <c r="M28" i="62"/>
  <c r="N28" i="62"/>
  <c r="O28" i="62"/>
  <c r="Q28" i="62"/>
  <c r="R28" i="62"/>
  <c r="S28" i="62"/>
  <c r="T28" i="62"/>
  <c r="U28" i="62"/>
  <c r="AC28" i="62"/>
  <c r="AD28" i="62"/>
  <c r="AE28" i="62"/>
  <c r="AF28" i="62"/>
  <c r="AG28" i="62"/>
  <c r="AH28" i="62"/>
  <c r="AI28" i="62"/>
  <c r="AL28" i="62"/>
  <c r="D12" i="84"/>
  <c r="E12" i="84"/>
  <c r="F12" i="84"/>
  <c r="G12" i="84"/>
  <c r="H12" i="84"/>
  <c r="I12" i="84"/>
  <c r="J12" i="84"/>
  <c r="K13" i="84"/>
  <c r="K12" i="84"/>
  <c r="L12" i="84"/>
  <c r="M12" i="84"/>
  <c r="N12" i="84"/>
  <c r="O13" i="84"/>
  <c r="O12" i="84"/>
  <c r="Q12" i="84"/>
  <c r="R12" i="84"/>
  <c r="D18" i="90" s="1"/>
  <c r="S12" i="84"/>
  <c r="T12" i="84"/>
  <c r="U12" i="84"/>
  <c r="C12" i="84"/>
  <c r="W13" i="84"/>
  <c r="V13" i="84"/>
  <c r="I13" i="76"/>
  <c r="I14" i="76"/>
  <c r="G13" i="76"/>
  <c r="H13" i="76"/>
  <c r="G14" i="76"/>
  <c r="H14" i="76"/>
  <c r="N14" i="120"/>
  <c r="N16" i="120"/>
  <c r="N8" i="120"/>
  <c r="N13" i="120" s="1"/>
  <c r="N9" i="120"/>
  <c r="N10" i="120"/>
  <c r="N11" i="120"/>
  <c r="N12" i="120"/>
  <c r="N17" i="120"/>
  <c r="N18" i="120"/>
  <c r="N19" i="120"/>
  <c r="N20" i="120"/>
  <c r="N21" i="120"/>
  <c r="N22" i="120" s="1"/>
  <c r="M16" i="120"/>
  <c r="M23" i="120" s="1"/>
  <c r="L16" i="120"/>
  <c r="L23" i="120" s="1"/>
  <c r="N15" i="120"/>
  <c r="L13" i="120"/>
  <c r="M13" i="120"/>
  <c r="A3" i="121"/>
  <c r="O10" i="121"/>
  <c r="C11" i="121"/>
  <c r="D11" i="121"/>
  <c r="D24" i="121" s="1"/>
  <c r="D19" i="121"/>
  <c r="E11" i="121"/>
  <c r="E19" i="121"/>
  <c r="O19" i="121" s="1"/>
  <c r="F11" i="121"/>
  <c r="G11" i="121"/>
  <c r="G24" i="121" s="1"/>
  <c r="H11" i="121"/>
  <c r="H19" i="121"/>
  <c r="I11" i="121"/>
  <c r="I19" i="121"/>
  <c r="I24" i="121" s="1"/>
  <c r="J11" i="121"/>
  <c r="K11" i="121"/>
  <c r="L11" i="121"/>
  <c r="L24" i="121" s="1"/>
  <c r="L19" i="121"/>
  <c r="N11" i="121"/>
  <c r="C19" i="121"/>
  <c r="F19" i="121"/>
  <c r="G19" i="121"/>
  <c r="J19" i="121"/>
  <c r="J24" i="121" s="1"/>
  <c r="K19" i="121"/>
  <c r="K24" i="121" s="1"/>
  <c r="N19" i="121"/>
  <c r="N24" i="121"/>
  <c r="O20" i="121"/>
  <c r="O21" i="121"/>
  <c r="C13" i="120"/>
  <c r="D13" i="120"/>
  <c r="D16" i="120"/>
  <c r="E13" i="120"/>
  <c r="F13" i="120"/>
  <c r="G13" i="120"/>
  <c r="G23" i="120" s="1"/>
  <c r="H13" i="120"/>
  <c r="I13" i="120"/>
  <c r="J13" i="120"/>
  <c r="K13" i="120"/>
  <c r="K23" i="120" s="1"/>
  <c r="C16" i="120"/>
  <c r="E16" i="120"/>
  <c r="E23" i="120"/>
  <c r="F16" i="120"/>
  <c r="F23" i="120" s="1"/>
  <c r="G16" i="120"/>
  <c r="H16" i="120"/>
  <c r="H23" i="120" s="1"/>
  <c r="I16" i="120"/>
  <c r="J16" i="120"/>
  <c r="K16" i="120"/>
  <c r="I23" i="120"/>
  <c r="B75" i="12"/>
  <c r="F67" i="12"/>
  <c r="AB20" i="36"/>
  <c r="S35" i="45"/>
  <c r="S36" i="45"/>
  <c r="K35" i="45"/>
  <c r="V31" i="50"/>
  <c r="I38" i="60"/>
  <c r="D40" i="68"/>
  <c r="E40" i="68"/>
  <c r="C40" i="68"/>
  <c r="C29" i="106"/>
  <c r="D29" i="106"/>
  <c r="E29" i="106"/>
  <c r="F29" i="106"/>
  <c r="G29" i="106"/>
  <c r="H29" i="106"/>
  <c r="I29" i="106"/>
  <c r="J29" i="106"/>
  <c r="C30" i="106"/>
  <c r="D30" i="106"/>
  <c r="E30" i="106"/>
  <c r="F30" i="106"/>
  <c r="G30" i="106"/>
  <c r="H30" i="106"/>
  <c r="I30" i="106"/>
  <c r="J30" i="106"/>
  <c r="C31" i="106"/>
  <c r="D31" i="106"/>
  <c r="E31" i="106"/>
  <c r="F31" i="106"/>
  <c r="G31" i="106"/>
  <c r="H31" i="106"/>
  <c r="I31" i="106"/>
  <c r="J31" i="106"/>
  <c r="C32" i="106"/>
  <c r="D32" i="106"/>
  <c r="E32" i="106"/>
  <c r="F32" i="106"/>
  <c r="G32" i="106"/>
  <c r="H32" i="106"/>
  <c r="I32" i="106"/>
  <c r="J32" i="106"/>
  <c r="C33" i="106"/>
  <c r="D33" i="106"/>
  <c r="E33" i="106"/>
  <c r="F33" i="106"/>
  <c r="G33" i="106"/>
  <c r="H33" i="106"/>
  <c r="I33" i="106"/>
  <c r="J33" i="106"/>
  <c r="C34" i="106"/>
  <c r="D34" i="106"/>
  <c r="E34" i="106"/>
  <c r="F34" i="106"/>
  <c r="G34" i="106"/>
  <c r="H34" i="106"/>
  <c r="I34" i="106"/>
  <c r="J34" i="106"/>
  <c r="C35" i="106"/>
  <c r="D35" i="106"/>
  <c r="E35" i="106"/>
  <c r="F35" i="106"/>
  <c r="G35" i="106"/>
  <c r="H35" i="106"/>
  <c r="I35" i="106"/>
  <c r="J35" i="106"/>
  <c r="C36" i="106"/>
  <c r="D36" i="106"/>
  <c r="E36" i="106"/>
  <c r="F36" i="106"/>
  <c r="G36" i="106"/>
  <c r="H36" i="106"/>
  <c r="I36" i="106"/>
  <c r="J36" i="106"/>
  <c r="C37" i="106"/>
  <c r="D37" i="106"/>
  <c r="E37" i="106"/>
  <c r="F37" i="106"/>
  <c r="G37" i="106"/>
  <c r="H37" i="106"/>
  <c r="I37" i="106"/>
  <c r="J37" i="106"/>
  <c r="C38" i="106"/>
  <c r="D38" i="106"/>
  <c r="E38" i="106"/>
  <c r="F38" i="106"/>
  <c r="G38" i="106"/>
  <c r="H38" i="106"/>
  <c r="I38" i="106"/>
  <c r="J38" i="106"/>
  <c r="C39" i="106"/>
  <c r="D39" i="106"/>
  <c r="E39" i="106"/>
  <c r="F39" i="106"/>
  <c r="G39" i="106"/>
  <c r="H39" i="106"/>
  <c r="I39" i="106"/>
  <c r="J39" i="106"/>
  <c r="C40" i="106"/>
  <c r="D40" i="106"/>
  <c r="E40" i="106"/>
  <c r="F40" i="106"/>
  <c r="G40" i="106"/>
  <c r="H40" i="106"/>
  <c r="I40" i="106"/>
  <c r="J40" i="106"/>
  <c r="C43" i="106"/>
  <c r="D43" i="106"/>
  <c r="E43" i="106"/>
  <c r="F43" i="106"/>
  <c r="G43" i="106"/>
  <c r="H43" i="106"/>
  <c r="I43" i="106"/>
  <c r="J43" i="106"/>
  <c r="AD19" i="36"/>
  <c r="AB19" i="36"/>
  <c r="Z19" i="36"/>
  <c r="X19" i="36"/>
  <c r="V19" i="36"/>
  <c r="T19" i="36"/>
  <c r="P19" i="36"/>
  <c r="Q19" i="36"/>
  <c r="N19" i="36"/>
  <c r="L19" i="36"/>
  <c r="M19" i="36"/>
  <c r="J19" i="36"/>
  <c r="D19" i="36"/>
  <c r="E19" i="36"/>
  <c r="B19" i="36"/>
  <c r="C19" i="36"/>
  <c r="AD18" i="36"/>
  <c r="AB18" i="36"/>
  <c r="Z18" i="36"/>
  <c r="X18" i="36"/>
  <c r="V18" i="36"/>
  <c r="T18" i="36"/>
  <c r="U18" i="36"/>
  <c r="P18" i="36"/>
  <c r="N18" i="36"/>
  <c r="L18" i="36"/>
  <c r="J18" i="36"/>
  <c r="D18" i="36"/>
  <c r="E18" i="36"/>
  <c r="B18" i="36"/>
  <c r="C18" i="36"/>
  <c r="AD17" i="36"/>
  <c r="AE17" i="36"/>
  <c r="AB17" i="36"/>
  <c r="AC17" i="36"/>
  <c r="Z17" i="36"/>
  <c r="AA17" i="36"/>
  <c r="X17" i="36"/>
  <c r="Y17" i="36"/>
  <c r="V17" i="36"/>
  <c r="W17" i="36"/>
  <c r="T17" i="36"/>
  <c r="U17" i="36"/>
  <c r="P17" i="36"/>
  <c r="Q17" i="36"/>
  <c r="N17" i="36"/>
  <c r="O17" i="36"/>
  <c r="L17" i="36"/>
  <c r="M17" i="36"/>
  <c r="J17" i="36"/>
  <c r="K17" i="36"/>
  <c r="D17" i="36"/>
  <c r="E17" i="36"/>
  <c r="B17" i="36"/>
  <c r="C17" i="36"/>
  <c r="AD16" i="36"/>
  <c r="AE16" i="36"/>
  <c r="AB16" i="36"/>
  <c r="AC16" i="36"/>
  <c r="Z16" i="36"/>
  <c r="AA16" i="36"/>
  <c r="X16" i="36"/>
  <c r="Y16" i="36"/>
  <c r="V16" i="36"/>
  <c r="W16" i="36"/>
  <c r="T16" i="36"/>
  <c r="U16" i="36"/>
  <c r="P16" i="36"/>
  <c r="Q16" i="36"/>
  <c r="N16" i="36"/>
  <c r="O16" i="36"/>
  <c r="L16" i="36"/>
  <c r="M16" i="36"/>
  <c r="J16" i="36"/>
  <c r="K16" i="36"/>
  <c r="D16" i="36"/>
  <c r="E16" i="36"/>
  <c r="B16" i="36"/>
  <c r="C16" i="36"/>
  <c r="AD15" i="36"/>
  <c r="AE15" i="36"/>
  <c r="AB15" i="36"/>
  <c r="AC15" i="36"/>
  <c r="Z15" i="36"/>
  <c r="AA15" i="36"/>
  <c r="X15" i="36"/>
  <c r="Y15" i="36"/>
  <c r="V15" i="36"/>
  <c r="W15" i="36"/>
  <c r="T15" i="36"/>
  <c r="U15" i="36"/>
  <c r="P15" i="36"/>
  <c r="Q15" i="36"/>
  <c r="N15" i="36"/>
  <c r="L15" i="36"/>
  <c r="M15" i="36"/>
  <c r="J15" i="36"/>
  <c r="K15" i="36"/>
  <c r="D15" i="36"/>
  <c r="E15" i="36"/>
  <c r="B15" i="36"/>
  <c r="C15" i="36"/>
  <c r="AD14" i="36"/>
  <c r="AE14" i="36"/>
  <c r="AB14" i="36"/>
  <c r="AC14" i="36"/>
  <c r="Z14" i="36"/>
  <c r="AA14" i="36"/>
  <c r="X14" i="36"/>
  <c r="Y14" i="36"/>
  <c r="V14" i="36"/>
  <c r="W14" i="36"/>
  <c r="T14" i="36"/>
  <c r="U14" i="36"/>
  <c r="P14" i="36"/>
  <c r="Q14" i="36"/>
  <c r="N14" i="36"/>
  <c r="O14" i="36"/>
  <c r="L14" i="36"/>
  <c r="M14" i="36"/>
  <c r="J14" i="36"/>
  <c r="D14" i="36"/>
  <c r="E14" i="36"/>
  <c r="B14" i="36"/>
  <c r="C14" i="36"/>
  <c r="AD13" i="36"/>
  <c r="AE13" i="36"/>
  <c r="AB13" i="36"/>
  <c r="AC13" i="36"/>
  <c r="Z13" i="36"/>
  <c r="AA13" i="36"/>
  <c r="X13" i="36"/>
  <c r="Y13" i="36"/>
  <c r="V13" i="36"/>
  <c r="W13" i="36"/>
  <c r="T13" i="36"/>
  <c r="P13" i="36"/>
  <c r="Q13" i="36"/>
  <c r="N13" i="36"/>
  <c r="O13" i="36"/>
  <c r="L13" i="36"/>
  <c r="M13" i="36"/>
  <c r="J13" i="36"/>
  <c r="K13" i="36"/>
  <c r="D13" i="36"/>
  <c r="E13" i="36"/>
  <c r="B13" i="36"/>
  <c r="C13" i="36"/>
  <c r="AD12" i="36"/>
  <c r="AE12" i="36"/>
  <c r="AB12" i="36"/>
  <c r="AC12" i="36"/>
  <c r="Z12" i="36"/>
  <c r="AA12" i="36"/>
  <c r="X12" i="36"/>
  <c r="Y12" i="36"/>
  <c r="V12" i="36"/>
  <c r="W12" i="36"/>
  <c r="T12" i="36"/>
  <c r="U12" i="36"/>
  <c r="P12" i="36"/>
  <c r="Q12" i="36"/>
  <c r="N12" i="36"/>
  <c r="O12" i="36"/>
  <c r="L12" i="36"/>
  <c r="M12" i="36"/>
  <c r="J12" i="36"/>
  <c r="K12" i="36"/>
  <c r="D12" i="36"/>
  <c r="E12" i="36"/>
  <c r="B12" i="36"/>
  <c r="C12" i="36"/>
  <c r="AD11" i="36"/>
  <c r="AE11" i="36"/>
  <c r="AB11" i="36"/>
  <c r="AC11" i="36"/>
  <c r="Z11" i="36"/>
  <c r="AA11" i="36"/>
  <c r="X11" i="36"/>
  <c r="Y11" i="36"/>
  <c r="V11" i="36"/>
  <c r="W11" i="36"/>
  <c r="T11" i="36"/>
  <c r="U11" i="36"/>
  <c r="P11" i="36"/>
  <c r="Q11" i="36"/>
  <c r="N11" i="36"/>
  <c r="O11" i="36"/>
  <c r="L11" i="36"/>
  <c r="M11" i="36"/>
  <c r="J11" i="36"/>
  <c r="K11" i="36"/>
  <c r="D11" i="36"/>
  <c r="E11" i="36"/>
  <c r="B11" i="36"/>
  <c r="C11" i="36"/>
  <c r="F15" i="36"/>
  <c r="G15" i="36"/>
  <c r="B25" i="107"/>
  <c r="E25" i="107"/>
  <c r="H20" i="33"/>
  <c r="J79" i="73"/>
  <c r="AI23" i="57"/>
  <c r="AK23" i="57"/>
  <c r="B31" i="114"/>
  <c r="D9" i="114"/>
  <c r="E9" i="114"/>
  <c r="F9" i="114"/>
  <c r="G9" i="114"/>
  <c r="H9" i="114"/>
  <c r="I9" i="114"/>
  <c r="J9" i="114"/>
  <c r="K9" i="114"/>
  <c r="L9" i="114"/>
  <c r="M9" i="114"/>
  <c r="N9" i="114"/>
  <c r="C9" i="114"/>
  <c r="D15" i="114"/>
  <c r="E15" i="114"/>
  <c r="F15" i="114"/>
  <c r="G15" i="114"/>
  <c r="H15" i="114"/>
  <c r="I15" i="114"/>
  <c r="J15" i="114"/>
  <c r="K15" i="114"/>
  <c r="L15" i="114"/>
  <c r="M15" i="114"/>
  <c r="E31" i="114" s="1"/>
  <c r="F31" i="114" s="1"/>
  <c r="N15" i="114"/>
  <c r="C15" i="114"/>
  <c r="D10" i="114"/>
  <c r="E10" i="114"/>
  <c r="F10" i="114"/>
  <c r="G10" i="114"/>
  <c r="H10" i="114"/>
  <c r="I10" i="114"/>
  <c r="J10" i="114"/>
  <c r="K10" i="114"/>
  <c r="L10" i="114"/>
  <c r="M10" i="114"/>
  <c r="N10" i="114"/>
  <c r="D8" i="114"/>
  <c r="B24" i="114"/>
  <c r="E8" i="114"/>
  <c r="F8" i="114"/>
  <c r="G8" i="114"/>
  <c r="H8" i="114"/>
  <c r="I8" i="114"/>
  <c r="J8" i="114"/>
  <c r="K8" i="114"/>
  <c r="L8" i="114"/>
  <c r="M8" i="114"/>
  <c r="N8" i="114"/>
  <c r="C8" i="114"/>
  <c r="B29" i="107"/>
  <c r="E20" i="80"/>
  <c r="F20" i="80"/>
  <c r="G20" i="80"/>
  <c r="H20" i="80"/>
  <c r="I20" i="80"/>
  <c r="J20" i="80"/>
  <c r="L20" i="80"/>
  <c r="M20" i="80"/>
  <c r="N20" i="80"/>
  <c r="Q20" i="80"/>
  <c r="R20" i="80"/>
  <c r="S20" i="80"/>
  <c r="T20" i="80"/>
  <c r="U20" i="80"/>
  <c r="O20" i="81"/>
  <c r="X20" i="81" s="1"/>
  <c r="W20" i="81"/>
  <c r="V20" i="81"/>
  <c r="K20" i="81"/>
  <c r="K24" i="81"/>
  <c r="E29" i="107"/>
  <c r="B14" i="107"/>
  <c r="C29" i="107"/>
  <c r="C20" i="80"/>
  <c r="P64" i="78"/>
  <c r="Q64" i="78"/>
  <c r="J26" i="78"/>
  <c r="H19" i="111"/>
  <c r="H20" i="111"/>
  <c r="H21" i="111"/>
  <c r="H22" i="111"/>
  <c r="H23" i="111"/>
  <c r="H25" i="111"/>
  <c r="H26" i="111"/>
  <c r="AG32" i="62"/>
  <c r="AM49" i="61"/>
  <c r="AM32" i="59"/>
  <c r="AJ12" i="57"/>
  <c r="AJ14" i="57"/>
  <c r="AJ16" i="57"/>
  <c r="AJ18" i="57"/>
  <c r="D35" i="55"/>
  <c r="H35" i="55"/>
  <c r="L35" i="55"/>
  <c r="X35" i="55"/>
  <c r="T35" i="55"/>
  <c r="P35" i="55"/>
  <c r="AB44" i="50"/>
  <c r="H8" i="112"/>
  <c r="I8" i="112"/>
  <c r="G8" i="112"/>
  <c r="F8" i="112"/>
  <c r="AH32" i="62"/>
  <c r="AI32" i="62"/>
  <c r="AG31" i="57"/>
  <c r="AC31" i="57"/>
  <c r="AC32" i="57"/>
  <c r="AB31" i="57"/>
  <c r="AB32" i="57"/>
  <c r="AA31" i="57"/>
  <c r="AA32" i="57"/>
  <c r="Y31" i="57"/>
  <c r="Y32" i="57"/>
  <c r="X31" i="57"/>
  <c r="X32" i="57"/>
  <c r="W31" i="57"/>
  <c r="U31" i="57"/>
  <c r="U32" i="57"/>
  <c r="T31" i="57"/>
  <c r="S31" i="57"/>
  <c r="Q31" i="57"/>
  <c r="Q32" i="57"/>
  <c r="P31" i="57"/>
  <c r="P32" i="57"/>
  <c r="O31" i="57"/>
  <c r="I31" i="57"/>
  <c r="I32" i="57"/>
  <c r="H31" i="57"/>
  <c r="G31" i="57"/>
  <c r="C31" i="57"/>
  <c r="C32" i="57"/>
  <c r="D31" i="57"/>
  <c r="D32" i="57"/>
  <c r="E31" i="57"/>
  <c r="E32" i="57"/>
  <c r="N47" i="51"/>
  <c r="J37" i="51"/>
  <c r="G48" i="53"/>
  <c r="G49" i="53"/>
  <c r="L48" i="52"/>
  <c r="L49" i="52"/>
  <c r="E48" i="52"/>
  <c r="E49" i="52"/>
  <c r="AA44" i="51"/>
  <c r="AB44" i="51"/>
  <c r="AA35" i="51"/>
  <c r="AA32" i="51"/>
  <c r="AA34" i="51"/>
  <c r="AA36" i="51"/>
  <c r="AB35" i="51"/>
  <c r="W48" i="51"/>
  <c r="W49" i="51"/>
  <c r="U48" i="51"/>
  <c r="U49" i="51"/>
  <c r="T48" i="51"/>
  <c r="T49" i="51"/>
  <c r="S48" i="51"/>
  <c r="S49" i="51"/>
  <c r="P48" i="51"/>
  <c r="P49" i="51"/>
  <c r="L48" i="51"/>
  <c r="L49" i="51"/>
  <c r="K48" i="51"/>
  <c r="K49" i="51"/>
  <c r="I48" i="51"/>
  <c r="I49" i="51"/>
  <c r="G48" i="51"/>
  <c r="G49" i="51"/>
  <c r="AB35" i="50"/>
  <c r="B94" i="46"/>
  <c r="B95" i="46"/>
  <c r="B96" i="46"/>
  <c r="B97" i="46"/>
  <c r="B98" i="46"/>
  <c r="L35" i="44"/>
  <c r="I35" i="44"/>
  <c r="F35" i="44"/>
  <c r="R20" i="33"/>
  <c r="K29" i="106"/>
  <c r="L29" i="106"/>
  <c r="B69" i="12"/>
  <c r="B7" i="65"/>
  <c r="T54" i="40"/>
  <c r="U12" i="83"/>
  <c r="T12" i="83"/>
  <c r="S12" i="83"/>
  <c r="V12" i="83" s="1"/>
  <c r="F18" i="89" s="1"/>
  <c r="R12" i="83"/>
  <c r="Q12" i="83"/>
  <c r="N12" i="83"/>
  <c r="M12" i="83"/>
  <c r="L12" i="83"/>
  <c r="J12" i="83"/>
  <c r="I12" i="83"/>
  <c r="H12" i="83"/>
  <c r="G12" i="83"/>
  <c r="F12" i="83"/>
  <c r="E12" i="83"/>
  <c r="D12" i="83"/>
  <c r="C12" i="83"/>
  <c r="V13" i="83"/>
  <c r="K13" i="83"/>
  <c r="C13" i="80"/>
  <c r="D13" i="80"/>
  <c r="E13" i="80"/>
  <c r="K13" i="80" s="1"/>
  <c r="F13" i="80"/>
  <c r="G13" i="80"/>
  <c r="H13" i="80"/>
  <c r="I13" i="80"/>
  <c r="J13" i="80"/>
  <c r="L13" i="80"/>
  <c r="M13" i="80"/>
  <c r="N13" i="80"/>
  <c r="O13" i="80" s="1"/>
  <c r="Q13" i="80"/>
  <c r="R13" i="80"/>
  <c r="S13" i="80"/>
  <c r="V13" i="80" s="1"/>
  <c r="T13" i="80"/>
  <c r="U13" i="80"/>
  <c r="C14" i="80"/>
  <c r="G26" i="111"/>
  <c r="F26" i="111"/>
  <c r="E26" i="111"/>
  <c r="D26" i="111"/>
  <c r="G25" i="111"/>
  <c r="F25" i="111"/>
  <c r="E25" i="111"/>
  <c r="D25" i="111"/>
  <c r="E24" i="111"/>
  <c r="D24" i="111"/>
  <c r="C24" i="111"/>
  <c r="G23" i="111"/>
  <c r="F23" i="111"/>
  <c r="E23" i="111"/>
  <c r="D23" i="111"/>
  <c r="C23" i="111"/>
  <c r="G22" i="111"/>
  <c r="F22" i="111"/>
  <c r="E22" i="111"/>
  <c r="D22" i="111"/>
  <c r="C22" i="111"/>
  <c r="G21" i="111"/>
  <c r="F21" i="111"/>
  <c r="E21" i="111"/>
  <c r="D21" i="111"/>
  <c r="C21" i="111"/>
  <c r="G20" i="111"/>
  <c r="F20" i="111"/>
  <c r="E20" i="111"/>
  <c r="D20" i="111"/>
  <c r="C20" i="111"/>
  <c r="G19" i="111"/>
  <c r="F19" i="111"/>
  <c r="E19" i="111"/>
  <c r="D19" i="111"/>
  <c r="C19" i="111"/>
  <c r="B20" i="111"/>
  <c r="B21" i="111"/>
  <c r="B22" i="111"/>
  <c r="B23" i="111"/>
  <c r="B24" i="111"/>
  <c r="B19" i="111"/>
  <c r="B33" i="114"/>
  <c r="B32" i="114"/>
  <c r="B30" i="114"/>
  <c r="B29" i="114"/>
  <c r="B28" i="114"/>
  <c r="B27" i="114"/>
  <c r="B26" i="114"/>
  <c r="B25" i="114"/>
  <c r="B23" i="114"/>
  <c r="H25" i="44"/>
  <c r="R20" i="56"/>
  <c r="V9" i="112"/>
  <c r="V10" i="112"/>
  <c r="V11" i="112"/>
  <c r="V12" i="112"/>
  <c r="V13" i="112"/>
  <c r="V14" i="112"/>
  <c r="V15" i="112"/>
  <c r="V16" i="112"/>
  <c r="V17" i="112"/>
  <c r="V18" i="112"/>
  <c r="V19" i="112"/>
  <c r="V20" i="112"/>
  <c r="V21" i="112"/>
  <c r="V22" i="112"/>
  <c r="V23" i="112"/>
  <c r="V24" i="112"/>
  <c r="V26" i="112"/>
  <c r="V27" i="112"/>
  <c r="V28" i="112"/>
  <c r="V29" i="112"/>
  <c r="V30" i="112"/>
  <c r="V31" i="112"/>
  <c r="V32" i="112"/>
  <c r="V33" i="112"/>
  <c r="V34" i="112"/>
  <c r="V35" i="112"/>
  <c r="V36" i="112"/>
  <c r="V37" i="112"/>
  <c r="W9" i="112"/>
  <c r="W10" i="112"/>
  <c r="W11" i="112"/>
  <c r="W12" i="112"/>
  <c r="W13" i="112"/>
  <c r="W14" i="112"/>
  <c r="W15" i="112"/>
  <c r="W16" i="112"/>
  <c r="W17" i="112"/>
  <c r="W18" i="112"/>
  <c r="W19" i="112"/>
  <c r="W20" i="112"/>
  <c r="W21" i="112"/>
  <c r="W22" i="112"/>
  <c r="W24" i="112"/>
  <c r="W26" i="112"/>
  <c r="W27" i="112"/>
  <c r="W28" i="112"/>
  <c r="W29" i="112"/>
  <c r="W30" i="112"/>
  <c r="W31" i="112"/>
  <c r="W32" i="112"/>
  <c r="W33" i="112"/>
  <c r="W34" i="112"/>
  <c r="W35" i="112"/>
  <c r="W36" i="112"/>
  <c r="W37" i="112"/>
  <c r="E38" i="112"/>
  <c r="C38" i="112"/>
  <c r="D38" i="112"/>
  <c r="F38" i="112"/>
  <c r="G38" i="112"/>
  <c r="H38" i="112"/>
  <c r="I38" i="112"/>
  <c r="J38" i="112"/>
  <c r="K38" i="112"/>
  <c r="B38" i="112"/>
  <c r="E24" i="114"/>
  <c r="D17" i="114"/>
  <c r="E17" i="114"/>
  <c r="F17" i="114"/>
  <c r="G17" i="114"/>
  <c r="H17" i="114"/>
  <c r="I17" i="114"/>
  <c r="J17" i="114"/>
  <c r="K17" i="114"/>
  <c r="L17" i="114"/>
  <c r="M17" i="114"/>
  <c r="N17" i="114"/>
  <c r="C17" i="114"/>
  <c r="B17" i="114" s="1"/>
  <c r="D16" i="114"/>
  <c r="E16" i="114"/>
  <c r="F16" i="114"/>
  <c r="G16" i="114"/>
  <c r="H16" i="114"/>
  <c r="I16" i="114"/>
  <c r="J16" i="114"/>
  <c r="K16" i="114"/>
  <c r="L16" i="114"/>
  <c r="M16" i="114"/>
  <c r="E32" i="114" s="1"/>
  <c r="F32" i="114" s="1"/>
  <c r="N16" i="114"/>
  <c r="C16" i="114"/>
  <c r="B16" i="114" s="1"/>
  <c r="C32" i="114" s="1"/>
  <c r="D32" i="114" s="1"/>
  <c r="D14" i="114"/>
  <c r="E14" i="114"/>
  <c r="F14" i="114"/>
  <c r="G14" i="114"/>
  <c r="H14" i="114"/>
  <c r="I14" i="114"/>
  <c r="J14" i="114"/>
  <c r="K14" i="114"/>
  <c r="L14" i="114"/>
  <c r="M14" i="114"/>
  <c r="N14" i="114"/>
  <c r="C14" i="114"/>
  <c r="D13" i="114"/>
  <c r="E13" i="114"/>
  <c r="F13" i="114"/>
  <c r="G13" i="114"/>
  <c r="H13" i="114"/>
  <c r="I13" i="114"/>
  <c r="J13" i="114"/>
  <c r="K13" i="114"/>
  <c r="L13" i="114"/>
  <c r="M13" i="114"/>
  <c r="N13" i="114"/>
  <c r="E29" i="114" s="1"/>
  <c r="C13" i="114"/>
  <c r="D12" i="114"/>
  <c r="E12" i="114"/>
  <c r="F12" i="114"/>
  <c r="G12" i="114"/>
  <c r="H12" i="114"/>
  <c r="I12" i="114"/>
  <c r="J12" i="114"/>
  <c r="K12" i="114"/>
  <c r="L12" i="114"/>
  <c r="M12" i="114"/>
  <c r="N12" i="114"/>
  <c r="E28" i="114" s="1"/>
  <c r="C12" i="114"/>
  <c r="D11" i="114"/>
  <c r="E11" i="114"/>
  <c r="F11" i="114"/>
  <c r="G11" i="114"/>
  <c r="H11" i="114"/>
  <c r="I11" i="114"/>
  <c r="J11" i="114"/>
  <c r="K11" i="114"/>
  <c r="L11" i="114"/>
  <c r="M11" i="114"/>
  <c r="N11" i="114"/>
  <c r="C11" i="114"/>
  <c r="C10" i="114"/>
  <c r="D7" i="114"/>
  <c r="E7" i="114"/>
  <c r="F7" i="114"/>
  <c r="G7" i="114"/>
  <c r="H7" i="114"/>
  <c r="I7" i="114"/>
  <c r="J7" i="114"/>
  <c r="K7" i="114"/>
  <c r="L7" i="114"/>
  <c r="M7" i="114"/>
  <c r="N7" i="114"/>
  <c r="C7" i="114"/>
  <c r="A3" i="114"/>
  <c r="E38" i="61"/>
  <c r="O29" i="85"/>
  <c r="W29" i="85" s="1"/>
  <c r="O30" i="85"/>
  <c r="Y30" i="85" s="1"/>
  <c r="X30" i="85"/>
  <c r="O31" i="85"/>
  <c r="P31" i="85"/>
  <c r="O32" i="85"/>
  <c r="O33" i="85"/>
  <c r="X33" i="85"/>
  <c r="O34" i="85"/>
  <c r="O28" i="85"/>
  <c r="W28" i="85"/>
  <c r="J65" i="110"/>
  <c r="I65" i="110"/>
  <c r="H65" i="110"/>
  <c r="G8" i="110"/>
  <c r="G9" i="110"/>
  <c r="G10" i="110"/>
  <c r="G11" i="110"/>
  <c r="G12" i="110"/>
  <c r="G16" i="110"/>
  <c r="G17" i="110"/>
  <c r="G18" i="110"/>
  <c r="G19" i="110"/>
  <c r="G22" i="110"/>
  <c r="G23" i="110"/>
  <c r="G24" i="110"/>
  <c r="G25" i="110"/>
  <c r="G26" i="110"/>
  <c r="G7" i="110"/>
  <c r="G6" i="110"/>
  <c r="G5" i="110"/>
  <c r="R9" i="62"/>
  <c r="R10" i="62"/>
  <c r="R11" i="62"/>
  <c r="R12" i="62"/>
  <c r="R13" i="62"/>
  <c r="R14" i="62"/>
  <c r="R15" i="62"/>
  <c r="R16" i="62"/>
  <c r="R17" i="62"/>
  <c r="R18" i="62"/>
  <c r="R19" i="62"/>
  <c r="R20" i="62"/>
  <c r="R21" i="62"/>
  <c r="R22" i="62"/>
  <c r="R23" i="62"/>
  <c r="R24" i="62"/>
  <c r="R25" i="62"/>
  <c r="R26" i="62"/>
  <c r="R27" i="62"/>
  <c r="R29" i="62"/>
  <c r="R30" i="62"/>
  <c r="R31" i="62"/>
  <c r="R32" i="62"/>
  <c r="R33" i="62"/>
  <c r="R34" i="62"/>
  <c r="R35" i="62"/>
  <c r="R37" i="62"/>
  <c r="R41" i="62"/>
  <c r="R42" i="62"/>
  <c r="R43" i="62"/>
  <c r="R44" i="62"/>
  <c r="R45" i="62"/>
  <c r="R46" i="62"/>
  <c r="R47" i="62"/>
  <c r="R48" i="62"/>
  <c r="R49" i="62"/>
  <c r="AO49" i="59"/>
  <c r="L38" i="59"/>
  <c r="E38" i="59"/>
  <c r="I38" i="59"/>
  <c r="M38" i="59"/>
  <c r="K38" i="59"/>
  <c r="J38" i="59"/>
  <c r="Q38" i="59"/>
  <c r="E38" i="60"/>
  <c r="I38" i="61"/>
  <c r="R38" i="58"/>
  <c r="S38" i="58"/>
  <c r="T38" i="58"/>
  <c r="U38" i="58"/>
  <c r="AC38" i="58"/>
  <c r="AD38" i="58"/>
  <c r="AE38" i="58"/>
  <c r="AF38" i="58"/>
  <c r="AL38" i="58"/>
  <c r="Q38" i="58"/>
  <c r="AI27" i="57"/>
  <c r="AJ20" i="57"/>
  <c r="AI14" i="57"/>
  <c r="AI29" i="57"/>
  <c r="S10" i="56"/>
  <c r="S15" i="56"/>
  <c r="S16" i="56"/>
  <c r="S19" i="56"/>
  <c r="S32" i="56"/>
  <c r="S33" i="56"/>
  <c r="S38" i="56"/>
  <c r="S44" i="56"/>
  <c r="AA20" i="54"/>
  <c r="AA13" i="52"/>
  <c r="AA16" i="52"/>
  <c r="AA17" i="52"/>
  <c r="AA15" i="52"/>
  <c r="AA20" i="52"/>
  <c r="AA34" i="52"/>
  <c r="AA40" i="52"/>
  <c r="AA46" i="52"/>
  <c r="AA13" i="51"/>
  <c r="AA16" i="51"/>
  <c r="AA17" i="51"/>
  <c r="AA20" i="51"/>
  <c r="AA40" i="51"/>
  <c r="AA46" i="51"/>
  <c r="AA46" i="50"/>
  <c r="AA46" i="53"/>
  <c r="AA46" i="54"/>
  <c r="AA13" i="50"/>
  <c r="AA16" i="50"/>
  <c r="AA15" i="50"/>
  <c r="AA17" i="50"/>
  <c r="AA20" i="50"/>
  <c r="AA21" i="50"/>
  <c r="AA34" i="50"/>
  <c r="AA40" i="50"/>
  <c r="B31" i="107"/>
  <c r="B30" i="107"/>
  <c r="B24" i="107"/>
  <c r="B26" i="107"/>
  <c r="B27" i="107"/>
  <c r="B28" i="107"/>
  <c r="D28" i="107" s="1"/>
  <c r="B23" i="107"/>
  <c r="B22" i="107"/>
  <c r="E24" i="107"/>
  <c r="F24" i="107" s="1"/>
  <c r="E26" i="107"/>
  <c r="F26" i="107" s="1"/>
  <c r="E27" i="107"/>
  <c r="E28" i="107"/>
  <c r="E30" i="107"/>
  <c r="E31" i="107"/>
  <c r="E23" i="107"/>
  <c r="E22" i="107"/>
  <c r="B25" i="109"/>
  <c r="B24" i="109"/>
  <c r="D24" i="109" s="1"/>
  <c r="B23" i="109"/>
  <c r="B22" i="109"/>
  <c r="B21" i="109"/>
  <c r="B20" i="109"/>
  <c r="E21" i="109"/>
  <c r="E22" i="109"/>
  <c r="E23" i="109"/>
  <c r="E24" i="109"/>
  <c r="F24" i="109" s="1"/>
  <c r="E25" i="109"/>
  <c r="E20" i="109"/>
  <c r="N14" i="109"/>
  <c r="M14" i="109"/>
  <c r="E26" i="109" s="1"/>
  <c r="L14" i="109"/>
  <c r="K14" i="109"/>
  <c r="J14" i="109"/>
  <c r="I14" i="109"/>
  <c r="H14" i="109"/>
  <c r="G14" i="109"/>
  <c r="F14" i="109"/>
  <c r="E14" i="109"/>
  <c r="D14" i="109"/>
  <c r="C14" i="109"/>
  <c r="B13" i="109"/>
  <c r="F25" i="109" s="1"/>
  <c r="C25" i="109"/>
  <c r="B12" i="109"/>
  <c r="C24" i="109"/>
  <c r="B11" i="109"/>
  <c r="C23" i="109"/>
  <c r="B10" i="109"/>
  <c r="F22" i="109"/>
  <c r="B8" i="109"/>
  <c r="C21" i="109"/>
  <c r="B7" i="109"/>
  <c r="C20" i="109"/>
  <c r="A3" i="109"/>
  <c r="N17" i="107"/>
  <c r="M17" i="107"/>
  <c r="L17" i="107"/>
  <c r="K17" i="107"/>
  <c r="J17" i="107"/>
  <c r="I17" i="107"/>
  <c r="H17" i="107"/>
  <c r="G17" i="107"/>
  <c r="F17" i="107"/>
  <c r="E17" i="107"/>
  <c r="D17" i="107"/>
  <c r="C17" i="107"/>
  <c r="B16" i="107"/>
  <c r="C31" i="107"/>
  <c r="D31" i="107"/>
  <c r="B15" i="107"/>
  <c r="C30" i="107" s="1"/>
  <c r="D30" i="107" s="1"/>
  <c r="B13" i="107"/>
  <c r="C28" i="107"/>
  <c r="B12" i="107"/>
  <c r="F27" i="107" s="1"/>
  <c r="C27" i="107"/>
  <c r="D27" i="107" s="1"/>
  <c r="B11" i="107"/>
  <c r="C26" i="107"/>
  <c r="D26" i="107" s="1"/>
  <c r="B10" i="107"/>
  <c r="C25" i="107" s="1"/>
  <c r="B9" i="107"/>
  <c r="C24" i="107"/>
  <c r="B8" i="107"/>
  <c r="C23" i="107"/>
  <c r="D23" i="107" s="1"/>
  <c r="B7" i="107"/>
  <c r="F22" i="107" s="1"/>
  <c r="C22" i="107"/>
  <c r="A3" i="107"/>
  <c r="C44" i="55"/>
  <c r="D44" i="55"/>
  <c r="E44" i="55"/>
  <c r="G44" i="55"/>
  <c r="H44" i="55"/>
  <c r="I44" i="55"/>
  <c r="K44" i="55"/>
  <c r="L44" i="55"/>
  <c r="M44" i="55"/>
  <c r="O44" i="55"/>
  <c r="P44" i="55"/>
  <c r="S44" i="55"/>
  <c r="T44" i="55"/>
  <c r="W44" i="55"/>
  <c r="X44" i="55"/>
  <c r="AA13" i="54"/>
  <c r="AA16" i="54"/>
  <c r="AA17" i="54"/>
  <c r="AA15" i="54"/>
  <c r="AA34" i="54"/>
  <c r="AA35" i="54"/>
  <c r="AA40" i="54"/>
  <c r="AA44" i="54"/>
  <c r="AB35" i="54"/>
  <c r="AC35" i="54"/>
  <c r="AB44" i="54"/>
  <c r="AC44" i="54"/>
  <c r="AA44" i="53"/>
  <c r="AB44" i="53"/>
  <c r="AB35" i="53"/>
  <c r="AA40" i="53"/>
  <c r="AA34" i="53"/>
  <c r="AA35" i="53"/>
  <c r="AA20" i="53"/>
  <c r="AA13" i="53"/>
  <c r="AA16" i="53"/>
  <c r="AA15" i="53"/>
  <c r="AA17" i="53"/>
  <c r="AC35" i="53"/>
  <c r="AC44" i="53"/>
  <c r="AC35" i="51"/>
  <c r="AC44" i="51"/>
  <c r="X48" i="51"/>
  <c r="X49" i="51"/>
  <c r="C48" i="51"/>
  <c r="C49" i="51"/>
  <c r="AK12" i="57"/>
  <c r="AK14" i="57"/>
  <c r="AK18" i="57"/>
  <c r="AK26" i="57"/>
  <c r="AK28" i="57"/>
  <c r="AK30" i="57"/>
  <c r="AK10" i="57"/>
  <c r="AK13" i="57"/>
  <c r="AK16" i="57"/>
  <c r="AK20" i="57"/>
  <c r="AK24" i="57"/>
  <c r="AK27" i="57"/>
  <c r="AK29" i="57"/>
  <c r="AK8" i="57"/>
  <c r="AK22" i="57"/>
  <c r="O14" i="81"/>
  <c r="Y14" i="81" s="1"/>
  <c r="O15" i="81"/>
  <c r="P15" i="81"/>
  <c r="K14" i="81"/>
  <c r="K15" i="81"/>
  <c r="K32" i="106"/>
  <c r="F20" i="33"/>
  <c r="K31" i="106"/>
  <c r="K37" i="106"/>
  <c r="K35" i="106"/>
  <c r="K43" i="106"/>
  <c r="K33" i="106"/>
  <c r="K39" i="106"/>
  <c r="K30" i="106"/>
  <c r="K38" i="106"/>
  <c r="K34" i="106"/>
  <c r="K40" i="106"/>
  <c r="K36" i="106"/>
  <c r="C44" i="106"/>
  <c r="D44" i="106"/>
  <c r="F44" i="106"/>
  <c r="G44" i="106"/>
  <c r="H44" i="106"/>
  <c r="J44" i="106"/>
  <c r="K44" i="106"/>
  <c r="T53" i="40"/>
  <c r="T51" i="40"/>
  <c r="T50" i="40"/>
  <c r="AB13" i="54"/>
  <c r="AB20" i="54"/>
  <c r="AB16" i="54"/>
  <c r="AB17" i="54"/>
  <c r="AB15" i="54"/>
  <c r="AB34" i="54"/>
  <c r="AB40" i="54"/>
  <c r="AB46" i="54"/>
  <c r="AB46" i="53"/>
  <c r="AB40" i="53"/>
  <c r="AB34" i="53"/>
  <c r="AB13" i="53"/>
  <c r="AB16" i="53"/>
  <c r="AB17" i="53"/>
  <c r="AB20" i="53"/>
  <c r="Y48" i="54"/>
  <c r="X48" i="54"/>
  <c r="W48" i="54"/>
  <c r="U48" i="54"/>
  <c r="U49" i="54"/>
  <c r="T48" i="54"/>
  <c r="T49" i="54"/>
  <c r="S48" i="54"/>
  <c r="Q48" i="54"/>
  <c r="P48" i="54"/>
  <c r="P49" i="54"/>
  <c r="O48" i="54"/>
  <c r="O49" i="54"/>
  <c r="M48" i="54"/>
  <c r="L48" i="54"/>
  <c r="L49" i="54"/>
  <c r="K48" i="54"/>
  <c r="I48" i="54"/>
  <c r="I49" i="54"/>
  <c r="H48" i="54"/>
  <c r="G48" i="54"/>
  <c r="G49" i="54"/>
  <c r="E48" i="54"/>
  <c r="D48" i="54"/>
  <c r="C48" i="54"/>
  <c r="Y48" i="53"/>
  <c r="Y49" i="53"/>
  <c r="X48" i="53"/>
  <c r="X49" i="53"/>
  <c r="W48" i="53"/>
  <c r="W49" i="53"/>
  <c r="U48" i="53"/>
  <c r="U49" i="53"/>
  <c r="T48" i="53"/>
  <c r="S48" i="53"/>
  <c r="S49" i="53"/>
  <c r="Q48" i="53"/>
  <c r="P48" i="53"/>
  <c r="O48" i="53"/>
  <c r="O49" i="53"/>
  <c r="M48" i="53"/>
  <c r="M49" i="53"/>
  <c r="L48" i="53"/>
  <c r="L49" i="53"/>
  <c r="K48" i="53"/>
  <c r="I48" i="53"/>
  <c r="H48" i="53"/>
  <c r="H49" i="53"/>
  <c r="E48" i="53"/>
  <c r="E49" i="53"/>
  <c r="D48" i="53"/>
  <c r="D49" i="53"/>
  <c r="C48" i="53"/>
  <c r="C49" i="53"/>
  <c r="Z47" i="54"/>
  <c r="V47" i="54"/>
  <c r="R47" i="54"/>
  <c r="N47" i="54"/>
  <c r="J47" i="54"/>
  <c r="F47" i="54"/>
  <c r="Z47" i="53"/>
  <c r="Z48" i="53" s="1"/>
  <c r="V47" i="53"/>
  <c r="R47" i="53"/>
  <c r="N47" i="53"/>
  <c r="N48" i="53" s="1"/>
  <c r="J47" i="53"/>
  <c r="F47" i="53"/>
  <c r="Z41" i="54"/>
  <c r="V41" i="54"/>
  <c r="R41" i="54"/>
  <c r="N41" i="54"/>
  <c r="J41" i="54"/>
  <c r="F41" i="54"/>
  <c r="Z41" i="53"/>
  <c r="V41" i="53"/>
  <c r="R41" i="53"/>
  <c r="N41" i="53"/>
  <c r="J41" i="53"/>
  <c r="Z37" i="54"/>
  <c r="V37" i="54"/>
  <c r="R37" i="54"/>
  <c r="N37" i="54"/>
  <c r="J37" i="54"/>
  <c r="F37" i="54"/>
  <c r="Z37" i="53"/>
  <c r="V37" i="53"/>
  <c r="R37" i="53"/>
  <c r="N37" i="53"/>
  <c r="J37" i="53"/>
  <c r="Z31" i="54"/>
  <c r="V31" i="54"/>
  <c r="R31" i="54"/>
  <c r="N31" i="54"/>
  <c r="J31" i="54"/>
  <c r="F31" i="54"/>
  <c r="Z31" i="53"/>
  <c r="V31" i="53"/>
  <c r="R31" i="53"/>
  <c r="N31" i="53"/>
  <c r="J31" i="53"/>
  <c r="Z31" i="52"/>
  <c r="Y31" i="52"/>
  <c r="X31" i="52"/>
  <c r="W31" i="52"/>
  <c r="V31" i="52"/>
  <c r="U31" i="52"/>
  <c r="T31" i="52"/>
  <c r="S31" i="52"/>
  <c r="R31" i="52"/>
  <c r="Q31" i="52"/>
  <c r="P31" i="52"/>
  <c r="O31" i="52"/>
  <c r="N31" i="52"/>
  <c r="J31" i="52"/>
  <c r="I31" i="52"/>
  <c r="H31" i="52"/>
  <c r="G31" i="52"/>
  <c r="F31" i="52"/>
  <c r="Z21" i="54"/>
  <c r="Z23" i="54"/>
  <c r="V21" i="54"/>
  <c r="R21" i="54"/>
  <c r="N21" i="54"/>
  <c r="J21" i="54"/>
  <c r="Z21" i="53"/>
  <c r="V21" i="53"/>
  <c r="R21" i="53"/>
  <c r="R23" i="53" s="1"/>
  <c r="N21" i="53"/>
  <c r="J21" i="53"/>
  <c r="Z18" i="54"/>
  <c r="V18" i="54"/>
  <c r="R18" i="54"/>
  <c r="N18" i="54"/>
  <c r="J18" i="54"/>
  <c r="F18" i="54"/>
  <c r="F23" i="54" s="1"/>
  <c r="Z18" i="53"/>
  <c r="V18" i="53"/>
  <c r="R18" i="53"/>
  <c r="N18" i="53"/>
  <c r="J18" i="53"/>
  <c r="Z14" i="54"/>
  <c r="V14" i="54"/>
  <c r="R14" i="54"/>
  <c r="N14" i="54"/>
  <c r="J14" i="54"/>
  <c r="F14" i="54"/>
  <c r="Z14" i="53"/>
  <c r="Z23" i="53"/>
  <c r="V14" i="53"/>
  <c r="V23" i="53" s="1"/>
  <c r="R14" i="53"/>
  <c r="N14" i="53"/>
  <c r="J14" i="53"/>
  <c r="G21" i="52"/>
  <c r="G23" i="52"/>
  <c r="H21" i="52"/>
  <c r="I21" i="52"/>
  <c r="J21" i="52"/>
  <c r="N21" i="52"/>
  <c r="O21" i="52"/>
  <c r="P21" i="52"/>
  <c r="Q21" i="52"/>
  <c r="R21" i="52"/>
  <c r="S21" i="52"/>
  <c r="T21" i="52"/>
  <c r="U21" i="52"/>
  <c r="V21" i="52"/>
  <c r="W21" i="52"/>
  <c r="X21" i="52"/>
  <c r="Y21" i="52"/>
  <c r="Z21" i="52"/>
  <c r="G18" i="52"/>
  <c r="H18" i="52"/>
  <c r="I18" i="52"/>
  <c r="J18" i="52"/>
  <c r="N18" i="52"/>
  <c r="O18" i="52"/>
  <c r="P18" i="52"/>
  <c r="Q18" i="52"/>
  <c r="R18" i="52"/>
  <c r="S18" i="52"/>
  <c r="T18" i="52"/>
  <c r="U18" i="52"/>
  <c r="V18" i="52"/>
  <c r="W18" i="52"/>
  <c r="X18" i="52"/>
  <c r="Y18" i="52"/>
  <c r="Z18" i="52"/>
  <c r="G14" i="52"/>
  <c r="H14" i="52"/>
  <c r="I14" i="52"/>
  <c r="J14" i="52"/>
  <c r="J23" i="52"/>
  <c r="J49" i="52"/>
  <c r="N14" i="52"/>
  <c r="O14" i="52"/>
  <c r="O23" i="52"/>
  <c r="P14" i="52"/>
  <c r="P23" i="52"/>
  <c r="Q14" i="52"/>
  <c r="R14" i="52"/>
  <c r="S14" i="52"/>
  <c r="S23" i="52"/>
  <c r="T14" i="52"/>
  <c r="U14" i="52"/>
  <c r="V14" i="52"/>
  <c r="V23" i="52"/>
  <c r="W14" i="52"/>
  <c r="W23" i="52"/>
  <c r="X14" i="52"/>
  <c r="X23" i="52"/>
  <c r="Y14" i="52"/>
  <c r="Z14" i="52"/>
  <c r="H23" i="52"/>
  <c r="T23" i="52"/>
  <c r="K48" i="52"/>
  <c r="K49" i="52"/>
  <c r="M48" i="52"/>
  <c r="M49" i="52"/>
  <c r="D48" i="52"/>
  <c r="D49" i="52"/>
  <c r="AB13" i="52"/>
  <c r="AB20" i="52"/>
  <c r="AB16" i="52"/>
  <c r="AB17" i="52"/>
  <c r="AB34" i="52"/>
  <c r="AB40" i="52"/>
  <c r="AB46" i="52"/>
  <c r="AB34" i="51"/>
  <c r="AB13" i="51"/>
  <c r="AB20" i="51"/>
  <c r="D48" i="51"/>
  <c r="H48" i="51"/>
  <c r="H49" i="51"/>
  <c r="M48" i="51"/>
  <c r="M49" i="51"/>
  <c r="O48" i="51"/>
  <c r="O49" i="51"/>
  <c r="Q48" i="51"/>
  <c r="Q49" i="51"/>
  <c r="Y48" i="51"/>
  <c r="Y49" i="51"/>
  <c r="E48" i="51"/>
  <c r="E49" i="51"/>
  <c r="R47" i="51"/>
  <c r="Z47" i="51"/>
  <c r="N37" i="51"/>
  <c r="R37" i="51"/>
  <c r="V37" i="51"/>
  <c r="Z37" i="51"/>
  <c r="J31" i="51"/>
  <c r="J48" i="51" s="1"/>
  <c r="N31" i="51"/>
  <c r="R31" i="51"/>
  <c r="V31" i="51"/>
  <c r="Z31" i="51"/>
  <c r="Z48" i="51"/>
  <c r="J14" i="51"/>
  <c r="N14" i="51"/>
  <c r="R14" i="51"/>
  <c r="V14" i="51"/>
  <c r="Z14" i="51"/>
  <c r="Z23" i="51"/>
  <c r="J21" i="51"/>
  <c r="N21" i="51"/>
  <c r="R21" i="51"/>
  <c r="V21" i="51"/>
  <c r="Z21" i="51"/>
  <c r="N18" i="51"/>
  <c r="N23" i="51" s="1"/>
  <c r="R18" i="51"/>
  <c r="V18" i="51"/>
  <c r="Z18" i="51"/>
  <c r="AB16" i="51"/>
  <c r="AB17" i="51"/>
  <c r="AB40" i="51"/>
  <c r="AC35" i="50"/>
  <c r="AC44" i="50"/>
  <c r="Z41" i="52"/>
  <c r="Y41" i="52"/>
  <c r="X41" i="52"/>
  <c r="W41" i="52"/>
  <c r="V41" i="52"/>
  <c r="U41" i="52"/>
  <c r="T41" i="52"/>
  <c r="S41" i="52"/>
  <c r="R41" i="52"/>
  <c r="Q41" i="52"/>
  <c r="P41" i="52"/>
  <c r="O41" i="52"/>
  <c r="N41" i="52"/>
  <c r="J41" i="52"/>
  <c r="I41" i="52"/>
  <c r="H41" i="52"/>
  <c r="H48" i="52"/>
  <c r="G41" i="52"/>
  <c r="G48" i="52"/>
  <c r="F41" i="52"/>
  <c r="Z41" i="51"/>
  <c r="V41" i="51"/>
  <c r="R41" i="51"/>
  <c r="N41" i="51"/>
  <c r="J41" i="51"/>
  <c r="F41" i="51"/>
  <c r="Z41" i="50"/>
  <c r="V41" i="50"/>
  <c r="R41" i="50"/>
  <c r="N41" i="50"/>
  <c r="J41" i="50"/>
  <c r="F41" i="50"/>
  <c r="C48" i="52"/>
  <c r="C49" i="52"/>
  <c r="Y48" i="50"/>
  <c r="X48" i="50"/>
  <c r="X49" i="50"/>
  <c r="W48" i="50"/>
  <c r="W49" i="50"/>
  <c r="U48" i="50"/>
  <c r="T48" i="50"/>
  <c r="S48" i="50"/>
  <c r="Q48" i="50"/>
  <c r="Q49" i="50"/>
  <c r="P48" i="50"/>
  <c r="O48" i="50"/>
  <c r="M48" i="50"/>
  <c r="M49" i="50"/>
  <c r="L48" i="50"/>
  <c r="L49" i="50"/>
  <c r="K48" i="50"/>
  <c r="K49" i="50"/>
  <c r="I48" i="50"/>
  <c r="I49" i="50"/>
  <c r="H48" i="50"/>
  <c r="G48" i="50"/>
  <c r="E48" i="50"/>
  <c r="D48" i="50"/>
  <c r="D49" i="50"/>
  <c r="C48" i="50"/>
  <c r="C49" i="50"/>
  <c r="Y35" i="55"/>
  <c r="Y44" i="55"/>
  <c r="Z44" i="55"/>
  <c r="Q44" i="55"/>
  <c r="U44" i="55"/>
  <c r="U35" i="55"/>
  <c r="Q35" i="55"/>
  <c r="M35" i="55"/>
  <c r="I35" i="55"/>
  <c r="E35" i="55"/>
  <c r="I38" i="55"/>
  <c r="J46" i="55"/>
  <c r="J47" i="55" s="1"/>
  <c r="J45" i="55"/>
  <c r="J44" i="55"/>
  <c r="J43" i="55"/>
  <c r="J42" i="55"/>
  <c r="J40" i="55"/>
  <c r="J39" i="55"/>
  <c r="J38" i="55"/>
  <c r="J36" i="55"/>
  <c r="J35" i="55"/>
  <c r="J34" i="55"/>
  <c r="J32" i="55"/>
  <c r="J30" i="55"/>
  <c r="J26" i="55"/>
  <c r="J25" i="55"/>
  <c r="J24" i="55"/>
  <c r="J22" i="55"/>
  <c r="J20" i="55"/>
  <c r="J19" i="55"/>
  <c r="J21" i="55" s="1"/>
  <c r="J17" i="55"/>
  <c r="J16" i="55"/>
  <c r="J15" i="55"/>
  <c r="J13" i="55"/>
  <c r="J11" i="55"/>
  <c r="J10" i="55"/>
  <c r="J9" i="55"/>
  <c r="V44" i="55"/>
  <c r="R44" i="55"/>
  <c r="N44" i="55"/>
  <c r="F44" i="55"/>
  <c r="AD44" i="54"/>
  <c r="AD44" i="53"/>
  <c r="AD44" i="51"/>
  <c r="AD44" i="50"/>
  <c r="Z35" i="55"/>
  <c r="V35" i="55"/>
  <c r="R35" i="55"/>
  <c r="N35" i="55"/>
  <c r="F35" i="55"/>
  <c r="AD35" i="54"/>
  <c r="AD35" i="53"/>
  <c r="AD35" i="50"/>
  <c r="AD35" i="51"/>
  <c r="V14" i="82"/>
  <c r="O14" i="82"/>
  <c r="W14" i="82" s="1"/>
  <c r="K14" i="82"/>
  <c r="Q48" i="52"/>
  <c r="U48" i="52"/>
  <c r="Y48" i="52"/>
  <c r="Y49" i="52"/>
  <c r="I23" i="52"/>
  <c r="I49" i="52"/>
  <c r="Y23" i="52"/>
  <c r="U23" i="52"/>
  <c r="Q23" i="52"/>
  <c r="Q49" i="52"/>
  <c r="G49" i="52"/>
  <c r="I48" i="52"/>
  <c r="P48" i="52"/>
  <c r="P49" i="52"/>
  <c r="T48" i="52"/>
  <c r="T49" i="52"/>
  <c r="X48" i="52"/>
  <c r="X49" i="52"/>
  <c r="H49" i="52"/>
  <c r="Z23" i="52"/>
  <c r="R23" i="52"/>
  <c r="O48" i="52"/>
  <c r="O49" i="52"/>
  <c r="S48" i="52"/>
  <c r="S49" i="52"/>
  <c r="W48" i="52"/>
  <c r="W49" i="52"/>
  <c r="Z48" i="54"/>
  <c r="U49" i="52"/>
  <c r="C18" i="80"/>
  <c r="D18" i="80"/>
  <c r="E18" i="80"/>
  <c r="F18" i="80"/>
  <c r="G18" i="80"/>
  <c r="H18" i="80"/>
  <c r="I18" i="80"/>
  <c r="J18" i="80"/>
  <c r="L18" i="80"/>
  <c r="M18" i="80"/>
  <c r="N18" i="80"/>
  <c r="O18" i="80" s="1"/>
  <c r="Q18" i="80"/>
  <c r="R18" i="80"/>
  <c r="S18" i="80"/>
  <c r="V18" i="80"/>
  <c r="T18" i="80"/>
  <c r="U18" i="80"/>
  <c r="V18" i="81"/>
  <c r="O18" i="81"/>
  <c r="X18" i="81" s="1"/>
  <c r="K18" i="81"/>
  <c r="V14" i="81"/>
  <c r="J20" i="36"/>
  <c r="V33" i="85"/>
  <c r="V34" i="85"/>
  <c r="X34" i="85"/>
  <c r="K34" i="85"/>
  <c r="P34" i="85"/>
  <c r="H29" i="44"/>
  <c r="E43" i="62"/>
  <c r="E44" i="62"/>
  <c r="E45" i="62"/>
  <c r="E46" i="62"/>
  <c r="E47" i="62"/>
  <c r="E48" i="62"/>
  <c r="E49" i="62"/>
  <c r="E42" i="62"/>
  <c r="E41" i="62"/>
  <c r="O35" i="85"/>
  <c r="Y34" i="85"/>
  <c r="W34" i="85"/>
  <c r="V21" i="81"/>
  <c r="K16" i="81"/>
  <c r="K19" i="81"/>
  <c r="K21" i="81"/>
  <c r="K22" i="81"/>
  <c r="P22" i="81" s="1"/>
  <c r="K23" i="81"/>
  <c r="K25" i="81"/>
  <c r="K26" i="81"/>
  <c r="AN49" i="60"/>
  <c r="AO49" i="60"/>
  <c r="AN41" i="61"/>
  <c r="AN42" i="61"/>
  <c r="AN43" i="61"/>
  <c r="AN44" i="61"/>
  <c r="AN45" i="61"/>
  <c r="AN46" i="61"/>
  <c r="AN47" i="61"/>
  <c r="AN48" i="61"/>
  <c r="AN49" i="61"/>
  <c r="AO49" i="61"/>
  <c r="T41" i="62"/>
  <c r="T42" i="62"/>
  <c r="T43" i="62"/>
  <c r="T44" i="62"/>
  <c r="T45" i="62"/>
  <c r="T46" i="62"/>
  <c r="T47" i="62"/>
  <c r="T48" i="62"/>
  <c r="T49" i="62"/>
  <c r="T9" i="62"/>
  <c r="T10" i="62"/>
  <c r="T11" i="62"/>
  <c r="T12" i="62"/>
  <c r="T13" i="62"/>
  <c r="T14" i="62"/>
  <c r="T15" i="62"/>
  <c r="T16" i="62"/>
  <c r="T17" i="62"/>
  <c r="T18" i="62"/>
  <c r="T19" i="62"/>
  <c r="T20" i="62"/>
  <c r="T21" i="62"/>
  <c r="T22" i="62"/>
  <c r="T23" i="62"/>
  <c r="T24" i="62"/>
  <c r="T25" i="62"/>
  <c r="T26" i="62"/>
  <c r="T27" i="62"/>
  <c r="T29" i="62"/>
  <c r="T30" i="62"/>
  <c r="T31" i="62"/>
  <c r="T32" i="62"/>
  <c r="T33" i="62"/>
  <c r="T34" i="62"/>
  <c r="T35" i="62"/>
  <c r="T37" i="62"/>
  <c r="AN32" i="58"/>
  <c r="AN30" i="58"/>
  <c r="AJ29" i="57"/>
  <c r="T10" i="56"/>
  <c r="T44" i="56"/>
  <c r="T38" i="56"/>
  <c r="T32" i="56"/>
  <c r="T33" i="56"/>
  <c r="T19" i="56"/>
  <c r="T16" i="56"/>
  <c r="T15" i="56"/>
  <c r="J45" i="56"/>
  <c r="N45" i="56"/>
  <c r="R45" i="56"/>
  <c r="Z18" i="50"/>
  <c r="AB16" i="50"/>
  <c r="AB15" i="50"/>
  <c r="AB17" i="50"/>
  <c r="AB20" i="50"/>
  <c r="AB21" i="50"/>
  <c r="AB40" i="50"/>
  <c r="AB46" i="50"/>
  <c r="AB34" i="50"/>
  <c r="AB13" i="50"/>
  <c r="AB9" i="50"/>
  <c r="AB10" i="50"/>
  <c r="AB11" i="50"/>
  <c r="E12" i="45"/>
  <c r="J12" i="45"/>
  <c r="E13" i="45"/>
  <c r="N13" i="45"/>
  <c r="E14" i="45"/>
  <c r="N14" i="45"/>
  <c r="E16" i="45"/>
  <c r="J16" i="45"/>
  <c r="E17" i="45"/>
  <c r="V17" i="45"/>
  <c r="E18" i="45"/>
  <c r="E19" i="45"/>
  <c r="V19" i="45"/>
  <c r="V22" i="45"/>
  <c r="J23" i="45"/>
  <c r="V24" i="45"/>
  <c r="J25" i="45"/>
  <c r="E27" i="45"/>
  <c r="R27" i="45"/>
  <c r="E29" i="45"/>
  <c r="J29" i="45"/>
  <c r="E30" i="45"/>
  <c r="R30" i="45"/>
  <c r="E31" i="45"/>
  <c r="R31" i="45"/>
  <c r="E32" i="45"/>
  <c r="R32" i="45"/>
  <c r="E33" i="45"/>
  <c r="R33" i="45"/>
  <c r="E34" i="45"/>
  <c r="N34" i="45"/>
  <c r="V21" i="56"/>
  <c r="A3" i="98"/>
  <c r="A34" i="98"/>
  <c r="AE10" i="98"/>
  <c r="G10" i="93"/>
  <c r="AE23" i="98"/>
  <c r="G23" i="93"/>
  <c r="F30" i="98"/>
  <c r="Y41" i="98"/>
  <c r="Y42" i="98"/>
  <c r="Y43" i="98"/>
  <c r="Y44" i="98"/>
  <c r="Y46" i="98"/>
  <c r="Y47" i="98"/>
  <c r="Y48" i="98"/>
  <c r="Y49" i="98"/>
  <c r="Y50" i="98"/>
  <c r="Y51" i="98"/>
  <c r="Y52" i="98"/>
  <c r="Y53" i="98"/>
  <c r="Y54" i="98"/>
  <c r="Y55" i="98"/>
  <c r="Y56" i="98"/>
  <c r="C61" i="98"/>
  <c r="A3" i="97"/>
  <c r="A34" i="97"/>
  <c r="A3" i="96"/>
  <c r="A34" i="96"/>
  <c r="A3" i="95"/>
  <c r="A34" i="95"/>
  <c r="A3" i="94"/>
  <c r="A34" i="94"/>
  <c r="A37" i="92"/>
  <c r="B18" i="91"/>
  <c r="B18" i="90"/>
  <c r="B18" i="89"/>
  <c r="B18" i="88"/>
  <c r="A4" i="87"/>
  <c r="A4" i="88"/>
  <c r="A4" i="89"/>
  <c r="A4" i="90"/>
  <c r="A4" i="91"/>
  <c r="B18" i="87"/>
  <c r="C9" i="86"/>
  <c r="D9" i="86"/>
  <c r="E9" i="86"/>
  <c r="C10" i="86"/>
  <c r="D10" i="86"/>
  <c r="E10" i="86"/>
  <c r="C11" i="86"/>
  <c r="D11" i="86"/>
  <c r="E11" i="86"/>
  <c r="C12" i="86"/>
  <c r="D12" i="86"/>
  <c r="E12" i="86"/>
  <c r="C13" i="86"/>
  <c r="D13" i="86"/>
  <c r="E13" i="86"/>
  <c r="C14" i="86"/>
  <c r="D14" i="86"/>
  <c r="E14" i="86"/>
  <c r="C15" i="86"/>
  <c r="D15" i="86"/>
  <c r="E15" i="86"/>
  <c r="C16" i="86"/>
  <c r="D16" i="86"/>
  <c r="E16" i="86"/>
  <c r="C17" i="86"/>
  <c r="D17" i="86"/>
  <c r="E17" i="86"/>
  <c r="C18" i="86"/>
  <c r="C27" i="85"/>
  <c r="C12" i="85"/>
  <c r="D27" i="85"/>
  <c r="D12" i="85"/>
  <c r="E27" i="85"/>
  <c r="E27" i="80"/>
  <c r="F27" i="85"/>
  <c r="F12" i="85"/>
  <c r="G27" i="85"/>
  <c r="G27" i="80"/>
  <c r="G12" i="85"/>
  <c r="H27" i="85"/>
  <c r="H27" i="80" s="1"/>
  <c r="H12" i="85"/>
  <c r="I27" i="85"/>
  <c r="I27" i="80" s="1"/>
  <c r="J27" i="85"/>
  <c r="J12" i="85"/>
  <c r="L27" i="85"/>
  <c r="L12" i="85" s="1"/>
  <c r="M27" i="85"/>
  <c r="M12" i="85" s="1"/>
  <c r="N27" i="85"/>
  <c r="N27" i="80" s="1"/>
  <c r="Q27" i="85"/>
  <c r="Q12" i="85"/>
  <c r="R27" i="85"/>
  <c r="R12" i="85" s="1"/>
  <c r="D18" i="91" s="1"/>
  <c r="S27" i="85"/>
  <c r="S12" i="85" s="1"/>
  <c r="T27" i="85"/>
  <c r="T27" i="80" s="1"/>
  <c r="U27" i="85"/>
  <c r="U12" i="85"/>
  <c r="K28" i="85"/>
  <c r="P28" i="85" s="1"/>
  <c r="V28" i="85"/>
  <c r="K29" i="85"/>
  <c r="V29" i="85"/>
  <c r="K30" i="85"/>
  <c r="V30" i="85"/>
  <c r="W30" i="85"/>
  <c r="K31" i="85"/>
  <c r="K32" i="85"/>
  <c r="K33" i="85"/>
  <c r="W33" i="85"/>
  <c r="K35" i="85"/>
  <c r="P35" i="85"/>
  <c r="D18" i="89"/>
  <c r="R12" i="82"/>
  <c r="D18" i="88" s="1"/>
  <c r="K16" i="83"/>
  <c r="P16" i="83"/>
  <c r="K17" i="83"/>
  <c r="P17" i="83" s="1"/>
  <c r="X17" i="83"/>
  <c r="V17" i="83"/>
  <c r="K26" i="83"/>
  <c r="C12" i="82"/>
  <c r="D12" i="82"/>
  <c r="E12" i="82"/>
  <c r="F12" i="82"/>
  <c r="G12" i="82"/>
  <c r="H12" i="82"/>
  <c r="I12" i="82"/>
  <c r="J12" i="82"/>
  <c r="L12" i="82"/>
  <c r="M12" i="82"/>
  <c r="N12" i="82"/>
  <c r="Q12" i="82"/>
  <c r="S12" i="82"/>
  <c r="T12" i="82"/>
  <c r="U12" i="82"/>
  <c r="K15" i="82"/>
  <c r="O15" i="82"/>
  <c r="Y15" i="82" s="1"/>
  <c r="X15" i="82"/>
  <c r="V15" i="82"/>
  <c r="K16" i="82"/>
  <c r="O16" i="82"/>
  <c r="Y16" i="82" s="1"/>
  <c r="V16" i="82"/>
  <c r="K17" i="82"/>
  <c r="O17" i="82"/>
  <c r="X17" i="82" s="1"/>
  <c r="V17" i="82"/>
  <c r="K19" i="82"/>
  <c r="O19" i="82"/>
  <c r="X19" i="82" s="1"/>
  <c r="V19" i="82"/>
  <c r="K24" i="82"/>
  <c r="O24" i="82"/>
  <c r="X24" i="82" s="1"/>
  <c r="W24" i="82"/>
  <c r="V24" i="82"/>
  <c r="K26" i="82"/>
  <c r="P26" i="82" s="1"/>
  <c r="O26" i="82"/>
  <c r="X26" i="82"/>
  <c r="V26" i="82"/>
  <c r="A3" i="81"/>
  <c r="A3" i="85"/>
  <c r="C12" i="81"/>
  <c r="D12" i="81"/>
  <c r="E12" i="81"/>
  <c r="F12" i="81"/>
  <c r="G12" i="81"/>
  <c r="H12" i="81"/>
  <c r="I12" i="81"/>
  <c r="J12" i="81"/>
  <c r="L12" i="81"/>
  <c r="M12" i="81"/>
  <c r="N12" i="81"/>
  <c r="Q12" i="81"/>
  <c r="R12" i="81"/>
  <c r="D18" i="87" s="1"/>
  <c r="S12" i="81"/>
  <c r="T12" i="81"/>
  <c r="U12" i="81"/>
  <c r="O16" i="81"/>
  <c r="W16" i="81" s="1"/>
  <c r="V16" i="81"/>
  <c r="O19" i="81"/>
  <c r="Y19" i="81" s="1"/>
  <c r="W19" i="81"/>
  <c r="V19" i="81"/>
  <c r="O21" i="81"/>
  <c r="Y21" i="81" s="1"/>
  <c r="V22" i="81"/>
  <c r="O23" i="81"/>
  <c r="W23" i="81" s="1"/>
  <c r="X23" i="81"/>
  <c r="V23" i="81"/>
  <c r="O24" i="81"/>
  <c r="X24" i="81" s="1"/>
  <c r="V24" i="81"/>
  <c r="O25" i="81"/>
  <c r="X25" i="81" s="1"/>
  <c r="V25" i="81"/>
  <c r="O26" i="81"/>
  <c r="V26" i="81"/>
  <c r="D14" i="80"/>
  <c r="E14" i="80"/>
  <c r="F14" i="80"/>
  <c r="G14" i="80"/>
  <c r="K14" i="80" s="1"/>
  <c r="H14" i="80"/>
  <c r="I14" i="80"/>
  <c r="J14" i="80"/>
  <c r="L14" i="80"/>
  <c r="M14" i="80"/>
  <c r="N14" i="80"/>
  <c r="Q14" i="80"/>
  <c r="R14" i="80"/>
  <c r="S14" i="80"/>
  <c r="V14" i="80" s="1"/>
  <c r="T14" i="80"/>
  <c r="U14" i="80"/>
  <c r="C15" i="80"/>
  <c r="D15" i="80"/>
  <c r="E15" i="80"/>
  <c r="F15" i="80"/>
  <c r="G15" i="80"/>
  <c r="H15" i="80"/>
  <c r="I15" i="80"/>
  <c r="K15" i="80" s="1"/>
  <c r="J15" i="80"/>
  <c r="L15" i="80"/>
  <c r="M15" i="80"/>
  <c r="N15" i="80"/>
  <c r="Q15" i="80"/>
  <c r="R15" i="80"/>
  <c r="S15" i="80"/>
  <c r="T15" i="80"/>
  <c r="U15" i="80"/>
  <c r="C16" i="80"/>
  <c r="D16" i="80"/>
  <c r="E16" i="80"/>
  <c r="F16" i="80"/>
  <c r="G16" i="80"/>
  <c r="H16" i="80"/>
  <c r="I16" i="80"/>
  <c r="J16" i="80"/>
  <c r="L16" i="80"/>
  <c r="M16" i="80"/>
  <c r="N16" i="80"/>
  <c r="Q16" i="80"/>
  <c r="R16" i="80"/>
  <c r="S16" i="80"/>
  <c r="T16" i="80"/>
  <c r="U16" i="80"/>
  <c r="C17" i="80"/>
  <c r="D17" i="80"/>
  <c r="E17" i="80"/>
  <c r="F17" i="80"/>
  <c r="F12" i="80" s="1"/>
  <c r="G17" i="80"/>
  <c r="H17" i="80"/>
  <c r="I17" i="80"/>
  <c r="J17" i="80"/>
  <c r="K17" i="80" s="1"/>
  <c r="L17" i="80"/>
  <c r="M17" i="80"/>
  <c r="N17" i="80"/>
  <c r="Q17" i="80"/>
  <c r="R17" i="80"/>
  <c r="S17" i="80"/>
  <c r="T17" i="80"/>
  <c r="U17" i="80"/>
  <c r="C19" i="80"/>
  <c r="D19" i="80"/>
  <c r="E19" i="80"/>
  <c r="F19" i="80"/>
  <c r="G19" i="80"/>
  <c r="H19" i="80"/>
  <c r="I19" i="80"/>
  <c r="J19" i="80"/>
  <c r="L19" i="80"/>
  <c r="M19" i="80"/>
  <c r="N19" i="80"/>
  <c r="Q19" i="80"/>
  <c r="R19" i="80"/>
  <c r="S19" i="80"/>
  <c r="V19" i="80" s="1"/>
  <c r="T19" i="80"/>
  <c r="U19" i="80"/>
  <c r="D21" i="80"/>
  <c r="E21" i="80"/>
  <c r="F21" i="80"/>
  <c r="G21" i="80"/>
  <c r="H21" i="80"/>
  <c r="I21" i="80"/>
  <c r="J21" i="80"/>
  <c r="L21" i="80"/>
  <c r="M21" i="80"/>
  <c r="N21" i="80"/>
  <c r="Q21" i="80"/>
  <c r="R21" i="80"/>
  <c r="S21" i="80"/>
  <c r="V21" i="80"/>
  <c r="T21" i="80"/>
  <c r="U21" i="80"/>
  <c r="C22" i="80"/>
  <c r="D22" i="80"/>
  <c r="E22" i="80"/>
  <c r="F22" i="80"/>
  <c r="G22" i="80"/>
  <c r="H22" i="80"/>
  <c r="I22" i="80"/>
  <c r="J22" i="80"/>
  <c r="L22" i="80"/>
  <c r="M22" i="80"/>
  <c r="N22" i="80"/>
  <c r="Q22" i="80"/>
  <c r="R22" i="80"/>
  <c r="S22" i="80"/>
  <c r="T22" i="80"/>
  <c r="U22" i="80"/>
  <c r="C23" i="80"/>
  <c r="D23" i="80"/>
  <c r="E23" i="80"/>
  <c r="F23" i="80"/>
  <c r="G23" i="80"/>
  <c r="H23" i="80"/>
  <c r="I23" i="80"/>
  <c r="J23" i="80"/>
  <c r="L23" i="80"/>
  <c r="M23" i="80"/>
  <c r="N23" i="80"/>
  <c r="Q23" i="80"/>
  <c r="R23" i="80"/>
  <c r="S23" i="80"/>
  <c r="T23" i="80"/>
  <c r="U23" i="80"/>
  <c r="C24" i="80"/>
  <c r="D24" i="80"/>
  <c r="E24" i="80"/>
  <c r="F24" i="80"/>
  <c r="G24" i="80"/>
  <c r="H24" i="80"/>
  <c r="I24" i="80"/>
  <c r="J24" i="80"/>
  <c r="L24" i="80"/>
  <c r="M24" i="80"/>
  <c r="N24" i="80"/>
  <c r="O24" i="80" s="1"/>
  <c r="Q24" i="80"/>
  <c r="R24" i="80"/>
  <c r="S24" i="80"/>
  <c r="T24" i="80"/>
  <c r="U24" i="80"/>
  <c r="C25" i="80"/>
  <c r="D25" i="80"/>
  <c r="E25" i="80"/>
  <c r="F25" i="80"/>
  <c r="G25" i="80"/>
  <c r="H25" i="80"/>
  <c r="I25" i="80"/>
  <c r="J25" i="80"/>
  <c r="L25" i="80"/>
  <c r="O25" i="80" s="1"/>
  <c r="M25" i="80"/>
  <c r="N25" i="80"/>
  <c r="Q25" i="80"/>
  <c r="R25" i="80"/>
  <c r="S25" i="80"/>
  <c r="V25" i="80"/>
  <c r="T25" i="80"/>
  <c r="U25" i="80"/>
  <c r="C26" i="80"/>
  <c r="D26" i="80"/>
  <c r="E26" i="80"/>
  <c r="F26" i="80"/>
  <c r="G26" i="80"/>
  <c r="H26" i="80"/>
  <c r="I26" i="80"/>
  <c r="J26" i="80"/>
  <c r="L26" i="80"/>
  <c r="M26" i="80"/>
  <c r="N26" i="80"/>
  <c r="Q26" i="80"/>
  <c r="R26" i="80"/>
  <c r="S26" i="80"/>
  <c r="T26" i="80"/>
  <c r="U26" i="80"/>
  <c r="D8" i="78"/>
  <c r="D42" i="78"/>
  <c r="E8" i="78"/>
  <c r="G8" i="78"/>
  <c r="I8" i="78"/>
  <c r="K26" i="78"/>
  <c r="C42" i="78"/>
  <c r="J49" i="78"/>
  <c r="J43" i="78"/>
  <c r="J56" i="78"/>
  <c r="A62" i="77"/>
  <c r="B16" i="75"/>
  <c r="C16" i="75"/>
  <c r="D16" i="75"/>
  <c r="E16" i="75"/>
  <c r="F16" i="75"/>
  <c r="G7" i="74"/>
  <c r="L7" i="74"/>
  <c r="H7" i="74"/>
  <c r="M7" i="74"/>
  <c r="I7" i="74"/>
  <c r="J7" i="74"/>
  <c r="O7" i="74"/>
  <c r="K7" i="74"/>
  <c r="P7" i="74"/>
  <c r="N7" i="74"/>
  <c r="L8" i="74"/>
  <c r="M8" i="74"/>
  <c r="N8" i="74"/>
  <c r="O8" i="74"/>
  <c r="L9" i="74"/>
  <c r="M9" i="74"/>
  <c r="N9" i="74"/>
  <c r="O9" i="74"/>
  <c r="L11" i="74"/>
  <c r="M11" i="74"/>
  <c r="N11" i="74"/>
  <c r="O11" i="74"/>
  <c r="L12" i="74"/>
  <c r="M12" i="74"/>
  <c r="N12" i="74"/>
  <c r="O12" i="74"/>
  <c r="B13" i="74"/>
  <c r="C13" i="74"/>
  <c r="D13" i="74"/>
  <c r="E13" i="74"/>
  <c r="G13" i="74"/>
  <c r="H13" i="74"/>
  <c r="M13" i="74"/>
  <c r="I13" i="74"/>
  <c r="N13" i="74"/>
  <c r="J13" i="74"/>
  <c r="O13" i="74"/>
  <c r="K16" i="73"/>
  <c r="C19" i="73"/>
  <c r="D19" i="73"/>
  <c r="E19" i="73"/>
  <c r="F19" i="73"/>
  <c r="G19" i="73"/>
  <c r="H19" i="73"/>
  <c r="I19" i="73"/>
  <c r="K22" i="73"/>
  <c r="C25" i="73"/>
  <c r="D25" i="73"/>
  <c r="E25" i="73"/>
  <c r="F25" i="73"/>
  <c r="G25" i="73"/>
  <c r="H25" i="73"/>
  <c r="I25" i="73"/>
  <c r="K28" i="73"/>
  <c r="C31" i="73"/>
  <c r="D31" i="73"/>
  <c r="E31" i="73"/>
  <c r="F31" i="73"/>
  <c r="G31" i="73"/>
  <c r="H31" i="73"/>
  <c r="I31" i="73"/>
  <c r="K34" i="73"/>
  <c r="C37" i="73"/>
  <c r="D37" i="73"/>
  <c r="E37" i="73"/>
  <c r="F37" i="73"/>
  <c r="G37" i="73"/>
  <c r="H37" i="73"/>
  <c r="I37" i="73"/>
  <c r="J40" i="73"/>
  <c r="H50" i="73"/>
  <c r="I50" i="73"/>
  <c r="J50" i="73"/>
  <c r="H8" i="72"/>
  <c r="H9" i="72"/>
  <c r="H11" i="72"/>
  <c r="H14" i="72"/>
  <c r="H16" i="72"/>
  <c r="H70" i="72"/>
  <c r="H17" i="72"/>
  <c r="H71" i="72"/>
  <c r="H20" i="72"/>
  <c r="H24" i="72"/>
  <c r="H78" i="72"/>
  <c r="H29" i="72"/>
  <c r="H60" i="72"/>
  <c r="C60" i="72"/>
  <c r="D60" i="72"/>
  <c r="E60" i="72"/>
  <c r="F60" i="72"/>
  <c r="G60" i="72"/>
  <c r="A2" i="71"/>
  <c r="AH35" i="70"/>
  <c r="N22" i="67"/>
  <c r="O22" i="67"/>
  <c r="Q22" i="67"/>
  <c r="N24" i="67"/>
  <c r="O24" i="67"/>
  <c r="Q24" i="67"/>
  <c r="N25" i="67"/>
  <c r="O25" i="67"/>
  <c r="Q25" i="67"/>
  <c r="N26" i="67"/>
  <c r="O26" i="67"/>
  <c r="Q26" i="67"/>
  <c r="N27" i="67"/>
  <c r="O27" i="67"/>
  <c r="Q27" i="67"/>
  <c r="N28" i="67"/>
  <c r="O28" i="67"/>
  <c r="Q28" i="67"/>
  <c r="N30" i="67"/>
  <c r="O30" i="67"/>
  <c r="Q30" i="67"/>
  <c r="O35" i="67"/>
  <c r="Q21" i="67"/>
  <c r="N31" i="67"/>
  <c r="O31" i="67"/>
  <c r="Q31" i="67"/>
  <c r="N32" i="67"/>
  <c r="O32" i="67"/>
  <c r="Q32" i="67"/>
  <c r="N33" i="67"/>
  <c r="O33" i="67"/>
  <c r="Q33" i="67"/>
  <c r="N34" i="67"/>
  <c r="O34" i="67"/>
  <c r="Q34" i="67"/>
  <c r="A136" i="67"/>
  <c r="A209" i="67"/>
  <c r="C26" i="65"/>
  <c r="C27" i="65"/>
  <c r="C28" i="65"/>
  <c r="C30" i="65"/>
  <c r="C31" i="65"/>
  <c r="C32" i="65"/>
  <c r="C34" i="65"/>
  <c r="B9" i="62"/>
  <c r="C9" i="62"/>
  <c r="D9" i="62"/>
  <c r="E9" i="62"/>
  <c r="F9" i="62"/>
  <c r="G9" i="62"/>
  <c r="H9" i="62"/>
  <c r="I9" i="62"/>
  <c r="J9" i="62"/>
  <c r="K9" i="62"/>
  <c r="L9" i="62"/>
  <c r="M9" i="62"/>
  <c r="N9" i="62"/>
  <c r="O9" i="62"/>
  <c r="Q9" i="62"/>
  <c r="S9" i="62"/>
  <c r="U9" i="62"/>
  <c r="AC9" i="62"/>
  <c r="AD9" i="62"/>
  <c r="AE9" i="62"/>
  <c r="AF9" i="62"/>
  <c r="AG9" i="62"/>
  <c r="AH9" i="62"/>
  <c r="AI9" i="62"/>
  <c r="AL9" i="62"/>
  <c r="B10" i="62"/>
  <c r="C10" i="62"/>
  <c r="D10" i="62"/>
  <c r="E10" i="62"/>
  <c r="F10" i="62"/>
  <c r="G10" i="62"/>
  <c r="H10" i="62"/>
  <c r="I10" i="62"/>
  <c r="J10" i="62"/>
  <c r="K10" i="62"/>
  <c r="L10" i="62"/>
  <c r="M10" i="62"/>
  <c r="N10" i="62"/>
  <c r="O10" i="62"/>
  <c r="Q10" i="62"/>
  <c r="S10" i="62"/>
  <c r="U10" i="62"/>
  <c r="AC10" i="62"/>
  <c r="AD10" i="62"/>
  <c r="AE10" i="62"/>
  <c r="AF10" i="62"/>
  <c r="AG10" i="62"/>
  <c r="AH10" i="62"/>
  <c r="AI10" i="62"/>
  <c r="AL10" i="62"/>
  <c r="B11" i="62"/>
  <c r="C11" i="62"/>
  <c r="D11" i="62"/>
  <c r="E11" i="62"/>
  <c r="F11" i="62"/>
  <c r="G11" i="62"/>
  <c r="H11" i="62"/>
  <c r="I11" i="62"/>
  <c r="J11" i="62"/>
  <c r="K11" i="62"/>
  <c r="L11" i="62"/>
  <c r="M11" i="62"/>
  <c r="N11" i="62"/>
  <c r="O11" i="62"/>
  <c r="Q11" i="62"/>
  <c r="S11" i="62"/>
  <c r="U11" i="62"/>
  <c r="AC11" i="62"/>
  <c r="AD11" i="62"/>
  <c r="AE11" i="62"/>
  <c r="AF11" i="62"/>
  <c r="AG11" i="62"/>
  <c r="AH11" i="62"/>
  <c r="AI11" i="62"/>
  <c r="AL11" i="62"/>
  <c r="B12" i="62"/>
  <c r="C12" i="62"/>
  <c r="D12" i="62"/>
  <c r="E12" i="62"/>
  <c r="F12" i="62"/>
  <c r="G12" i="62"/>
  <c r="H12" i="62"/>
  <c r="I12" i="62"/>
  <c r="AP12" i="62" s="1"/>
  <c r="J12" i="62"/>
  <c r="K12" i="62"/>
  <c r="L12" i="62"/>
  <c r="M12" i="62"/>
  <c r="N12" i="62"/>
  <c r="O12" i="62"/>
  <c r="Q12" i="62"/>
  <c r="S12" i="62"/>
  <c r="U12" i="62"/>
  <c r="AC12" i="62"/>
  <c r="AD12" i="62"/>
  <c r="AE12" i="62"/>
  <c r="AF12" i="62"/>
  <c r="AG12" i="62"/>
  <c r="AH12" i="62"/>
  <c r="AI12" i="62"/>
  <c r="AL12" i="62"/>
  <c r="B13" i="62"/>
  <c r="C13" i="62"/>
  <c r="D13" i="62"/>
  <c r="E13" i="62"/>
  <c r="F13" i="62"/>
  <c r="G13" i="62"/>
  <c r="H13" i="62"/>
  <c r="I13" i="62"/>
  <c r="AP13" i="62" s="1"/>
  <c r="J13" i="62"/>
  <c r="K13" i="62"/>
  <c r="L13" i="62"/>
  <c r="M13" i="62"/>
  <c r="N13" i="62"/>
  <c r="O13" i="62"/>
  <c r="Q13" i="62"/>
  <c r="S13" i="62"/>
  <c r="U13" i="62"/>
  <c r="AC13" i="62"/>
  <c r="AD13" i="62"/>
  <c r="AE13" i="62"/>
  <c r="AF13" i="62"/>
  <c r="AG13" i="62"/>
  <c r="AH13" i="62"/>
  <c r="AI13" i="62"/>
  <c r="AL13" i="62"/>
  <c r="B14" i="62"/>
  <c r="C14" i="62"/>
  <c r="D14" i="62"/>
  <c r="E14" i="62"/>
  <c r="F14" i="62"/>
  <c r="G14" i="62"/>
  <c r="H14" i="62"/>
  <c r="I14" i="62"/>
  <c r="J14" i="62"/>
  <c r="K14" i="62"/>
  <c r="L14" i="62"/>
  <c r="M14" i="62"/>
  <c r="N14" i="62"/>
  <c r="O14" i="62"/>
  <c r="Q14" i="62"/>
  <c r="S14" i="62"/>
  <c r="U14" i="62"/>
  <c r="AC14" i="62"/>
  <c r="AD14" i="62"/>
  <c r="AE14" i="62"/>
  <c r="AF14" i="62"/>
  <c r="AG14" i="62"/>
  <c r="AH14" i="62"/>
  <c r="AI14" i="62"/>
  <c r="AL14" i="62"/>
  <c r="B15" i="62"/>
  <c r="C15" i="62"/>
  <c r="D15" i="62"/>
  <c r="E15" i="62"/>
  <c r="F15" i="62"/>
  <c r="G15" i="62"/>
  <c r="H15" i="62"/>
  <c r="I15" i="62"/>
  <c r="AP15" i="62" s="1"/>
  <c r="J15" i="62"/>
  <c r="K15" i="62"/>
  <c r="L15" i="62"/>
  <c r="M15" i="62"/>
  <c r="N15" i="62"/>
  <c r="O15" i="62"/>
  <c r="Q15" i="62"/>
  <c r="S15" i="62"/>
  <c r="U15" i="62"/>
  <c r="AC15" i="62"/>
  <c r="AD15" i="62"/>
  <c r="AE15" i="62"/>
  <c r="AF15" i="62"/>
  <c r="AG15" i="62"/>
  <c r="AH15" i="62"/>
  <c r="AI15" i="62"/>
  <c r="AL15" i="62"/>
  <c r="B16" i="62"/>
  <c r="C16" i="62"/>
  <c r="D16" i="62"/>
  <c r="E16" i="62"/>
  <c r="F16" i="62"/>
  <c r="G16" i="62"/>
  <c r="H16" i="62"/>
  <c r="I16" i="62"/>
  <c r="J16" i="62"/>
  <c r="K16" i="62"/>
  <c r="L16" i="62"/>
  <c r="M16" i="62"/>
  <c r="N16" i="62"/>
  <c r="O16" i="62"/>
  <c r="Q16" i="62"/>
  <c r="S16" i="62"/>
  <c r="U16" i="62"/>
  <c r="AC16" i="62"/>
  <c r="AD16" i="62"/>
  <c r="AE16" i="62"/>
  <c r="AF16" i="62"/>
  <c r="AG16" i="62"/>
  <c r="AH16" i="62"/>
  <c r="AI16" i="62"/>
  <c r="AL16" i="62"/>
  <c r="B17" i="62"/>
  <c r="C17" i="62"/>
  <c r="D17" i="62"/>
  <c r="E17" i="62"/>
  <c r="AP17" i="62" s="1"/>
  <c r="F17" i="62"/>
  <c r="G17" i="62"/>
  <c r="H17" i="62"/>
  <c r="I17" i="62"/>
  <c r="J17" i="62"/>
  <c r="K17" i="62"/>
  <c r="L17" i="62"/>
  <c r="M17" i="62"/>
  <c r="N17" i="62"/>
  <c r="O17" i="62"/>
  <c r="Q17" i="62"/>
  <c r="S17" i="62"/>
  <c r="U17" i="62"/>
  <c r="AC17" i="62"/>
  <c r="AD17" i="62"/>
  <c r="AE17" i="62"/>
  <c r="AF17" i="62"/>
  <c r="AG17" i="62"/>
  <c r="AH17" i="62"/>
  <c r="AI17" i="62"/>
  <c r="AL17" i="62"/>
  <c r="B18" i="62"/>
  <c r="C18" i="62"/>
  <c r="D18" i="62"/>
  <c r="E18" i="62"/>
  <c r="F18" i="62"/>
  <c r="G18" i="62"/>
  <c r="H18" i="62"/>
  <c r="I18" i="62"/>
  <c r="J18" i="62"/>
  <c r="K18" i="62"/>
  <c r="L18" i="62"/>
  <c r="M18" i="62"/>
  <c r="N18" i="62"/>
  <c r="O18" i="62"/>
  <c r="Q18" i="62"/>
  <c r="S18" i="62"/>
  <c r="U18" i="62"/>
  <c r="AC18" i="62"/>
  <c r="AD18" i="62"/>
  <c r="AE18" i="62"/>
  <c r="AF18" i="62"/>
  <c r="AG18" i="62"/>
  <c r="AH18" i="62"/>
  <c r="AI18" i="62"/>
  <c r="AL18" i="62"/>
  <c r="B19" i="62"/>
  <c r="C19" i="62"/>
  <c r="D19" i="62"/>
  <c r="E19" i="62"/>
  <c r="F19" i="62"/>
  <c r="G19" i="62"/>
  <c r="H19" i="62"/>
  <c r="I19" i="62"/>
  <c r="AP19" i="62" s="1"/>
  <c r="J19" i="62"/>
  <c r="K19" i="62"/>
  <c r="L19" i="62"/>
  <c r="M19" i="62"/>
  <c r="N19" i="62"/>
  <c r="O19" i="62"/>
  <c r="Q19" i="62"/>
  <c r="S19" i="62"/>
  <c r="U19" i="62"/>
  <c r="AC19" i="62"/>
  <c r="AD19" i="62"/>
  <c r="AE19" i="62"/>
  <c r="AF19" i="62"/>
  <c r="AG19" i="62"/>
  <c r="AH19" i="62"/>
  <c r="AI19" i="62"/>
  <c r="AL19" i="62"/>
  <c r="B20" i="62"/>
  <c r="C20" i="62"/>
  <c r="D20" i="62"/>
  <c r="E20" i="62"/>
  <c r="F20" i="62"/>
  <c r="G20" i="62"/>
  <c r="H20" i="62"/>
  <c r="I20" i="62"/>
  <c r="AP20" i="62" s="1"/>
  <c r="J20" i="62"/>
  <c r="K20" i="62"/>
  <c r="L20" i="62"/>
  <c r="M20" i="62"/>
  <c r="N20" i="62"/>
  <c r="O20" i="62"/>
  <c r="Q20" i="62"/>
  <c r="S20" i="62"/>
  <c r="U20" i="62"/>
  <c r="AC20" i="62"/>
  <c r="AD20" i="62"/>
  <c r="AE20" i="62"/>
  <c r="AF20" i="62"/>
  <c r="AG20" i="62"/>
  <c r="AH20" i="62"/>
  <c r="AI20" i="62"/>
  <c r="AL20" i="62"/>
  <c r="B21" i="62"/>
  <c r="C21" i="62"/>
  <c r="D21" i="62"/>
  <c r="E21" i="62"/>
  <c r="F21" i="62"/>
  <c r="G21" i="62"/>
  <c r="H21" i="62"/>
  <c r="I21" i="62"/>
  <c r="J21" i="62"/>
  <c r="K21" i="62"/>
  <c r="L21" i="62"/>
  <c r="M21" i="62"/>
  <c r="N21" i="62"/>
  <c r="O21" i="62"/>
  <c r="Q21" i="62"/>
  <c r="S21" i="62"/>
  <c r="U21" i="62"/>
  <c r="AC21" i="62"/>
  <c r="AD21" i="62"/>
  <c r="AE21" i="62"/>
  <c r="AF21" i="62"/>
  <c r="AG21" i="62"/>
  <c r="AH21" i="62"/>
  <c r="AI21" i="62"/>
  <c r="AL21" i="62"/>
  <c r="B22" i="62"/>
  <c r="C22" i="62"/>
  <c r="D22" i="62"/>
  <c r="E22" i="62"/>
  <c r="F22" i="62"/>
  <c r="G22" i="62"/>
  <c r="H22" i="62"/>
  <c r="I22" i="62"/>
  <c r="J22" i="62"/>
  <c r="K22" i="62"/>
  <c r="L22" i="62"/>
  <c r="M22" i="62"/>
  <c r="N22" i="62"/>
  <c r="O22" i="62"/>
  <c r="Q22" i="62"/>
  <c r="S22" i="62"/>
  <c r="U22" i="62"/>
  <c r="AC22" i="62"/>
  <c r="AD22" i="62"/>
  <c r="AE22" i="62"/>
  <c r="AF22" i="62"/>
  <c r="AG22" i="62"/>
  <c r="AH22" i="62"/>
  <c r="AI22" i="62"/>
  <c r="AL22" i="62"/>
  <c r="B23" i="62"/>
  <c r="C23" i="62"/>
  <c r="D23" i="62"/>
  <c r="F23" i="62"/>
  <c r="G23" i="62"/>
  <c r="H23" i="62"/>
  <c r="J23" i="62"/>
  <c r="K23" i="62"/>
  <c r="L23" i="62"/>
  <c r="N23" i="62"/>
  <c r="O23" i="62"/>
  <c r="Q23" i="62"/>
  <c r="S23" i="62"/>
  <c r="AC23" i="62"/>
  <c r="AD23" i="62"/>
  <c r="AE23" i="62"/>
  <c r="AG23" i="62"/>
  <c r="AH23" i="62"/>
  <c r="AI23" i="62"/>
  <c r="B24" i="62"/>
  <c r="C24" i="62"/>
  <c r="D24" i="62"/>
  <c r="E24" i="62"/>
  <c r="F24" i="62"/>
  <c r="G24" i="62"/>
  <c r="H24" i="62"/>
  <c r="I24" i="62"/>
  <c r="J24" i="62"/>
  <c r="K24" i="62"/>
  <c r="L24" i="62"/>
  <c r="M24" i="62"/>
  <c r="N24" i="62"/>
  <c r="O24" i="62"/>
  <c r="Q24" i="62"/>
  <c r="S24" i="62"/>
  <c r="U24" i="62"/>
  <c r="AC24" i="62"/>
  <c r="AD24" i="62"/>
  <c r="AE24" i="62"/>
  <c r="AF24" i="62"/>
  <c r="AG24" i="62"/>
  <c r="AH24" i="62"/>
  <c r="AI24" i="62"/>
  <c r="AL24" i="62"/>
  <c r="B25" i="62"/>
  <c r="C25" i="62"/>
  <c r="D25" i="62"/>
  <c r="E25" i="62"/>
  <c r="F25" i="62"/>
  <c r="G25" i="62"/>
  <c r="H25" i="62"/>
  <c r="I25" i="62"/>
  <c r="J25" i="62"/>
  <c r="K25" i="62"/>
  <c r="L25" i="62"/>
  <c r="M25" i="62"/>
  <c r="N25" i="62"/>
  <c r="O25" i="62"/>
  <c r="Q25" i="62"/>
  <c r="S25" i="62"/>
  <c r="U25" i="62"/>
  <c r="AC25" i="62"/>
  <c r="AD25" i="62"/>
  <c r="AE25" i="62"/>
  <c r="AF25" i="62"/>
  <c r="AG25" i="62"/>
  <c r="AH25" i="62"/>
  <c r="AI25" i="62"/>
  <c r="AL25" i="62"/>
  <c r="B26" i="62"/>
  <c r="C26" i="62"/>
  <c r="D26" i="62"/>
  <c r="E26" i="62"/>
  <c r="AP26" i="62" s="1"/>
  <c r="F26" i="62"/>
  <c r="G26" i="62"/>
  <c r="H26" i="62"/>
  <c r="I26" i="62"/>
  <c r="J26" i="62"/>
  <c r="K26" i="62"/>
  <c r="L26" i="62"/>
  <c r="M26" i="62"/>
  <c r="N26" i="62"/>
  <c r="O26" i="62"/>
  <c r="Q26" i="62"/>
  <c r="S26" i="62"/>
  <c r="U26" i="62"/>
  <c r="AC26" i="62"/>
  <c r="AD26" i="62"/>
  <c r="AE26" i="62"/>
  <c r="AF26" i="62"/>
  <c r="AG26" i="62"/>
  <c r="AH26" i="62"/>
  <c r="AI26" i="62"/>
  <c r="AL26" i="62"/>
  <c r="B27" i="62"/>
  <c r="C27" i="62"/>
  <c r="D27" i="62"/>
  <c r="E27" i="62"/>
  <c r="F27" i="62"/>
  <c r="G27" i="62"/>
  <c r="H27" i="62"/>
  <c r="I27" i="62"/>
  <c r="AP27" i="62" s="1"/>
  <c r="J27" i="62"/>
  <c r="K27" i="62"/>
  <c r="L27" i="62"/>
  <c r="M27" i="62"/>
  <c r="N27" i="62"/>
  <c r="O27" i="62"/>
  <c r="Q27" i="62"/>
  <c r="S27" i="62"/>
  <c r="U27" i="62"/>
  <c r="AC27" i="62"/>
  <c r="AD27" i="62"/>
  <c r="AE27" i="62"/>
  <c r="AF27" i="62"/>
  <c r="AG27" i="62"/>
  <c r="AH27" i="62"/>
  <c r="AI27" i="62"/>
  <c r="AL27" i="62"/>
  <c r="B29" i="62"/>
  <c r="C29" i="62"/>
  <c r="D29" i="62"/>
  <c r="E29" i="62"/>
  <c r="F29" i="62"/>
  <c r="G29" i="62"/>
  <c r="H29" i="62"/>
  <c r="I29" i="62"/>
  <c r="J29" i="62"/>
  <c r="K29" i="62"/>
  <c r="L29" i="62"/>
  <c r="M29" i="62"/>
  <c r="N29" i="62"/>
  <c r="O29" i="62"/>
  <c r="Q29" i="62"/>
  <c r="S29" i="62"/>
  <c r="U29" i="62"/>
  <c r="AC29" i="62"/>
  <c r="AD29" i="62"/>
  <c r="AE29" i="62"/>
  <c r="AF29" i="62"/>
  <c r="AG29" i="62"/>
  <c r="AH29" i="62"/>
  <c r="AI29" i="62"/>
  <c r="AL29" i="62"/>
  <c r="B30" i="62"/>
  <c r="C30" i="62"/>
  <c r="D30" i="62"/>
  <c r="E30" i="62"/>
  <c r="F30" i="62"/>
  <c r="G30" i="62"/>
  <c r="H30" i="62"/>
  <c r="I30" i="62"/>
  <c r="J30" i="62"/>
  <c r="K30" i="62"/>
  <c r="L30" i="62"/>
  <c r="M30" i="62"/>
  <c r="N30" i="62"/>
  <c r="O30" i="62"/>
  <c r="Q30" i="62"/>
  <c r="S30" i="62"/>
  <c r="U30" i="62"/>
  <c r="AC30" i="62"/>
  <c r="AD30" i="62"/>
  <c r="AE30" i="62"/>
  <c r="AF30" i="62"/>
  <c r="AG30" i="62"/>
  <c r="AH30" i="62"/>
  <c r="AI30" i="62"/>
  <c r="AL30" i="62"/>
  <c r="B31" i="62"/>
  <c r="C31" i="62"/>
  <c r="D31" i="62"/>
  <c r="E31" i="62"/>
  <c r="F31" i="62"/>
  <c r="G31" i="62"/>
  <c r="H31" i="62"/>
  <c r="I31" i="62"/>
  <c r="J31" i="62"/>
  <c r="K31" i="62"/>
  <c r="L31" i="62"/>
  <c r="M31" i="62"/>
  <c r="N31" i="62"/>
  <c r="O31" i="62"/>
  <c r="Q31" i="62"/>
  <c r="S31" i="62"/>
  <c r="U31" i="62"/>
  <c r="AC31" i="62"/>
  <c r="AD31" i="62"/>
  <c r="AE31" i="62"/>
  <c r="AF31" i="62"/>
  <c r="AG31" i="62"/>
  <c r="AH31" i="62"/>
  <c r="AI31" i="62"/>
  <c r="AL31" i="62"/>
  <c r="B32" i="62"/>
  <c r="C32" i="62"/>
  <c r="D32" i="62"/>
  <c r="E32" i="62"/>
  <c r="AP32" i="62" s="1"/>
  <c r="F32" i="62"/>
  <c r="G32" i="62"/>
  <c r="H32" i="62"/>
  <c r="I32" i="62"/>
  <c r="J32" i="62"/>
  <c r="K32" i="62"/>
  <c r="L32" i="62"/>
  <c r="M32" i="62"/>
  <c r="N32" i="62"/>
  <c r="O32" i="62"/>
  <c r="Q32" i="62"/>
  <c r="S32" i="62"/>
  <c r="U32" i="62"/>
  <c r="AC32" i="62"/>
  <c r="AD32" i="62"/>
  <c r="AE32" i="62"/>
  <c r="AF32" i="62"/>
  <c r="AL32" i="62"/>
  <c r="B33" i="62"/>
  <c r="C33" i="62"/>
  <c r="D33" i="62"/>
  <c r="E33" i="62"/>
  <c r="F33" i="62"/>
  <c r="G33" i="62"/>
  <c r="H33" i="62"/>
  <c r="I33" i="62"/>
  <c r="J33" i="62"/>
  <c r="K33" i="62"/>
  <c r="L33" i="62"/>
  <c r="M33" i="62"/>
  <c r="N33" i="62"/>
  <c r="O33" i="62"/>
  <c r="Q33" i="62"/>
  <c r="S33" i="62"/>
  <c r="U33" i="62"/>
  <c r="AC33" i="62"/>
  <c r="AD33" i="62"/>
  <c r="AE33" i="62"/>
  <c r="AF33" i="62"/>
  <c r="AG33" i="62"/>
  <c r="AH33" i="62"/>
  <c r="AI33" i="62"/>
  <c r="AL33" i="62"/>
  <c r="B34" i="62"/>
  <c r="C34" i="62"/>
  <c r="D34" i="62"/>
  <c r="E34" i="62"/>
  <c r="F34" i="62"/>
  <c r="G34" i="62"/>
  <c r="H34" i="62"/>
  <c r="I34" i="62"/>
  <c r="AP34" i="62" s="1"/>
  <c r="J34" i="62"/>
  <c r="K34" i="62"/>
  <c r="L34" i="62"/>
  <c r="M34" i="62"/>
  <c r="N34" i="62"/>
  <c r="O34" i="62"/>
  <c r="Q34" i="62"/>
  <c r="S34" i="62"/>
  <c r="U34" i="62"/>
  <c r="AC34" i="62"/>
  <c r="AD34" i="62"/>
  <c r="AE34" i="62"/>
  <c r="AF34" i="62"/>
  <c r="AG34" i="62"/>
  <c r="AH34" i="62"/>
  <c r="AI34" i="62"/>
  <c r="AL34" i="62"/>
  <c r="B35" i="62"/>
  <c r="C35" i="62"/>
  <c r="D35" i="62"/>
  <c r="E35" i="62"/>
  <c r="F35" i="62"/>
  <c r="G35" i="62"/>
  <c r="H35" i="62"/>
  <c r="I35" i="62"/>
  <c r="AP35" i="62" s="1"/>
  <c r="J35" i="62"/>
  <c r="K35" i="62"/>
  <c r="L35" i="62"/>
  <c r="M35" i="62"/>
  <c r="N35" i="62"/>
  <c r="O35" i="62"/>
  <c r="Q35" i="62"/>
  <c r="S35" i="62"/>
  <c r="U35" i="62"/>
  <c r="AC35" i="62"/>
  <c r="AD35" i="62"/>
  <c r="AE35" i="62"/>
  <c r="AF35" i="62"/>
  <c r="AG35" i="62"/>
  <c r="AH35" i="62"/>
  <c r="AI35" i="62"/>
  <c r="AL35" i="62"/>
  <c r="B37" i="62"/>
  <c r="C37" i="62"/>
  <c r="D37" i="62"/>
  <c r="E37" i="62"/>
  <c r="AP37" i="62" s="1"/>
  <c r="F37" i="62"/>
  <c r="G37" i="62"/>
  <c r="H37" i="62"/>
  <c r="I37" i="62"/>
  <c r="J37" i="62"/>
  <c r="K37" i="62"/>
  <c r="L37" i="62"/>
  <c r="M37" i="62"/>
  <c r="N37" i="62"/>
  <c r="O37" i="62"/>
  <c r="Q37" i="62"/>
  <c r="S37" i="62"/>
  <c r="U37" i="62"/>
  <c r="AC37" i="62"/>
  <c r="AD37" i="62"/>
  <c r="AE37" i="62"/>
  <c r="AF37" i="62"/>
  <c r="AG37" i="62"/>
  <c r="AH37" i="62"/>
  <c r="AI37" i="62"/>
  <c r="AL37" i="62"/>
  <c r="B41" i="62"/>
  <c r="C41" i="62"/>
  <c r="D41" i="62"/>
  <c r="F41" i="62"/>
  <c r="G41" i="62"/>
  <c r="H41" i="62"/>
  <c r="I41" i="62"/>
  <c r="J41" i="62"/>
  <c r="K41" i="62"/>
  <c r="L41" i="62"/>
  <c r="AO41" i="62"/>
  <c r="M41" i="62"/>
  <c r="N41" i="62"/>
  <c r="O41" i="62"/>
  <c r="Q41" i="62"/>
  <c r="S41" i="62"/>
  <c r="U41" i="62"/>
  <c r="AC41" i="62"/>
  <c r="AD41" i="62"/>
  <c r="AE41" i="62"/>
  <c r="AF41" i="62"/>
  <c r="B42" i="62"/>
  <c r="C42" i="62"/>
  <c r="D42" i="62"/>
  <c r="F42" i="62"/>
  <c r="G42" i="62"/>
  <c r="H42" i="62"/>
  <c r="I42" i="62"/>
  <c r="J42" i="62"/>
  <c r="K42" i="62"/>
  <c r="L42" i="62"/>
  <c r="M42" i="62"/>
  <c r="N42" i="62"/>
  <c r="O42" i="62"/>
  <c r="Q42" i="62"/>
  <c r="S42" i="62"/>
  <c r="U42" i="62"/>
  <c r="AC42" i="62"/>
  <c r="AD42" i="62"/>
  <c r="AE42" i="62"/>
  <c r="AF42" i="62"/>
  <c r="B43" i="62"/>
  <c r="C43" i="62"/>
  <c r="D43" i="62"/>
  <c r="F43" i="62"/>
  <c r="G43" i="62"/>
  <c r="H43" i="62"/>
  <c r="I43" i="62"/>
  <c r="J43" i="62"/>
  <c r="K43" i="62"/>
  <c r="L43" i="62"/>
  <c r="M43" i="62"/>
  <c r="N43" i="62"/>
  <c r="O43" i="62"/>
  <c r="Q43" i="62"/>
  <c r="S43" i="62"/>
  <c r="U43" i="62"/>
  <c r="AC43" i="62"/>
  <c r="AD43" i="62"/>
  <c r="AE43" i="62"/>
  <c r="AF43" i="62"/>
  <c r="B44" i="62"/>
  <c r="C44" i="62"/>
  <c r="D44" i="62"/>
  <c r="F44" i="62"/>
  <c r="G44" i="62"/>
  <c r="H44" i="62"/>
  <c r="I44" i="62"/>
  <c r="AP44" i="62" s="1"/>
  <c r="J44" i="62"/>
  <c r="K44" i="62"/>
  <c r="L44" i="62"/>
  <c r="M44" i="62"/>
  <c r="N44" i="62"/>
  <c r="O44" i="62"/>
  <c r="Q44" i="62"/>
  <c r="S44" i="62"/>
  <c r="U44" i="62"/>
  <c r="AC44" i="62"/>
  <c r="AD44" i="62"/>
  <c r="AE44" i="62"/>
  <c r="AF44" i="62"/>
  <c r="B45" i="62"/>
  <c r="C45" i="62"/>
  <c r="D45" i="62"/>
  <c r="F45" i="62"/>
  <c r="G45" i="62"/>
  <c r="H45" i="62"/>
  <c r="I45" i="62"/>
  <c r="AP45" i="62" s="1"/>
  <c r="J45" i="62"/>
  <c r="K45" i="62"/>
  <c r="L45" i="62"/>
  <c r="M45" i="62"/>
  <c r="N45" i="62"/>
  <c r="O45" i="62"/>
  <c r="Q45" i="62"/>
  <c r="S45" i="62"/>
  <c r="U45" i="62"/>
  <c r="AC45" i="62"/>
  <c r="AD45" i="62"/>
  <c r="AE45" i="62"/>
  <c r="AF45" i="62"/>
  <c r="B46" i="62"/>
  <c r="C46" i="62"/>
  <c r="D46" i="62"/>
  <c r="F46" i="62"/>
  <c r="G46" i="62"/>
  <c r="H46" i="62"/>
  <c r="I46" i="62"/>
  <c r="J46" i="62"/>
  <c r="K46" i="62"/>
  <c r="L46" i="62"/>
  <c r="M46" i="62"/>
  <c r="N46" i="62"/>
  <c r="O46" i="62"/>
  <c r="Q46" i="62"/>
  <c r="S46" i="62"/>
  <c r="U46" i="62"/>
  <c r="AC46" i="62"/>
  <c r="AD46" i="62"/>
  <c r="AE46" i="62"/>
  <c r="AF46" i="62"/>
  <c r="B47" i="62"/>
  <c r="C47" i="62"/>
  <c r="D47" i="62"/>
  <c r="F47" i="62"/>
  <c r="G47" i="62"/>
  <c r="H47" i="62"/>
  <c r="I47" i="62"/>
  <c r="J47" i="62"/>
  <c r="K47" i="62"/>
  <c r="L47" i="62"/>
  <c r="M47" i="62"/>
  <c r="N47" i="62"/>
  <c r="O47" i="62"/>
  <c r="Q47" i="62"/>
  <c r="S47" i="62"/>
  <c r="U47" i="62"/>
  <c r="AC47" i="62"/>
  <c r="AD47" i="62"/>
  <c r="AE47" i="62"/>
  <c r="AF47" i="62"/>
  <c r="A48" i="62"/>
  <c r="B48" i="62"/>
  <c r="C48" i="62"/>
  <c r="D48" i="62"/>
  <c r="F48" i="62"/>
  <c r="G48" i="62"/>
  <c r="H48" i="62"/>
  <c r="I48" i="62"/>
  <c r="AP48" i="62" s="1"/>
  <c r="J48" i="62"/>
  <c r="K48" i="62"/>
  <c r="L48" i="62"/>
  <c r="M48" i="62"/>
  <c r="N48" i="62"/>
  <c r="O48" i="62"/>
  <c r="Q48" i="62"/>
  <c r="S48" i="62"/>
  <c r="U48" i="62"/>
  <c r="AC48" i="62"/>
  <c r="AD48" i="62"/>
  <c r="AE48" i="62"/>
  <c r="AF48" i="62"/>
  <c r="B49" i="62"/>
  <c r="C49" i="62"/>
  <c r="D49" i="62"/>
  <c r="F49" i="62"/>
  <c r="G49" i="62"/>
  <c r="H49" i="62"/>
  <c r="I49" i="62"/>
  <c r="AP49" i="62" s="1"/>
  <c r="J49" i="62"/>
  <c r="K49" i="62"/>
  <c r="L49" i="62"/>
  <c r="M49" i="62"/>
  <c r="N49" i="62"/>
  <c r="O49" i="62"/>
  <c r="Q49" i="62"/>
  <c r="S49" i="62"/>
  <c r="U49" i="62"/>
  <c r="AC49" i="62"/>
  <c r="AD49" i="62"/>
  <c r="AE49" i="62"/>
  <c r="AF49" i="62"/>
  <c r="AM9" i="61"/>
  <c r="AN9" i="61"/>
  <c r="AO9" i="61"/>
  <c r="AP9" i="61"/>
  <c r="AM10" i="61"/>
  <c r="AN10" i="61"/>
  <c r="AO10" i="61"/>
  <c r="AP10" i="61"/>
  <c r="AM11" i="61"/>
  <c r="AN11" i="61"/>
  <c r="AO11" i="61"/>
  <c r="AP11" i="61"/>
  <c r="AM12" i="61"/>
  <c r="AN12" i="61"/>
  <c r="AO12" i="61"/>
  <c r="AP12" i="61"/>
  <c r="AM13" i="61"/>
  <c r="AN13" i="61"/>
  <c r="AO13" i="61"/>
  <c r="AP13" i="61"/>
  <c r="AM14" i="61"/>
  <c r="AN14" i="61"/>
  <c r="AO14" i="61"/>
  <c r="AP14" i="61"/>
  <c r="AM15" i="61"/>
  <c r="AN15" i="61"/>
  <c r="AO15" i="61"/>
  <c r="AP15" i="61"/>
  <c r="AM16" i="61"/>
  <c r="AN16" i="61"/>
  <c r="AO16" i="61"/>
  <c r="AP16" i="61"/>
  <c r="AM17" i="61"/>
  <c r="AN17" i="61"/>
  <c r="AO17" i="61"/>
  <c r="AP17" i="61"/>
  <c r="AM18" i="61"/>
  <c r="AN18" i="61"/>
  <c r="AO18" i="61"/>
  <c r="AP18" i="61"/>
  <c r="AM19" i="61"/>
  <c r="AN19" i="61"/>
  <c r="AO19" i="61"/>
  <c r="AP19" i="61"/>
  <c r="AM20" i="61"/>
  <c r="AN20" i="61"/>
  <c r="AO20" i="61"/>
  <c r="AP20" i="61"/>
  <c r="AM21" i="61"/>
  <c r="AN21" i="61"/>
  <c r="AO21" i="61"/>
  <c r="AP21" i="61"/>
  <c r="AM22" i="61"/>
  <c r="AN22" i="61"/>
  <c r="AO22" i="61"/>
  <c r="AP22" i="61"/>
  <c r="AM24" i="61"/>
  <c r="AN24" i="61"/>
  <c r="AO24" i="61"/>
  <c r="AP24" i="61"/>
  <c r="AM25" i="61"/>
  <c r="AN25" i="61"/>
  <c r="AO25" i="61"/>
  <c r="AP25" i="61"/>
  <c r="AM26" i="61"/>
  <c r="AN26" i="61"/>
  <c r="AO26" i="61"/>
  <c r="AP26" i="61"/>
  <c r="AM27" i="61"/>
  <c r="AN27" i="61"/>
  <c r="AO27" i="61"/>
  <c r="AP27" i="61"/>
  <c r="AM29" i="61"/>
  <c r="AN29" i="61"/>
  <c r="AO29" i="61"/>
  <c r="AP29" i="61"/>
  <c r="AM30" i="61"/>
  <c r="AN30" i="61"/>
  <c r="AO30" i="61"/>
  <c r="AP30" i="61"/>
  <c r="AM31" i="61"/>
  <c r="AN31" i="61"/>
  <c r="AO31" i="61"/>
  <c r="AP31" i="61"/>
  <c r="AM32" i="61"/>
  <c r="AO32" i="61"/>
  <c r="AP32" i="61"/>
  <c r="AM33" i="61"/>
  <c r="AN33" i="61"/>
  <c r="AO33" i="61"/>
  <c r="AP33" i="61"/>
  <c r="AM34" i="61"/>
  <c r="AN34" i="61"/>
  <c r="AO34" i="61"/>
  <c r="AP34" i="61"/>
  <c r="AM35" i="61"/>
  <c r="AN35" i="61"/>
  <c r="AP35" i="61"/>
  <c r="AM37" i="61"/>
  <c r="AN37" i="61"/>
  <c r="AO37" i="61"/>
  <c r="AP37" i="61"/>
  <c r="J38" i="61"/>
  <c r="K38" i="61"/>
  <c r="L38" i="61"/>
  <c r="M38" i="61"/>
  <c r="Q38" i="61"/>
  <c r="U38" i="61"/>
  <c r="AC38" i="61"/>
  <c r="AE38" i="61"/>
  <c r="AF38" i="61"/>
  <c r="AG38" i="61"/>
  <c r="AH38" i="61"/>
  <c r="AI38" i="61"/>
  <c r="AL38" i="61"/>
  <c r="AM41" i="61"/>
  <c r="AO41" i="61"/>
  <c r="AM42" i="61"/>
  <c r="AO42" i="61"/>
  <c r="AM43" i="61"/>
  <c r="AO43" i="61"/>
  <c r="AM44" i="61"/>
  <c r="AO44" i="61"/>
  <c r="AM45" i="61"/>
  <c r="AO45" i="61"/>
  <c r="AM46" i="61"/>
  <c r="AO46" i="61"/>
  <c r="AM47" i="61"/>
  <c r="AO47" i="61"/>
  <c r="A48" i="61"/>
  <c r="AM48" i="61"/>
  <c r="AO48" i="61"/>
  <c r="AM9" i="60"/>
  <c r="AN9" i="60"/>
  <c r="AO9" i="60"/>
  <c r="AP9" i="60"/>
  <c r="AM10" i="60"/>
  <c r="AN10" i="60"/>
  <c r="AO10" i="60"/>
  <c r="AP10" i="60"/>
  <c r="AM11" i="60"/>
  <c r="AN11" i="60"/>
  <c r="AO11" i="60"/>
  <c r="AP11" i="60"/>
  <c r="AM12" i="60"/>
  <c r="AN12" i="60"/>
  <c r="AO12" i="60"/>
  <c r="AP12" i="60"/>
  <c r="AM13" i="60"/>
  <c r="AN13" i="60"/>
  <c r="AO13" i="60"/>
  <c r="AP13" i="60"/>
  <c r="AM14" i="60"/>
  <c r="AN14" i="60"/>
  <c r="AO14" i="60"/>
  <c r="AP14" i="60"/>
  <c r="AM15" i="60"/>
  <c r="AN15" i="60"/>
  <c r="AO15" i="60"/>
  <c r="AP15" i="60"/>
  <c r="AM16" i="60"/>
  <c r="AN16" i="60"/>
  <c r="AO16" i="60"/>
  <c r="AP16" i="60"/>
  <c r="AM17" i="60"/>
  <c r="AN17" i="60"/>
  <c r="AO17" i="60"/>
  <c r="AP17" i="60"/>
  <c r="AM18" i="60"/>
  <c r="AN18" i="60"/>
  <c r="AO18" i="60"/>
  <c r="AP18" i="60"/>
  <c r="AM19" i="60"/>
  <c r="AN19" i="60"/>
  <c r="AO19" i="60"/>
  <c r="AP19" i="60"/>
  <c r="AM20" i="60"/>
  <c r="AN20" i="60"/>
  <c r="AO20" i="60"/>
  <c r="AP20" i="60"/>
  <c r="AM21" i="60"/>
  <c r="AN21" i="60"/>
  <c r="AO21" i="60"/>
  <c r="AP21" i="60"/>
  <c r="AM22" i="60"/>
  <c r="AN22" i="60"/>
  <c r="AO22" i="60"/>
  <c r="AP22" i="60"/>
  <c r="AM24" i="60"/>
  <c r="AN24" i="60"/>
  <c r="AO24" i="60"/>
  <c r="AP24" i="60"/>
  <c r="AM25" i="60"/>
  <c r="AN25" i="60"/>
  <c r="AO25" i="60"/>
  <c r="AP25" i="60"/>
  <c r="AM26" i="60"/>
  <c r="AN26" i="60"/>
  <c r="AO26" i="60"/>
  <c r="AP26" i="60"/>
  <c r="AM27" i="60"/>
  <c r="AN27" i="60"/>
  <c r="AO27" i="60"/>
  <c r="AP27" i="60"/>
  <c r="AM29" i="60"/>
  <c r="AN29" i="60"/>
  <c r="AO29" i="60"/>
  <c r="AP29" i="60"/>
  <c r="AM30" i="60"/>
  <c r="AN30" i="60"/>
  <c r="AO30" i="60"/>
  <c r="AP30" i="60"/>
  <c r="AM31" i="60"/>
  <c r="AN31" i="60"/>
  <c r="AO31" i="60"/>
  <c r="AP31" i="60"/>
  <c r="AM32" i="60"/>
  <c r="AO32" i="60"/>
  <c r="AP32" i="60"/>
  <c r="AM33" i="60"/>
  <c r="AN33" i="60"/>
  <c r="AO33" i="60"/>
  <c r="AP33" i="60"/>
  <c r="AM34" i="60"/>
  <c r="AN34" i="60"/>
  <c r="AO34" i="60"/>
  <c r="AP34" i="60"/>
  <c r="AM35" i="60"/>
  <c r="AN35" i="60"/>
  <c r="AO35" i="60"/>
  <c r="AP35" i="60"/>
  <c r="AM37" i="60"/>
  <c r="AN37" i="60"/>
  <c r="AO37" i="60"/>
  <c r="AP37" i="60"/>
  <c r="M38" i="60"/>
  <c r="Q38" i="60"/>
  <c r="U38" i="60"/>
  <c r="AC38" i="60"/>
  <c r="AE38" i="60"/>
  <c r="AF38" i="60"/>
  <c r="AH38" i="60"/>
  <c r="AI38" i="60"/>
  <c r="AL38" i="60"/>
  <c r="AM41" i="60"/>
  <c r="AN41" i="60"/>
  <c r="AO41" i="60"/>
  <c r="AM42" i="60"/>
  <c r="AN42" i="60"/>
  <c r="AO42" i="60"/>
  <c r="AM43" i="60"/>
  <c r="AN43" i="60"/>
  <c r="AO43" i="60"/>
  <c r="AM44" i="60"/>
  <c r="AN44" i="60"/>
  <c r="AO44" i="60"/>
  <c r="AM45" i="60"/>
  <c r="AN45" i="60"/>
  <c r="AO45" i="60"/>
  <c r="AM46" i="60"/>
  <c r="AN46" i="60"/>
  <c r="AO46" i="60"/>
  <c r="AM47" i="60"/>
  <c r="AN47" i="60"/>
  <c r="AO47" i="60"/>
  <c r="AM48" i="60"/>
  <c r="AN48" i="60"/>
  <c r="AO48" i="60"/>
  <c r="AM9" i="59"/>
  <c r="AN9" i="59"/>
  <c r="AO9" i="59"/>
  <c r="AP9" i="59"/>
  <c r="AM10" i="59"/>
  <c r="AN10" i="59"/>
  <c r="AO10" i="59"/>
  <c r="AP10" i="59"/>
  <c r="AM11" i="59"/>
  <c r="AN11" i="59"/>
  <c r="AO11" i="59"/>
  <c r="AP11" i="59"/>
  <c r="AM12" i="59"/>
  <c r="AN12" i="59"/>
  <c r="AO12" i="59"/>
  <c r="AP12" i="59"/>
  <c r="AM13" i="59"/>
  <c r="AN13" i="59"/>
  <c r="AO13" i="59"/>
  <c r="AP13" i="59"/>
  <c r="AM14" i="59"/>
  <c r="AN14" i="59"/>
  <c r="AO14" i="59"/>
  <c r="AP14" i="59"/>
  <c r="AM15" i="59"/>
  <c r="AN15" i="59"/>
  <c r="AO15" i="59"/>
  <c r="AP15" i="59"/>
  <c r="AM16" i="59"/>
  <c r="AN16" i="59"/>
  <c r="AO16" i="59"/>
  <c r="AP16" i="59"/>
  <c r="AM17" i="59"/>
  <c r="AN17" i="59"/>
  <c r="AO17" i="59"/>
  <c r="AP17" i="59"/>
  <c r="AM18" i="59"/>
  <c r="AN18" i="59"/>
  <c r="AO18" i="59"/>
  <c r="AP18" i="59"/>
  <c r="AM19" i="59"/>
  <c r="AN19" i="59"/>
  <c r="AO19" i="59"/>
  <c r="AP19" i="59"/>
  <c r="AM20" i="59"/>
  <c r="AN20" i="59"/>
  <c r="AO20" i="59"/>
  <c r="AP20" i="59"/>
  <c r="AM21" i="59"/>
  <c r="AN21" i="59"/>
  <c r="AO21" i="59"/>
  <c r="AP21" i="59"/>
  <c r="AM22" i="59"/>
  <c r="AN22" i="59"/>
  <c r="AO22" i="59"/>
  <c r="AP22" i="59"/>
  <c r="AM24" i="59"/>
  <c r="AN24" i="59"/>
  <c r="AO24" i="59"/>
  <c r="AP24" i="59"/>
  <c r="AM25" i="59"/>
  <c r="AN25" i="59"/>
  <c r="AO25" i="59"/>
  <c r="AP25" i="59"/>
  <c r="AM26" i="59"/>
  <c r="AN26" i="59"/>
  <c r="AO26" i="59"/>
  <c r="AP26" i="59"/>
  <c r="AM27" i="59"/>
  <c r="AN27" i="59"/>
  <c r="AO27" i="59"/>
  <c r="AP27" i="59"/>
  <c r="AM29" i="59"/>
  <c r="AN29" i="59"/>
  <c r="AO29" i="59"/>
  <c r="AP29" i="59"/>
  <c r="AM30" i="59"/>
  <c r="AN30" i="59"/>
  <c r="AP30" i="59"/>
  <c r="AM31" i="59"/>
  <c r="AN31" i="59"/>
  <c r="AO31" i="59"/>
  <c r="AP31" i="59"/>
  <c r="AN32" i="59"/>
  <c r="AO32" i="59"/>
  <c r="AP32" i="59"/>
  <c r="AM33" i="59"/>
  <c r="AN33" i="59"/>
  <c r="AO33" i="59"/>
  <c r="AP33" i="59"/>
  <c r="AM34" i="59"/>
  <c r="AN34" i="59"/>
  <c r="AO34" i="59"/>
  <c r="AP34" i="59"/>
  <c r="AM35" i="59"/>
  <c r="AN35" i="59"/>
  <c r="AO35" i="59"/>
  <c r="AP35" i="59"/>
  <c r="AM37" i="59"/>
  <c r="AN37" i="59"/>
  <c r="AO37" i="59"/>
  <c r="AP37" i="59"/>
  <c r="U38" i="59"/>
  <c r="AC38" i="59"/>
  <c r="AD38" i="59"/>
  <c r="AE38" i="59"/>
  <c r="AF38" i="59"/>
  <c r="AL38" i="59"/>
  <c r="AM41" i="59"/>
  <c r="AN41" i="59"/>
  <c r="AO41" i="59"/>
  <c r="AM42" i="59"/>
  <c r="AN42" i="59"/>
  <c r="AO42" i="59"/>
  <c r="AM43" i="59"/>
  <c r="AN43" i="59"/>
  <c r="AO43" i="59"/>
  <c r="AM44" i="59"/>
  <c r="AN44" i="59"/>
  <c r="AO44" i="59"/>
  <c r="AM45" i="59"/>
  <c r="AN45" i="59"/>
  <c r="AO45" i="59"/>
  <c r="AM46" i="59"/>
  <c r="AN46" i="59"/>
  <c r="AO46" i="59"/>
  <c r="AM47" i="59"/>
  <c r="AN47" i="59"/>
  <c r="AO47" i="59"/>
  <c r="AM48" i="59"/>
  <c r="AN48" i="59"/>
  <c r="AO48" i="59"/>
  <c r="AM49" i="59"/>
  <c r="AN49" i="59"/>
  <c r="AM9" i="58"/>
  <c r="AN9" i="58"/>
  <c r="AO9" i="58"/>
  <c r="AP9" i="58"/>
  <c r="AM10" i="58"/>
  <c r="AN10" i="58"/>
  <c r="AO10" i="58"/>
  <c r="AM11" i="58"/>
  <c r="AN11" i="58"/>
  <c r="AO11" i="58"/>
  <c r="AP11" i="58"/>
  <c r="AM12" i="58"/>
  <c r="AN12" i="58"/>
  <c r="AO12" i="58"/>
  <c r="AP12" i="58"/>
  <c r="AM13" i="58"/>
  <c r="AN13" i="58"/>
  <c r="AO13" i="58"/>
  <c r="AP13" i="58"/>
  <c r="AM14" i="58"/>
  <c r="AN14" i="58"/>
  <c r="AO14" i="58"/>
  <c r="AP14" i="58"/>
  <c r="AM15" i="58"/>
  <c r="AN15" i="58"/>
  <c r="AO15" i="58"/>
  <c r="AP15" i="58"/>
  <c r="AM16" i="58"/>
  <c r="AN16" i="58"/>
  <c r="AO16" i="58"/>
  <c r="AP16" i="58"/>
  <c r="AM17" i="58"/>
  <c r="AN17" i="58"/>
  <c r="AO17" i="58"/>
  <c r="AP17" i="58"/>
  <c r="AM18" i="58"/>
  <c r="AN18" i="58"/>
  <c r="AO18" i="58"/>
  <c r="AP18" i="58"/>
  <c r="AM19" i="58"/>
  <c r="AN19" i="58"/>
  <c r="AO19" i="58"/>
  <c r="AP19" i="58"/>
  <c r="AM20" i="58"/>
  <c r="AN20" i="58"/>
  <c r="AO20" i="58"/>
  <c r="AP20" i="58"/>
  <c r="AM21" i="58"/>
  <c r="AN21" i="58"/>
  <c r="AO21" i="58"/>
  <c r="AP21" i="58"/>
  <c r="AM22" i="58"/>
  <c r="AN22" i="58"/>
  <c r="AO22" i="58"/>
  <c r="AP22" i="58"/>
  <c r="AM24" i="58"/>
  <c r="AN24" i="58"/>
  <c r="AO24" i="58"/>
  <c r="AP24" i="58"/>
  <c r="AM25" i="58"/>
  <c r="AN25" i="58"/>
  <c r="AO25" i="58"/>
  <c r="AP25" i="58"/>
  <c r="AM26" i="58"/>
  <c r="AN26" i="58"/>
  <c r="AO26" i="58"/>
  <c r="AP26" i="58"/>
  <c r="AM27" i="58"/>
  <c r="AN27" i="58"/>
  <c r="AO27" i="58"/>
  <c r="AP27" i="58"/>
  <c r="AM29" i="58"/>
  <c r="AN29" i="58"/>
  <c r="AO29" i="58"/>
  <c r="AP29" i="58"/>
  <c r="AM30" i="58"/>
  <c r="AO30" i="58"/>
  <c r="AP30" i="58"/>
  <c r="AM31" i="58"/>
  <c r="AN31" i="58"/>
  <c r="AO31" i="58"/>
  <c r="AP31" i="58"/>
  <c r="AO32" i="58"/>
  <c r="AP32" i="58"/>
  <c r="AM33" i="58"/>
  <c r="AN33" i="58"/>
  <c r="AO33" i="58"/>
  <c r="AP33" i="58"/>
  <c r="AM34" i="58"/>
  <c r="AN34" i="58"/>
  <c r="AO34" i="58"/>
  <c r="AP34" i="58"/>
  <c r="AM35" i="58"/>
  <c r="AN35" i="58"/>
  <c r="AO35" i="58"/>
  <c r="AP35" i="58"/>
  <c r="AM37" i="58"/>
  <c r="AN37" i="58"/>
  <c r="AO37" i="58"/>
  <c r="AP37" i="58"/>
  <c r="E38" i="58"/>
  <c r="I38" i="58"/>
  <c r="M38" i="58"/>
  <c r="AO41" i="58"/>
  <c r="AM42" i="58"/>
  <c r="AO42" i="58"/>
  <c r="AM43" i="58"/>
  <c r="AO43" i="58"/>
  <c r="AM44" i="58"/>
  <c r="AO44" i="58"/>
  <c r="AM45" i="58"/>
  <c r="AO45" i="58"/>
  <c r="AM46" i="58"/>
  <c r="AO46" i="58"/>
  <c r="AM47" i="58"/>
  <c r="AO47" i="58"/>
  <c r="AM48" i="58"/>
  <c r="AO48" i="58"/>
  <c r="AI8" i="57"/>
  <c r="AJ8" i="57"/>
  <c r="AI10" i="57"/>
  <c r="AJ10" i="57"/>
  <c r="K11" i="57"/>
  <c r="L11" i="57"/>
  <c r="M11" i="57"/>
  <c r="AK11" i="57"/>
  <c r="N11" i="57"/>
  <c r="K15" i="57"/>
  <c r="L15" i="57"/>
  <c r="M15" i="57"/>
  <c r="N15" i="57"/>
  <c r="AI16" i="57"/>
  <c r="AI18" i="57"/>
  <c r="K21" i="57"/>
  <c r="L21" i="57"/>
  <c r="M21" i="57"/>
  <c r="N21" i="57"/>
  <c r="AJ22" i="57"/>
  <c r="AI24" i="57"/>
  <c r="AJ24" i="57"/>
  <c r="K25" i="57"/>
  <c r="K31" i="57"/>
  <c r="L25" i="57"/>
  <c r="L31" i="57"/>
  <c r="L32" i="57"/>
  <c r="M25" i="57"/>
  <c r="AK25" i="57"/>
  <c r="N25" i="57"/>
  <c r="AI26" i="57"/>
  <c r="AI28" i="57"/>
  <c r="AJ28" i="57"/>
  <c r="AI30" i="57"/>
  <c r="AJ30" i="57"/>
  <c r="G32" i="57"/>
  <c r="H32" i="57"/>
  <c r="O32" i="57"/>
  <c r="S32" i="57"/>
  <c r="T32" i="57"/>
  <c r="W32" i="57"/>
  <c r="S8" i="56"/>
  <c r="T8" i="56"/>
  <c r="U8" i="56"/>
  <c r="V8" i="56"/>
  <c r="S9" i="56"/>
  <c r="T9" i="56"/>
  <c r="U9" i="56"/>
  <c r="V9" i="56"/>
  <c r="U10" i="56"/>
  <c r="V10" i="56"/>
  <c r="S12" i="56"/>
  <c r="T12" i="56"/>
  <c r="U12" i="56"/>
  <c r="V12" i="56"/>
  <c r="F13" i="56"/>
  <c r="J13" i="56"/>
  <c r="N13" i="56"/>
  <c r="R13" i="56"/>
  <c r="S14" i="56"/>
  <c r="T14" i="56"/>
  <c r="U14" i="56"/>
  <c r="V14" i="56"/>
  <c r="U15" i="56"/>
  <c r="V15" i="56"/>
  <c r="U16" i="56"/>
  <c r="V16" i="56"/>
  <c r="F17" i="56"/>
  <c r="J17" i="56"/>
  <c r="N17" i="56"/>
  <c r="R17" i="56"/>
  <c r="S17" i="56"/>
  <c r="T17" i="56"/>
  <c r="U17" i="56"/>
  <c r="S18" i="56"/>
  <c r="T18" i="56"/>
  <c r="U18" i="56"/>
  <c r="V18" i="56"/>
  <c r="U19" i="56"/>
  <c r="V19" i="56"/>
  <c r="F20" i="56"/>
  <c r="J20" i="56"/>
  <c r="J22" i="56" s="1"/>
  <c r="N20" i="56"/>
  <c r="S20" i="56"/>
  <c r="T20" i="56"/>
  <c r="U20" i="56"/>
  <c r="S21" i="56"/>
  <c r="T21" i="56"/>
  <c r="U21" i="56"/>
  <c r="S23" i="56"/>
  <c r="T23" i="56"/>
  <c r="U23" i="56"/>
  <c r="V23" i="56"/>
  <c r="S26" i="56"/>
  <c r="T26" i="56"/>
  <c r="U26" i="56"/>
  <c r="V26" i="56"/>
  <c r="S27" i="56"/>
  <c r="T27" i="56"/>
  <c r="U27" i="56"/>
  <c r="V27" i="56"/>
  <c r="S28" i="56"/>
  <c r="T28" i="56"/>
  <c r="U28" i="56"/>
  <c r="V28" i="56"/>
  <c r="F29" i="56"/>
  <c r="J29" i="56"/>
  <c r="N29" i="56"/>
  <c r="R29" i="56"/>
  <c r="S29" i="56"/>
  <c r="S30" i="56"/>
  <c r="T30" i="56"/>
  <c r="U30" i="56"/>
  <c r="V30" i="56"/>
  <c r="U32" i="56"/>
  <c r="V32" i="56"/>
  <c r="U33" i="56"/>
  <c r="V33" i="56"/>
  <c r="S34" i="56"/>
  <c r="T34" i="56"/>
  <c r="U34" i="56"/>
  <c r="V34" i="56"/>
  <c r="F35" i="56"/>
  <c r="J35" i="56"/>
  <c r="J46" i="56" s="1"/>
  <c r="N35" i="56"/>
  <c r="N46" i="56" s="1"/>
  <c r="R35" i="56"/>
  <c r="S36" i="56"/>
  <c r="T36" i="56"/>
  <c r="U36" i="56"/>
  <c r="S37" i="56"/>
  <c r="T37" i="56"/>
  <c r="U37" i="56"/>
  <c r="U38" i="56"/>
  <c r="F39" i="56"/>
  <c r="J39" i="56"/>
  <c r="N39" i="56"/>
  <c r="R39" i="56"/>
  <c r="S40" i="56"/>
  <c r="T40" i="56"/>
  <c r="U40" i="56"/>
  <c r="V40" i="56"/>
  <c r="S41" i="56"/>
  <c r="T41" i="56"/>
  <c r="U41" i="56"/>
  <c r="V41" i="56"/>
  <c r="S43" i="56"/>
  <c r="S45" i="56"/>
  <c r="T43" i="56"/>
  <c r="U43" i="56"/>
  <c r="V43" i="56"/>
  <c r="U44" i="56"/>
  <c r="V44" i="56"/>
  <c r="V45" i="56" s="1"/>
  <c r="F45" i="56"/>
  <c r="C46" i="56"/>
  <c r="C47" i="56"/>
  <c r="D46" i="56"/>
  <c r="D47" i="56"/>
  <c r="E46" i="56"/>
  <c r="E47" i="56"/>
  <c r="G46" i="56"/>
  <c r="G47" i="56"/>
  <c r="H46" i="56"/>
  <c r="H47" i="56"/>
  <c r="I46" i="56"/>
  <c r="I47" i="56"/>
  <c r="K46" i="56"/>
  <c r="K47" i="56"/>
  <c r="L46" i="56"/>
  <c r="L47" i="56"/>
  <c r="M46" i="56"/>
  <c r="M47" i="56"/>
  <c r="O46" i="56"/>
  <c r="O47" i="56"/>
  <c r="P46" i="56"/>
  <c r="P47" i="56"/>
  <c r="Q46" i="56"/>
  <c r="Q47" i="56"/>
  <c r="C8" i="55"/>
  <c r="D8" i="55"/>
  <c r="E8" i="55"/>
  <c r="F8" i="55"/>
  <c r="C9" i="55"/>
  <c r="D9" i="55"/>
  <c r="E9" i="55"/>
  <c r="F9" i="55"/>
  <c r="G9" i="55"/>
  <c r="H9" i="55"/>
  <c r="I9" i="55"/>
  <c r="K9" i="55"/>
  <c r="L9" i="55"/>
  <c r="M9" i="55"/>
  <c r="N9" i="55"/>
  <c r="O9" i="55"/>
  <c r="P9" i="55"/>
  <c r="Q9" i="55"/>
  <c r="R9" i="55"/>
  <c r="S9" i="55"/>
  <c r="T9" i="55"/>
  <c r="U9" i="55"/>
  <c r="V9" i="55"/>
  <c r="W9" i="55"/>
  <c r="X9" i="55"/>
  <c r="Y9" i="55"/>
  <c r="Z9" i="55"/>
  <c r="Z14" i="55" s="1"/>
  <c r="C10" i="55"/>
  <c r="D10" i="55"/>
  <c r="E10" i="55"/>
  <c r="F10" i="55"/>
  <c r="G10" i="55"/>
  <c r="H10" i="55"/>
  <c r="I10" i="55"/>
  <c r="M10" i="55"/>
  <c r="Q10" i="55"/>
  <c r="U10" i="55"/>
  <c r="Y10" i="55"/>
  <c r="K10" i="55"/>
  <c r="L10" i="55"/>
  <c r="N10" i="55"/>
  <c r="O10" i="55"/>
  <c r="P10" i="55"/>
  <c r="R10" i="55"/>
  <c r="S10" i="55"/>
  <c r="T10" i="55"/>
  <c r="V10" i="55"/>
  <c r="W10" i="55"/>
  <c r="X10" i="55"/>
  <c r="Z10" i="55"/>
  <c r="C11" i="55"/>
  <c r="D11" i="55"/>
  <c r="E11" i="55"/>
  <c r="F11" i="55"/>
  <c r="G11" i="55"/>
  <c r="H11" i="55"/>
  <c r="I11" i="55"/>
  <c r="K11" i="55"/>
  <c r="L11" i="55"/>
  <c r="M11" i="55"/>
  <c r="N11" i="55"/>
  <c r="O11" i="55"/>
  <c r="P11" i="55"/>
  <c r="Q11" i="55"/>
  <c r="R11" i="55"/>
  <c r="S11" i="55"/>
  <c r="T11" i="55"/>
  <c r="U11" i="55"/>
  <c r="V11" i="55"/>
  <c r="W11" i="55"/>
  <c r="X11" i="55"/>
  <c r="Y11" i="55"/>
  <c r="Z11" i="55"/>
  <c r="C13" i="55"/>
  <c r="D13" i="55"/>
  <c r="E13" i="55"/>
  <c r="F13" i="55"/>
  <c r="G13" i="55"/>
  <c r="H13" i="55"/>
  <c r="I13" i="55"/>
  <c r="K13" i="55"/>
  <c r="L13" i="55"/>
  <c r="M13" i="55"/>
  <c r="N13" i="55"/>
  <c r="O13" i="55"/>
  <c r="P13" i="55"/>
  <c r="Q13" i="55"/>
  <c r="R13" i="55"/>
  <c r="S13" i="55"/>
  <c r="T13" i="55"/>
  <c r="U13" i="55"/>
  <c r="V13" i="55"/>
  <c r="W13" i="55"/>
  <c r="X13" i="55"/>
  <c r="Y13" i="55"/>
  <c r="Z13" i="55"/>
  <c r="C15" i="55"/>
  <c r="D15" i="55"/>
  <c r="E15" i="55"/>
  <c r="F15" i="55"/>
  <c r="G15" i="55"/>
  <c r="H15" i="55"/>
  <c r="I15" i="55"/>
  <c r="K15" i="55"/>
  <c r="L15" i="55"/>
  <c r="M15" i="55"/>
  <c r="N15" i="55"/>
  <c r="O15" i="55"/>
  <c r="P15" i="55"/>
  <c r="Q15" i="55"/>
  <c r="R15" i="55"/>
  <c r="S15" i="55"/>
  <c r="T15" i="55"/>
  <c r="U15" i="55"/>
  <c r="V15" i="55"/>
  <c r="W15" i="55"/>
  <c r="X15" i="55"/>
  <c r="Y15" i="55"/>
  <c r="Z15" i="55"/>
  <c r="C16" i="55"/>
  <c r="D16" i="55"/>
  <c r="E16" i="55"/>
  <c r="F16" i="55"/>
  <c r="G16" i="55"/>
  <c r="H16" i="55"/>
  <c r="I16" i="55"/>
  <c r="K16" i="55"/>
  <c r="L16" i="55"/>
  <c r="M16" i="55"/>
  <c r="N16" i="55"/>
  <c r="O16" i="55"/>
  <c r="P16" i="55"/>
  <c r="Q16" i="55"/>
  <c r="R16" i="55"/>
  <c r="S16" i="55"/>
  <c r="T16" i="55"/>
  <c r="U16" i="55"/>
  <c r="V16" i="55"/>
  <c r="V18" i="55" s="1"/>
  <c r="W16" i="55"/>
  <c r="X16" i="55"/>
  <c r="Y16" i="55"/>
  <c r="Z16" i="55"/>
  <c r="C17" i="55"/>
  <c r="D17" i="55"/>
  <c r="E17" i="55"/>
  <c r="F17" i="55"/>
  <c r="G17" i="55"/>
  <c r="H17" i="55"/>
  <c r="I17" i="55"/>
  <c r="K17" i="55"/>
  <c r="L17" i="55"/>
  <c r="M17" i="55"/>
  <c r="N17" i="55"/>
  <c r="O17" i="55"/>
  <c r="P17" i="55"/>
  <c r="Q17" i="55"/>
  <c r="R17" i="55"/>
  <c r="S17" i="55"/>
  <c r="T17" i="55"/>
  <c r="U17" i="55"/>
  <c r="V17" i="55"/>
  <c r="W17" i="55"/>
  <c r="X17" i="55"/>
  <c r="Y17" i="55"/>
  <c r="Z17" i="55"/>
  <c r="C19" i="55"/>
  <c r="D19" i="55"/>
  <c r="E19" i="55"/>
  <c r="F19" i="55"/>
  <c r="G19" i="55"/>
  <c r="H19" i="55"/>
  <c r="I19" i="55"/>
  <c r="K19" i="55"/>
  <c r="L19" i="55"/>
  <c r="M19" i="55"/>
  <c r="N19" i="55"/>
  <c r="O19" i="55"/>
  <c r="P19" i="55"/>
  <c r="Q19" i="55"/>
  <c r="R19" i="55"/>
  <c r="S19" i="55"/>
  <c r="T19" i="55"/>
  <c r="U19" i="55"/>
  <c r="V19" i="55"/>
  <c r="V21" i="55" s="1"/>
  <c r="W19" i="55"/>
  <c r="X19" i="55"/>
  <c r="Y19" i="55"/>
  <c r="Z19" i="55"/>
  <c r="C20" i="55"/>
  <c r="D20" i="55"/>
  <c r="E20" i="55"/>
  <c r="F20" i="55"/>
  <c r="G20" i="55"/>
  <c r="H20" i="55"/>
  <c r="I20" i="55"/>
  <c r="K20" i="55"/>
  <c r="L20" i="55"/>
  <c r="M20" i="55"/>
  <c r="N20" i="55"/>
  <c r="O20" i="55"/>
  <c r="P20" i="55"/>
  <c r="Q20" i="55"/>
  <c r="R20" i="55"/>
  <c r="S20" i="55"/>
  <c r="T20" i="55"/>
  <c r="U20" i="55"/>
  <c r="V20" i="55"/>
  <c r="W20" i="55"/>
  <c r="X20" i="55"/>
  <c r="Y20" i="55"/>
  <c r="Z20" i="55"/>
  <c r="Z21" i="55" s="1"/>
  <c r="C22" i="55"/>
  <c r="D22" i="55"/>
  <c r="E22" i="55"/>
  <c r="F22" i="55"/>
  <c r="G22" i="55"/>
  <c r="H22" i="55"/>
  <c r="I22" i="55"/>
  <c r="K22" i="55"/>
  <c r="L22" i="55"/>
  <c r="M22" i="55"/>
  <c r="N22" i="55"/>
  <c r="O22" i="55"/>
  <c r="P22" i="55"/>
  <c r="Q22" i="55"/>
  <c r="R22" i="55"/>
  <c r="S22" i="55"/>
  <c r="T22" i="55"/>
  <c r="U22" i="55"/>
  <c r="V22" i="55"/>
  <c r="W22" i="55"/>
  <c r="X22" i="55"/>
  <c r="Y22" i="55"/>
  <c r="Z22" i="55"/>
  <c r="C24" i="55"/>
  <c r="D24" i="55"/>
  <c r="E24" i="55"/>
  <c r="F24" i="55"/>
  <c r="G24" i="55"/>
  <c r="H24" i="55"/>
  <c r="I24" i="55"/>
  <c r="K24" i="55"/>
  <c r="L24" i="55"/>
  <c r="M24" i="55"/>
  <c r="N24" i="55"/>
  <c r="O24" i="55"/>
  <c r="P24" i="55"/>
  <c r="Q24" i="55"/>
  <c r="R24" i="55"/>
  <c r="T24" i="55"/>
  <c r="U24" i="55"/>
  <c r="V24" i="55"/>
  <c r="W24" i="55"/>
  <c r="X24" i="55"/>
  <c r="Y24" i="55"/>
  <c r="Z24" i="55"/>
  <c r="C25" i="55"/>
  <c r="D25" i="55"/>
  <c r="E25" i="55"/>
  <c r="F25" i="55"/>
  <c r="G25" i="55"/>
  <c r="H25" i="55"/>
  <c r="I25" i="55"/>
  <c r="K25" i="55"/>
  <c r="L25" i="55"/>
  <c r="M25" i="55"/>
  <c r="N25" i="55"/>
  <c r="O25" i="55"/>
  <c r="P25" i="55"/>
  <c r="Q25" i="55"/>
  <c r="R25" i="55"/>
  <c r="S25" i="55"/>
  <c r="T25" i="55"/>
  <c r="U25" i="55"/>
  <c r="V25" i="55"/>
  <c r="W25" i="55"/>
  <c r="X25" i="55"/>
  <c r="Y25" i="55"/>
  <c r="Z25" i="55"/>
  <c r="C26" i="55"/>
  <c r="D26" i="55"/>
  <c r="E26" i="55"/>
  <c r="F26" i="55"/>
  <c r="G26" i="55"/>
  <c r="H26" i="55"/>
  <c r="L26" i="55"/>
  <c r="P26" i="55"/>
  <c r="T26" i="55"/>
  <c r="X26" i="55"/>
  <c r="I26" i="55"/>
  <c r="K26" i="55"/>
  <c r="M26" i="55"/>
  <c r="N26" i="55"/>
  <c r="O26" i="55"/>
  <c r="Q26" i="55"/>
  <c r="R26" i="55"/>
  <c r="S26" i="55"/>
  <c r="U26" i="55"/>
  <c r="V26" i="55"/>
  <c r="W26" i="55"/>
  <c r="Y26" i="55"/>
  <c r="Z26" i="55"/>
  <c r="C30" i="55"/>
  <c r="D30" i="55"/>
  <c r="E30" i="55"/>
  <c r="F30" i="55"/>
  <c r="G30" i="55"/>
  <c r="H30" i="55"/>
  <c r="I30" i="55"/>
  <c r="K30" i="55"/>
  <c r="L30" i="55"/>
  <c r="M30" i="55"/>
  <c r="N30" i="55"/>
  <c r="O30" i="55"/>
  <c r="P30" i="55"/>
  <c r="Q30" i="55"/>
  <c r="R30" i="55"/>
  <c r="S30" i="55"/>
  <c r="T30" i="55"/>
  <c r="U30" i="55"/>
  <c r="V30" i="55"/>
  <c r="W30" i="55"/>
  <c r="X30" i="55"/>
  <c r="Y30" i="55"/>
  <c r="Z30" i="55"/>
  <c r="C32" i="55"/>
  <c r="D32" i="55"/>
  <c r="E32" i="55"/>
  <c r="F32" i="55"/>
  <c r="G32" i="55"/>
  <c r="H32" i="55"/>
  <c r="I32" i="55"/>
  <c r="K32" i="55"/>
  <c r="L32" i="55"/>
  <c r="M32" i="55"/>
  <c r="N32" i="55"/>
  <c r="N37" i="55" s="1"/>
  <c r="O32" i="55"/>
  <c r="P32" i="55"/>
  <c r="Q32" i="55"/>
  <c r="R32" i="55"/>
  <c r="R37" i="55" s="1"/>
  <c r="S32" i="55"/>
  <c r="T32" i="55"/>
  <c r="U32" i="55"/>
  <c r="V32" i="55"/>
  <c r="W32" i="55"/>
  <c r="X32" i="55"/>
  <c r="Y32" i="55"/>
  <c r="Z32" i="55"/>
  <c r="C34" i="55"/>
  <c r="D34" i="55"/>
  <c r="E34" i="55"/>
  <c r="AD34" i="55"/>
  <c r="G34" i="55"/>
  <c r="H34" i="55"/>
  <c r="I34" i="55"/>
  <c r="K34" i="55"/>
  <c r="L34" i="55"/>
  <c r="M34" i="55"/>
  <c r="N34" i="55"/>
  <c r="O34" i="55"/>
  <c r="P34" i="55"/>
  <c r="Q34" i="55"/>
  <c r="R34" i="55"/>
  <c r="S34" i="55"/>
  <c r="T34" i="55"/>
  <c r="U34" i="55"/>
  <c r="V34" i="55"/>
  <c r="W34" i="55"/>
  <c r="X34" i="55"/>
  <c r="Y34" i="55"/>
  <c r="Z34" i="55"/>
  <c r="Z37" i="55"/>
  <c r="C36" i="55"/>
  <c r="D36" i="55"/>
  <c r="E36" i="55"/>
  <c r="F36" i="55"/>
  <c r="G36" i="55"/>
  <c r="H36" i="55"/>
  <c r="I36" i="55"/>
  <c r="K36" i="55"/>
  <c r="L36" i="55"/>
  <c r="M36" i="55"/>
  <c r="N36" i="55"/>
  <c r="O36" i="55"/>
  <c r="P36" i="55"/>
  <c r="Q36" i="55"/>
  <c r="R36" i="55"/>
  <c r="S36" i="55"/>
  <c r="T36" i="55"/>
  <c r="U36" i="55"/>
  <c r="V36" i="55"/>
  <c r="W36" i="55"/>
  <c r="X36" i="55"/>
  <c r="Y36" i="55"/>
  <c r="Z36" i="55"/>
  <c r="C38" i="55"/>
  <c r="D38" i="55"/>
  <c r="E38" i="55"/>
  <c r="F38" i="55"/>
  <c r="G38" i="55"/>
  <c r="H38" i="55"/>
  <c r="K38" i="55"/>
  <c r="L38" i="55"/>
  <c r="M38" i="55"/>
  <c r="N38" i="55"/>
  <c r="O38" i="55"/>
  <c r="P38" i="55"/>
  <c r="Q38" i="55"/>
  <c r="R38" i="55"/>
  <c r="S38" i="55"/>
  <c r="T38" i="55"/>
  <c r="U38" i="55"/>
  <c r="V38" i="55"/>
  <c r="W38" i="55"/>
  <c r="X38" i="55"/>
  <c r="Y38" i="55"/>
  <c r="Z38" i="55"/>
  <c r="Z41" i="55"/>
  <c r="C39" i="55"/>
  <c r="D39" i="55"/>
  <c r="E39" i="55"/>
  <c r="F39" i="55"/>
  <c r="G39" i="55"/>
  <c r="H39" i="55"/>
  <c r="I39" i="55"/>
  <c r="K39" i="55"/>
  <c r="L39" i="55"/>
  <c r="M39" i="55"/>
  <c r="N39" i="55"/>
  <c r="O39" i="55"/>
  <c r="P39" i="55"/>
  <c r="Q39" i="55"/>
  <c r="R39" i="55"/>
  <c r="S39" i="55"/>
  <c r="T39" i="55"/>
  <c r="U39" i="55"/>
  <c r="V39" i="55"/>
  <c r="W39" i="55"/>
  <c r="X39" i="55"/>
  <c r="Y39" i="55"/>
  <c r="Z39" i="55"/>
  <c r="C40" i="55"/>
  <c r="D40" i="55"/>
  <c r="E40" i="55"/>
  <c r="F40" i="55"/>
  <c r="G40" i="55"/>
  <c r="H40" i="55"/>
  <c r="I40" i="55"/>
  <c r="K40" i="55"/>
  <c r="L40" i="55"/>
  <c r="M40" i="55"/>
  <c r="N40" i="55"/>
  <c r="O40" i="55"/>
  <c r="P40" i="55"/>
  <c r="Q40" i="55"/>
  <c r="R40" i="55"/>
  <c r="S40" i="55"/>
  <c r="T40" i="55"/>
  <c r="U40" i="55"/>
  <c r="V40" i="55"/>
  <c r="W40" i="55"/>
  <c r="X40" i="55"/>
  <c r="Y40" i="55"/>
  <c r="Z40" i="55"/>
  <c r="C42" i="55"/>
  <c r="D42" i="55"/>
  <c r="E42" i="55"/>
  <c r="F42" i="55"/>
  <c r="G42" i="55"/>
  <c r="H42" i="55"/>
  <c r="I42" i="55"/>
  <c r="K42" i="55"/>
  <c r="L42" i="55"/>
  <c r="M42" i="55"/>
  <c r="N42" i="55"/>
  <c r="O42" i="55"/>
  <c r="P42" i="55"/>
  <c r="Q42" i="55"/>
  <c r="R42" i="55"/>
  <c r="S42" i="55"/>
  <c r="T42" i="55"/>
  <c r="U42" i="55"/>
  <c r="V42" i="55"/>
  <c r="W42" i="55"/>
  <c r="X42" i="55"/>
  <c r="Y42" i="55"/>
  <c r="Z42" i="55"/>
  <c r="C43" i="55"/>
  <c r="D43" i="55"/>
  <c r="E43" i="55"/>
  <c r="F43" i="55"/>
  <c r="G43" i="55"/>
  <c r="H43" i="55"/>
  <c r="I43" i="55"/>
  <c r="K43" i="55"/>
  <c r="L43" i="55"/>
  <c r="M43" i="55"/>
  <c r="N43" i="55"/>
  <c r="O43" i="55"/>
  <c r="P43" i="55"/>
  <c r="Q43" i="55"/>
  <c r="R43" i="55"/>
  <c r="S43" i="55"/>
  <c r="T43" i="55"/>
  <c r="U43" i="55"/>
  <c r="V43" i="55"/>
  <c r="W43" i="55"/>
  <c r="X43" i="55"/>
  <c r="Y43" i="55"/>
  <c r="Z43" i="55"/>
  <c r="C45" i="55"/>
  <c r="D45" i="55"/>
  <c r="E45" i="55"/>
  <c r="F45" i="55"/>
  <c r="G45" i="55"/>
  <c r="H45" i="55"/>
  <c r="I45" i="55"/>
  <c r="K45" i="55"/>
  <c r="L45" i="55"/>
  <c r="M45" i="55"/>
  <c r="N45" i="55"/>
  <c r="O45" i="55"/>
  <c r="P45" i="55"/>
  <c r="Q45" i="55"/>
  <c r="R45" i="55"/>
  <c r="S45" i="55"/>
  <c r="T45" i="55"/>
  <c r="T47" i="55"/>
  <c r="U45" i="55"/>
  <c r="V45" i="55"/>
  <c r="V47" i="55" s="1"/>
  <c r="W45" i="55"/>
  <c r="X45" i="55"/>
  <c r="Y45" i="55"/>
  <c r="Z45" i="55"/>
  <c r="Z47" i="55" s="1"/>
  <c r="C46" i="55"/>
  <c r="D46" i="55"/>
  <c r="E46" i="55"/>
  <c r="F46" i="55"/>
  <c r="G46" i="55"/>
  <c r="H46" i="55"/>
  <c r="I46" i="55"/>
  <c r="K46" i="55"/>
  <c r="L46" i="55"/>
  <c r="M46" i="55"/>
  <c r="N46" i="55"/>
  <c r="O46" i="55"/>
  <c r="P46" i="55"/>
  <c r="Q46" i="55"/>
  <c r="R46" i="55"/>
  <c r="S46" i="55"/>
  <c r="T46" i="55"/>
  <c r="U46" i="55"/>
  <c r="V46" i="55"/>
  <c r="W46" i="55"/>
  <c r="X46" i="55"/>
  <c r="Y46" i="55"/>
  <c r="Z46" i="55"/>
  <c r="C8" i="54"/>
  <c r="D8" i="54"/>
  <c r="E8" i="54"/>
  <c r="F8" i="54"/>
  <c r="AA9" i="54"/>
  <c r="AB9" i="54"/>
  <c r="AC9" i="54"/>
  <c r="AC10" i="54"/>
  <c r="AC11" i="54"/>
  <c r="AC13" i="54"/>
  <c r="AD9" i="54"/>
  <c r="AA10" i="54"/>
  <c r="AB10" i="54"/>
  <c r="AD10" i="54"/>
  <c r="AA11" i="54"/>
  <c r="AB11" i="54"/>
  <c r="AD11" i="54"/>
  <c r="AD13" i="54"/>
  <c r="AC15" i="54"/>
  <c r="AD15" i="54"/>
  <c r="AC16" i="54"/>
  <c r="AD16" i="54"/>
  <c r="AC17" i="54"/>
  <c r="AD17" i="54"/>
  <c r="AA19" i="54"/>
  <c r="AB19" i="54"/>
  <c r="AB21" i="54"/>
  <c r="AC19" i="54"/>
  <c r="AD19" i="54"/>
  <c r="AC20" i="54"/>
  <c r="AD20" i="54"/>
  <c r="AA22" i="54"/>
  <c r="AB22" i="54"/>
  <c r="AC22" i="54"/>
  <c r="AD22" i="54"/>
  <c r="AA24" i="54"/>
  <c r="AB24" i="54"/>
  <c r="AC24" i="54"/>
  <c r="AC25" i="54"/>
  <c r="AC26" i="54"/>
  <c r="AC30" i="54"/>
  <c r="AC32" i="54"/>
  <c r="AC34" i="54"/>
  <c r="AC36" i="54"/>
  <c r="AC38" i="54"/>
  <c r="AC39" i="54"/>
  <c r="AC40" i="54"/>
  <c r="AC42" i="54"/>
  <c r="AC43" i="54"/>
  <c r="AC45" i="54"/>
  <c r="AC46" i="54"/>
  <c r="AD24" i="54"/>
  <c r="AA25" i="54"/>
  <c r="AB25" i="54"/>
  <c r="AD25" i="54"/>
  <c r="AA26" i="54"/>
  <c r="AB26" i="54"/>
  <c r="AD26" i="54"/>
  <c r="AA30" i="54"/>
  <c r="AB30" i="54"/>
  <c r="AD30" i="54"/>
  <c r="AA32" i="54"/>
  <c r="AB32" i="54"/>
  <c r="AD32" i="54"/>
  <c r="AD34" i="54"/>
  <c r="AA36" i="54"/>
  <c r="AB36" i="54"/>
  <c r="AD36" i="54"/>
  <c r="AA38" i="54"/>
  <c r="AB38" i="54"/>
  <c r="AD38" i="54"/>
  <c r="AA39" i="54"/>
  <c r="AB39" i="54"/>
  <c r="AD39" i="54"/>
  <c r="AD40" i="54"/>
  <c r="AD41" i="54" s="1"/>
  <c r="AA42" i="54"/>
  <c r="AB42" i="54"/>
  <c r="AD42" i="54"/>
  <c r="AA43" i="54"/>
  <c r="AB43" i="54"/>
  <c r="AD43" i="54"/>
  <c r="AA45" i="54"/>
  <c r="AB45" i="54"/>
  <c r="AD45" i="54"/>
  <c r="AD46" i="54"/>
  <c r="C49" i="54"/>
  <c r="E49" i="54"/>
  <c r="K49" i="54"/>
  <c r="M49" i="54"/>
  <c r="Q49" i="54"/>
  <c r="D49" i="54"/>
  <c r="H49" i="54"/>
  <c r="S49" i="54"/>
  <c r="W49" i="54"/>
  <c r="X49" i="54"/>
  <c r="Y49" i="54"/>
  <c r="C8" i="53"/>
  <c r="D8" i="53"/>
  <c r="E8" i="53"/>
  <c r="F8" i="53"/>
  <c r="AA9" i="53"/>
  <c r="AB9" i="53"/>
  <c r="AC9" i="53"/>
  <c r="AD9" i="53"/>
  <c r="AA10" i="53"/>
  <c r="AB10" i="53"/>
  <c r="AC10" i="53"/>
  <c r="AD10" i="53"/>
  <c r="AA11" i="53"/>
  <c r="AB11" i="53"/>
  <c r="AC11" i="53"/>
  <c r="AD11" i="53"/>
  <c r="AC13" i="53"/>
  <c r="AD13" i="53"/>
  <c r="AB15" i="53"/>
  <c r="AC15" i="53"/>
  <c r="AD15" i="53"/>
  <c r="AC16" i="53"/>
  <c r="AD16" i="53"/>
  <c r="AC17" i="53"/>
  <c r="AD17" i="53"/>
  <c r="AA19" i="53"/>
  <c r="AB19" i="53"/>
  <c r="AC19" i="53"/>
  <c r="AD19" i="53"/>
  <c r="AC20" i="53"/>
  <c r="AD20" i="53"/>
  <c r="AA22" i="53"/>
  <c r="AB22" i="53"/>
  <c r="AC22" i="53"/>
  <c r="AD22" i="53"/>
  <c r="AA24" i="53"/>
  <c r="AB24" i="53"/>
  <c r="AC24" i="53"/>
  <c r="AD24" i="53"/>
  <c r="AA25" i="53"/>
  <c r="AB25" i="53"/>
  <c r="AC25" i="53"/>
  <c r="AD25" i="53"/>
  <c r="AA26" i="53"/>
  <c r="AB26" i="53"/>
  <c r="AC26" i="53"/>
  <c r="AD26" i="53"/>
  <c r="AA30" i="53"/>
  <c r="AB30" i="53"/>
  <c r="AC30" i="53"/>
  <c r="AD30" i="53"/>
  <c r="AA32" i="53"/>
  <c r="AB32" i="53"/>
  <c r="AC32" i="53"/>
  <c r="AD32" i="53"/>
  <c r="AC34" i="53"/>
  <c r="AD34" i="53"/>
  <c r="AA36" i="53"/>
  <c r="AB36" i="53"/>
  <c r="AC36" i="53"/>
  <c r="AD36" i="53"/>
  <c r="AA38" i="53"/>
  <c r="AB38" i="53"/>
  <c r="AC38" i="53"/>
  <c r="AD38" i="53"/>
  <c r="AA39" i="53"/>
  <c r="AB39" i="53"/>
  <c r="AC39" i="53"/>
  <c r="AD39" i="53"/>
  <c r="AC40" i="53"/>
  <c r="AD40" i="53"/>
  <c r="AA42" i="53"/>
  <c r="AB42" i="53"/>
  <c r="AC42" i="53"/>
  <c r="AD42" i="53"/>
  <c r="AA43" i="53"/>
  <c r="AB43" i="53"/>
  <c r="AC43" i="53"/>
  <c r="AD43" i="53"/>
  <c r="AA45" i="53"/>
  <c r="AB45" i="53"/>
  <c r="AC45" i="53"/>
  <c r="AD45" i="53"/>
  <c r="AC46" i="53"/>
  <c r="AD46" i="53"/>
  <c r="I49" i="53"/>
  <c r="K49" i="53"/>
  <c r="P49" i="53"/>
  <c r="Q49" i="53"/>
  <c r="T49" i="53"/>
  <c r="C8" i="52"/>
  <c r="D8" i="52"/>
  <c r="E8" i="52"/>
  <c r="F8" i="52"/>
  <c r="AA9" i="52"/>
  <c r="AB9" i="52"/>
  <c r="AC9" i="52"/>
  <c r="AD9" i="52"/>
  <c r="AA10" i="52"/>
  <c r="AB10" i="52"/>
  <c r="AC10" i="52"/>
  <c r="AD10" i="52"/>
  <c r="AA11" i="52"/>
  <c r="AB11" i="52"/>
  <c r="AC11" i="52"/>
  <c r="AD11" i="52"/>
  <c r="AC13" i="52"/>
  <c r="AD13" i="52"/>
  <c r="F14" i="52"/>
  <c r="AB15" i="52"/>
  <c r="AC15" i="52"/>
  <c r="AD15" i="52"/>
  <c r="AC16" i="52"/>
  <c r="AD16" i="52"/>
  <c r="AC17" i="52"/>
  <c r="AD17" i="52"/>
  <c r="AD18" i="52" s="1"/>
  <c r="F18" i="52"/>
  <c r="AA19" i="52"/>
  <c r="AB19" i="52"/>
  <c r="AB21" i="52"/>
  <c r="AC19" i="52"/>
  <c r="AC20" i="52"/>
  <c r="AD19" i="52"/>
  <c r="AD20" i="52"/>
  <c r="AD21" i="52" s="1"/>
  <c r="F21" i="52"/>
  <c r="AA22" i="52"/>
  <c r="AB22" i="52"/>
  <c r="AC22" i="52"/>
  <c r="AD22" i="52"/>
  <c r="AA24" i="52"/>
  <c r="AB24" i="52"/>
  <c r="AC24" i="52"/>
  <c r="AD24" i="52"/>
  <c r="AA25" i="52"/>
  <c r="AB25" i="52"/>
  <c r="AC25" i="52"/>
  <c r="AD25" i="52"/>
  <c r="AA26" i="52"/>
  <c r="AB26" i="52"/>
  <c r="AC26" i="52"/>
  <c r="AD26" i="52"/>
  <c r="AA30" i="52"/>
  <c r="AB30" i="52"/>
  <c r="AC30" i="52"/>
  <c r="AD30" i="52"/>
  <c r="AA32" i="52"/>
  <c r="AA37" i="52"/>
  <c r="AB32" i="52"/>
  <c r="AC32" i="52"/>
  <c r="AD32" i="52"/>
  <c r="AC34" i="52"/>
  <c r="AA36" i="52"/>
  <c r="AB36" i="52"/>
  <c r="AC36" i="52"/>
  <c r="AD36" i="52"/>
  <c r="F37" i="52"/>
  <c r="J37" i="52"/>
  <c r="R37" i="52"/>
  <c r="V37" i="52"/>
  <c r="Z37" i="52"/>
  <c r="AA38" i="52"/>
  <c r="AB38" i="52"/>
  <c r="AC38" i="52"/>
  <c r="AD38" i="52"/>
  <c r="AA39" i="52"/>
  <c r="AB39" i="52"/>
  <c r="AC39" i="52"/>
  <c r="AD39" i="52"/>
  <c r="AC40" i="52"/>
  <c r="AD40" i="52"/>
  <c r="AA42" i="52"/>
  <c r="AB42" i="52"/>
  <c r="AD42" i="52"/>
  <c r="AA43" i="52"/>
  <c r="AB43" i="52"/>
  <c r="AC43" i="52"/>
  <c r="AD43" i="52"/>
  <c r="AA45" i="52"/>
  <c r="AA47" i="52"/>
  <c r="AB45" i="52"/>
  <c r="AC45" i="52"/>
  <c r="AD45" i="52"/>
  <c r="AC46" i="52"/>
  <c r="AD46" i="52"/>
  <c r="AD47" i="52" s="1"/>
  <c r="F47" i="52"/>
  <c r="J47" i="52"/>
  <c r="N47" i="52"/>
  <c r="R47" i="52"/>
  <c r="V47" i="52"/>
  <c r="Z47" i="52"/>
  <c r="A4" i="51"/>
  <c r="A4" i="52"/>
  <c r="A4" i="53"/>
  <c r="A4" i="54"/>
  <c r="A4" i="55"/>
  <c r="A3" i="56"/>
  <c r="A3" i="57"/>
  <c r="C8" i="51"/>
  <c r="D8" i="51"/>
  <c r="E8" i="51"/>
  <c r="F8" i="51"/>
  <c r="AA9" i="51"/>
  <c r="AB9" i="51"/>
  <c r="AC9" i="51"/>
  <c r="AD9" i="51"/>
  <c r="AA10" i="51"/>
  <c r="AB10" i="51"/>
  <c r="AC10" i="51"/>
  <c r="AD10" i="51"/>
  <c r="AA11" i="51"/>
  <c r="AB11" i="51"/>
  <c r="AC11" i="51"/>
  <c r="AD11" i="51"/>
  <c r="AC13" i="51"/>
  <c r="AD13" i="51"/>
  <c r="F14" i="51"/>
  <c r="AA15" i="51"/>
  <c r="AB15" i="51"/>
  <c r="AC15" i="51"/>
  <c r="AD15" i="51"/>
  <c r="AC16" i="51"/>
  <c r="AD16" i="51"/>
  <c r="AC17" i="51"/>
  <c r="AD17" i="51"/>
  <c r="AA19" i="51"/>
  <c r="AB19" i="51"/>
  <c r="AC19" i="51"/>
  <c r="AD19" i="51"/>
  <c r="AC20" i="51"/>
  <c r="AD20" i="51"/>
  <c r="F21" i="51"/>
  <c r="AA22" i="51"/>
  <c r="AB22" i="51"/>
  <c r="AC22" i="51"/>
  <c r="AD22" i="51"/>
  <c r="AA24" i="51"/>
  <c r="AB24" i="51"/>
  <c r="AC24" i="51"/>
  <c r="AD24" i="51"/>
  <c r="AA25" i="51"/>
  <c r="AB25" i="51"/>
  <c r="AC25" i="51"/>
  <c r="AD25" i="51"/>
  <c r="AA26" i="51"/>
  <c r="AB26" i="51"/>
  <c r="AC26" i="51"/>
  <c r="AD26" i="51"/>
  <c r="AA30" i="51"/>
  <c r="AB30" i="51"/>
  <c r="AC30" i="51"/>
  <c r="AD30" i="51"/>
  <c r="F31" i="51"/>
  <c r="AB32" i="51"/>
  <c r="AC32" i="51"/>
  <c r="AC34" i="51"/>
  <c r="AC36" i="51"/>
  <c r="AD32" i="51"/>
  <c r="AD34" i="51"/>
  <c r="AB36" i="51"/>
  <c r="AD36" i="51"/>
  <c r="F37" i="51"/>
  <c r="AA38" i="51"/>
  <c r="AB38" i="51"/>
  <c r="AC38" i="51"/>
  <c r="AC39" i="51"/>
  <c r="AC40" i="51"/>
  <c r="AD38" i="51"/>
  <c r="AA39" i="51"/>
  <c r="AB39" i="51"/>
  <c r="AD39" i="51"/>
  <c r="AD40" i="51"/>
  <c r="AA42" i="51"/>
  <c r="AB42" i="51"/>
  <c r="AC42" i="51"/>
  <c r="AD42" i="51"/>
  <c r="AA43" i="51"/>
  <c r="AB43" i="51"/>
  <c r="AC43" i="51"/>
  <c r="AD43" i="51"/>
  <c r="AA45" i="51"/>
  <c r="AB45" i="51"/>
  <c r="AC45" i="51"/>
  <c r="AC45" i="50"/>
  <c r="AC46" i="51"/>
  <c r="AD46" i="51"/>
  <c r="F47" i="51"/>
  <c r="D49" i="51"/>
  <c r="G8" i="50"/>
  <c r="G8" i="54"/>
  <c r="H8" i="50"/>
  <c r="H8" i="52"/>
  <c r="I8" i="50"/>
  <c r="I8" i="54"/>
  <c r="J8" i="50"/>
  <c r="J8" i="54"/>
  <c r="AA9" i="50"/>
  <c r="AC9" i="50"/>
  <c r="AD9" i="50"/>
  <c r="AA10" i="50"/>
  <c r="AC10" i="50"/>
  <c r="AD10" i="50"/>
  <c r="AA11" i="50"/>
  <c r="AC11" i="50"/>
  <c r="AD11" i="50"/>
  <c r="AC13" i="50"/>
  <c r="AD13" i="50"/>
  <c r="F14" i="50"/>
  <c r="J14" i="50"/>
  <c r="N14" i="50"/>
  <c r="R14" i="50"/>
  <c r="V14" i="50"/>
  <c r="Z14" i="50"/>
  <c r="AC15" i="50"/>
  <c r="AD15" i="50"/>
  <c r="AC16" i="50"/>
  <c r="AD16" i="50"/>
  <c r="AC17" i="50"/>
  <c r="AD17" i="50"/>
  <c r="F18" i="50"/>
  <c r="J18" i="50"/>
  <c r="N18" i="50"/>
  <c r="R18" i="50"/>
  <c r="V18" i="50"/>
  <c r="AA19" i="50"/>
  <c r="AB19" i="50"/>
  <c r="AC19" i="50"/>
  <c r="AD19" i="50"/>
  <c r="AC20" i="50"/>
  <c r="AD20" i="50"/>
  <c r="AD21" i="50" s="1"/>
  <c r="F21" i="50"/>
  <c r="J21" i="50"/>
  <c r="N21" i="50"/>
  <c r="R21" i="50"/>
  <c r="Z21" i="50"/>
  <c r="AC21" i="50"/>
  <c r="AA22" i="50"/>
  <c r="AB22" i="50"/>
  <c r="AC22" i="50"/>
  <c r="AD22" i="50"/>
  <c r="AA24" i="50"/>
  <c r="AB24" i="50"/>
  <c r="AB25" i="50"/>
  <c r="AB26" i="50"/>
  <c r="AB30" i="50"/>
  <c r="AB38" i="50"/>
  <c r="AB39" i="50"/>
  <c r="AB42" i="50"/>
  <c r="AB43" i="50"/>
  <c r="AB45" i="50"/>
  <c r="AB32" i="50"/>
  <c r="AB36" i="50"/>
  <c r="AC24" i="50"/>
  <c r="AD24" i="50"/>
  <c r="AA25" i="50"/>
  <c r="AC25" i="50"/>
  <c r="AD25" i="50"/>
  <c r="AA26" i="50"/>
  <c r="AC26" i="50"/>
  <c r="AD26" i="50"/>
  <c r="AA30" i="50"/>
  <c r="AC30" i="50"/>
  <c r="AD30" i="50"/>
  <c r="F31" i="50"/>
  <c r="J31" i="50"/>
  <c r="N31" i="50"/>
  <c r="R31" i="50"/>
  <c r="Z31" i="50"/>
  <c r="AA32" i="50"/>
  <c r="AC32" i="50"/>
  <c r="AD32" i="50"/>
  <c r="AC34" i="50"/>
  <c r="AD34" i="50"/>
  <c r="AA36" i="50"/>
  <c r="AC36" i="50"/>
  <c r="AD36" i="50"/>
  <c r="F37" i="50"/>
  <c r="J37" i="50"/>
  <c r="N37" i="50"/>
  <c r="R37" i="50"/>
  <c r="V37" i="50"/>
  <c r="Z37" i="50"/>
  <c r="AA38" i="50"/>
  <c r="AC38" i="50"/>
  <c r="AD38" i="50"/>
  <c r="AA39" i="50"/>
  <c r="AC39" i="50"/>
  <c r="AD39" i="50"/>
  <c r="AC40" i="50"/>
  <c r="AD40" i="50"/>
  <c r="AA42" i="50"/>
  <c r="AC42" i="50"/>
  <c r="AD42" i="50"/>
  <c r="AA43" i="50"/>
  <c r="AC43" i="50"/>
  <c r="AD43" i="50"/>
  <c r="AA45" i="50"/>
  <c r="AD45" i="50"/>
  <c r="AC46" i="50"/>
  <c r="AD46" i="50"/>
  <c r="AD47" i="50" s="1"/>
  <c r="F47" i="50"/>
  <c r="J47" i="50"/>
  <c r="N47" i="50"/>
  <c r="R47" i="50"/>
  <c r="V47" i="50"/>
  <c r="Z47" i="50"/>
  <c r="E49" i="50"/>
  <c r="G49" i="50"/>
  <c r="H49" i="50"/>
  <c r="O49" i="50"/>
  <c r="P49" i="50"/>
  <c r="S49" i="50"/>
  <c r="T49" i="50"/>
  <c r="U49" i="50"/>
  <c r="Y49" i="50"/>
  <c r="H8" i="49"/>
  <c r="N8" i="49"/>
  <c r="T8" i="49"/>
  <c r="I8" i="49"/>
  <c r="O8" i="49"/>
  <c r="U8" i="49"/>
  <c r="J8" i="49"/>
  <c r="P8" i="49"/>
  <c r="V8" i="49"/>
  <c r="K8" i="49"/>
  <c r="Q8" i="49"/>
  <c r="W8" i="49"/>
  <c r="L8" i="49"/>
  <c r="R8" i="49"/>
  <c r="X8" i="49"/>
  <c r="M8" i="49"/>
  <c r="S8" i="49"/>
  <c r="Y8" i="49"/>
  <c r="T9" i="49"/>
  <c r="U9" i="49"/>
  <c r="V9" i="49"/>
  <c r="W9" i="49"/>
  <c r="X9" i="49"/>
  <c r="T10" i="49"/>
  <c r="U10" i="49"/>
  <c r="V10" i="49"/>
  <c r="W10" i="49"/>
  <c r="X10" i="49"/>
  <c r="T11" i="49"/>
  <c r="U11" i="49"/>
  <c r="V11" i="49"/>
  <c r="W11" i="49"/>
  <c r="X11" i="49"/>
  <c r="N12" i="49"/>
  <c r="O12" i="49"/>
  <c r="P12" i="49"/>
  <c r="Q12" i="49"/>
  <c r="R12" i="49"/>
  <c r="S12" i="49"/>
  <c r="T13" i="49"/>
  <c r="U13" i="49"/>
  <c r="V13" i="49"/>
  <c r="W13" i="49"/>
  <c r="X13" i="49"/>
  <c r="J23" i="48"/>
  <c r="Z23" i="48"/>
  <c r="X23" i="48"/>
  <c r="R10" i="47"/>
  <c r="R20" i="47"/>
  <c r="K12" i="47"/>
  <c r="N20" i="47"/>
  <c r="O20" i="47"/>
  <c r="P20" i="47"/>
  <c r="Q20" i="47"/>
  <c r="N21" i="47"/>
  <c r="O21" i="47"/>
  <c r="P21" i="47"/>
  <c r="Q21" i="47"/>
  <c r="N22" i="47"/>
  <c r="O22" i="47"/>
  <c r="P22" i="47"/>
  <c r="Q22" i="47"/>
  <c r="N23" i="47"/>
  <c r="O23" i="47"/>
  <c r="P23" i="47"/>
  <c r="Q23" i="47"/>
  <c r="N24" i="47"/>
  <c r="O24" i="47"/>
  <c r="P24" i="47"/>
  <c r="Q24" i="47"/>
  <c r="B99" i="46"/>
  <c r="A3" i="45"/>
  <c r="C10" i="45"/>
  <c r="G10" i="45"/>
  <c r="K10" i="45"/>
  <c r="O10" i="45"/>
  <c r="S10" i="45"/>
  <c r="E10" i="45"/>
  <c r="I10" i="45"/>
  <c r="M10" i="45"/>
  <c r="Q10" i="45"/>
  <c r="U10" i="45"/>
  <c r="C12" i="45"/>
  <c r="H12" i="45"/>
  <c r="C13" i="45"/>
  <c r="L13" i="45"/>
  <c r="C14" i="45"/>
  <c r="H14" i="45"/>
  <c r="I15" i="45"/>
  <c r="I20" i="45"/>
  <c r="M15" i="45"/>
  <c r="M20" i="45"/>
  <c r="Q15" i="45"/>
  <c r="Q20" i="45"/>
  <c r="U15" i="45"/>
  <c r="U20" i="45"/>
  <c r="C16" i="45"/>
  <c r="T16" i="45"/>
  <c r="C17" i="45"/>
  <c r="T17" i="45"/>
  <c r="C18" i="45"/>
  <c r="L18" i="45"/>
  <c r="C19" i="45"/>
  <c r="H19" i="45"/>
  <c r="H22" i="45"/>
  <c r="H23" i="45"/>
  <c r="H24" i="45"/>
  <c r="H25" i="45"/>
  <c r="I26" i="45"/>
  <c r="I35" i="45"/>
  <c r="M26" i="45"/>
  <c r="M35" i="45"/>
  <c r="Q26" i="45"/>
  <c r="Q35" i="45"/>
  <c r="U26" i="45"/>
  <c r="U35" i="45"/>
  <c r="C27" i="45"/>
  <c r="H27" i="45"/>
  <c r="C29" i="45"/>
  <c r="L29" i="45"/>
  <c r="C30" i="45"/>
  <c r="H30" i="45"/>
  <c r="C31" i="45"/>
  <c r="P31" i="45"/>
  <c r="C32" i="45"/>
  <c r="H32" i="45"/>
  <c r="C33" i="45"/>
  <c r="T33" i="45"/>
  <c r="C34" i="45"/>
  <c r="H34" i="45"/>
  <c r="E12" i="44"/>
  <c r="H12" i="44"/>
  <c r="K12" i="44"/>
  <c r="N12" i="44"/>
  <c r="T12" i="44"/>
  <c r="E13" i="44"/>
  <c r="H13" i="44"/>
  <c r="K13" i="44"/>
  <c r="N13" i="44"/>
  <c r="T13" i="44"/>
  <c r="E14" i="44"/>
  <c r="K14" i="44"/>
  <c r="N14" i="44"/>
  <c r="T14" i="44"/>
  <c r="D15" i="44"/>
  <c r="E15" i="44"/>
  <c r="G15" i="44"/>
  <c r="G20" i="44"/>
  <c r="H20" i="44"/>
  <c r="J15" i="44"/>
  <c r="J20" i="44"/>
  <c r="M15" i="44"/>
  <c r="M20" i="44"/>
  <c r="S15" i="44"/>
  <c r="S20" i="44"/>
  <c r="E16" i="44"/>
  <c r="K16" i="44"/>
  <c r="N16" i="44"/>
  <c r="T16" i="44"/>
  <c r="E17" i="44"/>
  <c r="K17" i="44"/>
  <c r="N17" i="44"/>
  <c r="T17" i="44"/>
  <c r="E18" i="44"/>
  <c r="H18" i="44"/>
  <c r="K18" i="44"/>
  <c r="N18" i="44"/>
  <c r="T18" i="44"/>
  <c r="E19" i="44"/>
  <c r="H19" i="44"/>
  <c r="K19" i="44"/>
  <c r="N19" i="44"/>
  <c r="T19" i="44"/>
  <c r="E22" i="44"/>
  <c r="H22" i="44"/>
  <c r="K22" i="44"/>
  <c r="N22" i="44"/>
  <c r="T22" i="44"/>
  <c r="E23" i="44"/>
  <c r="H23" i="44"/>
  <c r="K23" i="44"/>
  <c r="N23" i="44"/>
  <c r="T23" i="44"/>
  <c r="E24" i="44"/>
  <c r="K24" i="44"/>
  <c r="N24" i="44"/>
  <c r="T24" i="44"/>
  <c r="E25" i="44"/>
  <c r="K25" i="44"/>
  <c r="N25" i="44"/>
  <c r="T25" i="44"/>
  <c r="D26" i="44"/>
  <c r="E26" i="44"/>
  <c r="G26" i="44"/>
  <c r="H26" i="44"/>
  <c r="M26" i="44"/>
  <c r="N26" i="44"/>
  <c r="S26" i="44"/>
  <c r="T26" i="44"/>
  <c r="V26" i="44"/>
  <c r="V35" i="44"/>
  <c r="E27" i="44"/>
  <c r="K27" i="44"/>
  <c r="N27" i="44"/>
  <c r="T27" i="44"/>
  <c r="E29" i="44"/>
  <c r="K29" i="44"/>
  <c r="N29" i="44"/>
  <c r="T29" i="44"/>
  <c r="E30" i="44"/>
  <c r="K30" i="44"/>
  <c r="N30" i="44"/>
  <c r="T30" i="44"/>
  <c r="E31" i="44"/>
  <c r="K31" i="44"/>
  <c r="N31" i="44"/>
  <c r="T31" i="44"/>
  <c r="E32" i="44"/>
  <c r="H32" i="44"/>
  <c r="K32" i="44"/>
  <c r="N32" i="44"/>
  <c r="T32" i="44"/>
  <c r="E33" i="44"/>
  <c r="K33" i="44"/>
  <c r="N33" i="44"/>
  <c r="T33" i="44"/>
  <c r="K34" i="44"/>
  <c r="N34" i="44"/>
  <c r="T34" i="44"/>
  <c r="F36" i="44"/>
  <c r="I36" i="44"/>
  <c r="L36" i="44"/>
  <c r="R35" i="44"/>
  <c r="R36" i="44"/>
  <c r="U35" i="44"/>
  <c r="U36" i="44"/>
  <c r="D14" i="43"/>
  <c r="D19" i="43"/>
  <c r="F14" i="43"/>
  <c r="H14" i="43"/>
  <c r="H19" i="43"/>
  <c r="H25" i="43"/>
  <c r="H34" i="43"/>
  <c r="D25" i="43"/>
  <c r="D34" i="43"/>
  <c r="F25" i="43"/>
  <c r="F34" i="43"/>
  <c r="C72" i="41"/>
  <c r="D39" i="41"/>
  <c r="E72" i="41"/>
  <c r="F42" i="41"/>
  <c r="A3" i="40"/>
  <c r="C10" i="40"/>
  <c r="D10" i="40"/>
  <c r="E10" i="40"/>
  <c r="F10" i="40"/>
  <c r="G10" i="40"/>
  <c r="H10" i="40"/>
  <c r="I10" i="40"/>
  <c r="J10" i="40"/>
  <c r="K10" i="40"/>
  <c r="L10" i="40"/>
  <c r="M10" i="40"/>
  <c r="N10" i="40"/>
  <c r="O10" i="40"/>
  <c r="P10" i="40"/>
  <c r="Q10" i="40"/>
  <c r="R10" i="40"/>
  <c r="S10" i="40"/>
  <c r="C11" i="40"/>
  <c r="D11" i="40"/>
  <c r="E11" i="40"/>
  <c r="F11" i="40"/>
  <c r="G11" i="40"/>
  <c r="H11" i="40"/>
  <c r="I11" i="40"/>
  <c r="J11" i="40"/>
  <c r="K11" i="40"/>
  <c r="L11" i="40"/>
  <c r="M11" i="40"/>
  <c r="N11" i="40"/>
  <c r="O11" i="40"/>
  <c r="P11" i="40"/>
  <c r="Q11" i="40"/>
  <c r="R11" i="40"/>
  <c r="S11" i="40"/>
  <c r="C12" i="40"/>
  <c r="D12" i="40"/>
  <c r="E12" i="40"/>
  <c r="F12" i="40"/>
  <c r="G12" i="40"/>
  <c r="H12" i="40"/>
  <c r="I12" i="40"/>
  <c r="J12" i="40"/>
  <c r="K12" i="40"/>
  <c r="L12" i="40"/>
  <c r="M12" i="40"/>
  <c r="N12" i="40"/>
  <c r="O12" i="40"/>
  <c r="P12" i="40"/>
  <c r="Q12" i="40"/>
  <c r="R12" i="40"/>
  <c r="S12" i="40"/>
  <c r="C13" i="40"/>
  <c r="D13" i="40"/>
  <c r="E13" i="40"/>
  <c r="F13" i="40"/>
  <c r="G13" i="40"/>
  <c r="H13" i="40"/>
  <c r="I13" i="40"/>
  <c r="J13" i="40"/>
  <c r="K13" i="40"/>
  <c r="L13" i="40"/>
  <c r="M13" i="40"/>
  <c r="N13" i="40"/>
  <c r="O13" i="40"/>
  <c r="P13" i="40"/>
  <c r="Q13" i="40"/>
  <c r="R13" i="40"/>
  <c r="S13" i="40"/>
  <c r="C14" i="40"/>
  <c r="D14" i="40"/>
  <c r="E14" i="40"/>
  <c r="F14" i="40"/>
  <c r="G14" i="40"/>
  <c r="H14" i="40"/>
  <c r="I14" i="40"/>
  <c r="J14" i="40"/>
  <c r="K14" i="40"/>
  <c r="L14" i="40"/>
  <c r="M14" i="40"/>
  <c r="N14" i="40"/>
  <c r="O14" i="40"/>
  <c r="P14" i="40"/>
  <c r="Q14" i="40"/>
  <c r="R14" i="40"/>
  <c r="S14" i="40"/>
  <c r="C15" i="40"/>
  <c r="D15" i="40"/>
  <c r="E15" i="40"/>
  <c r="F15" i="40"/>
  <c r="G15" i="40"/>
  <c r="H15" i="40"/>
  <c r="I15" i="40"/>
  <c r="J15" i="40"/>
  <c r="K15" i="40"/>
  <c r="L15" i="40"/>
  <c r="M15" i="40"/>
  <c r="N15" i="40"/>
  <c r="O15" i="40"/>
  <c r="P15" i="40"/>
  <c r="Q15" i="40"/>
  <c r="R15" i="40"/>
  <c r="S15" i="40"/>
  <c r="C16" i="40"/>
  <c r="D16" i="40"/>
  <c r="E16" i="40"/>
  <c r="F16" i="40"/>
  <c r="G16" i="40"/>
  <c r="H16" i="40"/>
  <c r="I16" i="40"/>
  <c r="J16" i="40"/>
  <c r="K16" i="40"/>
  <c r="L16" i="40"/>
  <c r="M16" i="40"/>
  <c r="N16" i="40"/>
  <c r="O16" i="40"/>
  <c r="P16" i="40"/>
  <c r="Q16" i="40"/>
  <c r="R16" i="40"/>
  <c r="S16" i="40"/>
  <c r="C17" i="40"/>
  <c r="D17" i="40"/>
  <c r="E17" i="40"/>
  <c r="F17" i="40"/>
  <c r="G17" i="40"/>
  <c r="H17" i="40"/>
  <c r="I17" i="40"/>
  <c r="J17" i="40"/>
  <c r="K17" i="40"/>
  <c r="L17" i="40"/>
  <c r="M17" i="40"/>
  <c r="N17" i="40"/>
  <c r="O17" i="40"/>
  <c r="P17" i="40"/>
  <c r="Q17" i="40"/>
  <c r="R17" i="40"/>
  <c r="S17" i="40"/>
  <c r="C18" i="40"/>
  <c r="D18" i="40"/>
  <c r="E18" i="40"/>
  <c r="F18" i="40"/>
  <c r="G18" i="40"/>
  <c r="H18" i="40"/>
  <c r="I18" i="40"/>
  <c r="J18" i="40"/>
  <c r="K18" i="40"/>
  <c r="L18" i="40"/>
  <c r="M18" i="40"/>
  <c r="N18" i="40"/>
  <c r="O18" i="40"/>
  <c r="P18" i="40"/>
  <c r="Q18" i="40"/>
  <c r="R18" i="40"/>
  <c r="S18" i="40"/>
  <c r="C19" i="40"/>
  <c r="D19" i="40"/>
  <c r="E19" i="40"/>
  <c r="F19" i="40"/>
  <c r="G19" i="40"/>
  <c r="H19" i="40"/>
  <c r="I19" i="40"/>
  <c r="J19" i="40"/>
  <c r="K19" i="40"/>
  <c r="L19" i="40"/>
  <c r="M19" i="40"/>
  <c r="N19" i="40"/>
  <c r="O19" i="40"/>
  <c r="P19" i="40"/>
  <c r="Q19" i="40"/>
  <c r="R19" i="40"/>
  <c r="S19" i="40"/>
  <c r="C20" i="40"/>
  <c r="D20" i="40"/>
  <c r="E20" i="40"/>
  <c r="F20" i="40"/>
  <c r="G20" i="40"/>
  <c r="H20" i="40"/>
  <c r="I20" i="40"/>
  <c r="J20" i="40"/>
  <c r="K20" i="40"/>
  <c r="L20" i="40"/>
  <c r="M20" i="40"/>
  <c r="N20" i="40"/>
  <c r="O20" i="40"/>
  <c r="P20" i="40"/>
  <c r="Q20" i="40"/>
  <c r="R20" i="40"/>
  <c r="S20" i="40"/>
  <c r="C23" i="40"/>
  <c r="D23" i="40"/>
  <c r="E23" i="40"/>
  <c r="F23" i="40"/>
  <c r="G23" i="40"/>
  <c r="H23" i="40"/>
  <c r="I23" i="40"/>
  <c r="J23" i="40"/>
  <c r="K23" i="40"/>
  <c r="L23" i="40"/>
  <c r="M23" i="40"/>
  <c r="N23" i="40"/>
  <c r="O23" i="40"/>
  <c r="P23" i="40"/>
  <c r="Q23" i="40"/>
  <c r="R23" i="40"/>
  <c r="S23" i="40"/>
  <c r="T45" i="40"/>
  <c r="T46" i="40"/>
  <c r="T47" i="40"/>
  <c r="T48" i="40"/>
  <c r="T49" i="40"/>
  <c r="T52" i="40"/>
  <c r="T55" i="40"/>
  <c r="T58" i="40"/>
  <c r="C59" i="40"/>
  <c r="D59" i="40"/>
  <c r="E59" i="40"/>
  <c r="F59" i="40"/>
  <c r="G59" i="40"/>
  <c r="H59" i="40"/>
  <c r="I59" i="40"/>
  <c r="J59" i="40"/>
  <c r="K59" i="40"/>
  <c r="L59" i="40"/>
  <c r="M59" i="40"/>
  <c r="N59" i="40"/>
  <c r="O59" i="40"/>
  <c r="P59" i="40"/>
  <c r="Q59" i="40"/>
  <c r="R59" i="40"/>
  <c r="S59" i="40"/>
  <c r="E24" i="39"/>
  <c r="O24" i="39"/>
  <c r="A32" i="39"/>
  <c r="C53" i="39"/>
  <c r="M80" i="39"/>
  <c r="O80" i="39"/>
  <c r="Q79" i="39"/>
  <c r="F20" i="37"/>
  <c r="H20" i="37"/>
  <c r="R20" i="37"/>
  <c r="L20" i="36"/>
  <c r="N20" i="36"/>
  <c r="P20" i="36"/>
  <c r="T20" i="36"/>
  <c r="U20" i="36"/>
  <c r="V20" i="36"/>
  <c r="X20" i="36"/>
  <c r="Z20" i="36"/>
  <c r="AA20" i="36"/>
  <c r="AD20" i="36"/>
  <c r="F20" i="35"/>
  <c r="H20" i="35"/>
  <c r="R20" i="35"/>
  <c r="F20" i="34"/>
  <c r="H20" i="34"/>
  <c r="R20" i="34"/>
  <c r="B23" i="34"/>
  <c r="B23" i="33"/>
  <c r="B23" i="36"/>
  <c r="B23" i="37"/>
  <c r="B23" i="32"/>
  <c r="A11" i="31"/>
  <c r="A11" i="32"/>
  <c r="A11" i="33"/>
  <c r="A11" i="34"/>
  <c r="A11" i="35"/>
  <c r="A11" i="36"/>
  <c r="A11" i="37"/>
  <c r="A11" i="38"/>
  <c r="A12" i="31"/>
  <c r="A12" i="32"/>
  <c r="A12" i="33"/>
  <c r="A12" i="34"/>
  <c r="A12" i="35"/>
  <c r="A12" i="36"/>
  <c r="A12" i="37"/>
  <c r="A12" i="38"/>
  <c r="A13" i="31"/>
  <c r="A13" i="32"/>
  <c r="A13" i="33"/>
  <c r="A13" i="34"/>
  <c r="A13" i="35"/>
  <c r="A13" i="36"/>
  <c r="A13" i="37"/>
  <c r="A13" i="38"/>
  <c r="A14" i="31"/>
  <c r="A14" i="32"/>
  <c r="A14" i="33"/>
  <c r="A14" i="34"/>
  <c r="A14" i="35"/>
  <c r="A14" i="36"/>
  <c r="A14" i="37"/>
  <c r="A14" i="38"/>
  <c r="A15" i="31"/>
  <c r="A15" i="32"/>
  <c r="A15" i="33"/>
  <c r="A15" i="34"/>
  <c r="A15" i="35"/>
  <c r="A15" i="36"/>
  <c r="A15" i="37"/>
  <c r="A15" i="38"/>
  <c r="A16" i="31"/>
  <c r="A16" i="32"/>
  <c r="A16" i="33"/>
  <c r="A16" i="34"/>
  <c r="A16" i="35"/>
  <c r="A16" i="36"/>
  <c r="A16" i="37"/>
  <c r="A16" i="38"/>
  <c r="A17" i="31"/>
  <c r="A17" i="32"/>
  <c r="A17" i="33"/>
  <c r="A17" i="34"/>
  <c r="A17" i="35"/>
  <c r="A17" i="36"/>
  <c r="A17" i="37"/>
  <c r="A17" i="38"/>
  <c r="A18" i="31"/>
  <c r="A18" i="32"/>
  <c r="A18" i="33"/>
  <c r="A18" i="34"/>
  <c r="A18" i="35"/>
  <c r="A18" i="36"/>
  <c r="A18" i="37"/>
  <c r="A18" i="38"/>
  <c r="A19" i="31"/>
  <c r="A19" i="32"/>
  <c r="A19" i="33"/>
  <c r="A19" i="34"/>
  <c r="A19" i="35"/>
  <c r="A19" i="36"/>
  <c r="A19" i="37"/>
  <c r="A19" i="38"/>
  <c r="A20" i="31"/>
  <c r="A20" i="32"/>
  <c r="A20" i="33"/>
  <c r="A20" i="34"/>
  <c r="A20" i="35"/>
  <c r="A20" i="36"/>
  <c r="A20" i="37"/>
  <c r="A20" i="38"/>
  <c r="B23" i="31"/>
  <c r="A3" i="30"/>
  <c r="A3" i="31"/>
  <c r="A3" i="32"/>
  <c r="A3" i="33"/>
  <c r="A3" i="34"/>
  <c r="A3" i="35"/>
  <c r="A3" i="36"/>
  <c r="A3" i="37"/>
  <c r="A3" i="38"/>
  <c r="A3" i="15"/>
  <c r="B3" i="13"/>
  <c r="A3" i="12"/>
  <c r="K10" i="12"/>
  <c r="K11" i="12"/>
  <c r="K12" i="12"/>
  <c r="K14" i="12"/>
  <c r="K18" i="12"/>
  <c r="K19" i="12"/>
  <c r="K20" i="12"/>
  <c r="K21" i="12"/>
  <c r="K22" i="12"/>
  <c r="K23" i="12"/>
  <c r="K26" i="12"/>
  <c r="K27" i="12"/>
  <c r="K30" i="12"/>
  <c r="K31" i="12"/>
  <c r="K32" i="12"/>
  <c r="K38" i="12"/>
  <c r="K39" i="12"/>
  <c r="K40" i="12"/>
  <c r="K41" i="12"/>
  <c r="K44" i="12"/>
  <c r="K45" i="12"/>
  <c r="K46" i="12"/>
  <c r="K47" i="12"/>
  <c r="K48" i="12"/>
  <c r="K49" i="12"/>
  <c r="K50" i="12"/>
  <c r="K51" i="12"/>
  <c r="K52" i="12"/>
  <c r="K53" i="12"/>
  <c r="K54" i="12"/>
  <c r="K57" i="12"/>
  <c r="K58" i="12"/>
  <c r="K59" i="12"/>
  <c r="K62" i="12"/>
  <c r="B63" i="12"/>
  <c r="K63" i="12"/>
  <c r="K64" i="12"/>
  <c r="K65" i="12"/>
  <c r="K68" i="12"/>
  <c r="K69" i="12"/>
  <c r="K70" i="12"/>
  <c r="K71" i="12"/>
  <c r="K74" i="12"/>
  <c r="K75" i="12"/>
  <c r="K76" i="12"/>
  <c r="K77" i="12"/>
  <c r="K78" i="12"/>
  <c r="K79" i="12"/>
  <c r="K80" i="12"/>
  <c r="K81" i="12"/>
  <c r="K82" i="12"/>
  <c r="K83" i="12"/>
  <c r="A88" i="12"/>
  <c r="D9" i="11"/>
  <c r="E9" i="11"/>
  <c r="F9" i="11"/>
  <c r="G9" i="11"/>
  <c r="H9" i="11"/>
  <c r="I9" i="11"/>
  <c r="J9" i="11"/>
  <c r="K9" i="11"/>
  <c r="L9" i="11"/>
  <c r="B10" i="11"/>
  <c r="B11" i="11"/>
  <c r="B12" i="11"/>
  <c r="B13" i="11"/>
  <c r="B14" i="11"/>
  <c r="B15" i="11"/>
  <c r="D17" i="11"/>
  <c r="E17" i="11"/>
  <c r="F17" i="11"/>
  <c r="G17" i="11"/>
  <c r="H17" i="11"/>
  <c r="I17" i="11"/>
  <c r="J17" i="11"/>
  <c r="K17" i="11"/>
  <c r="L17" i="11"/>
  <c r="B18" i="11"/>
  <c r="B19" i="11"/>
  <c r="B20" i="11"/>
  <c r="B21" i="11"/>
  <c r="B22" i="11"/>
  <c r="B23" i="11"/>
  <c r="D25" i="11"/>
  <c r="E25" i="11"/>
  <c r="F25" i="11"/>
  <c r="G25" i="11"/>
  <c r="H25" i="11"/>
  <c r="I25" i="11"/>
  <c r="J25" i="11"/>
  <c r="K25" i="11"/>
  <c r="L25" i="11"/>
  <c r="B26" i="11"/>
  <c r="B27" i="11"/>
  <c r="E29" i="11"/>
  <c r="F29" i="11"/>
  <c r="G29" i="11"/>
  <c r="H29" i="11"/>
  <c r="I29" i="11"/>
  <c r="J29" i="11"/>
  <c r="K29" i="11"/>
  <c r="L29" i="11"/>
  <c r="B30" i="11"/>
  <c r="B31" i="11"/>
  <c r="B32" i="11"/>
  <c r="D37" i="11"/>
  <c r="E37" i="11"/>
  <c r="F37" i="11"/>
  <c r="G37" i="11"/>
  <c r="H37" i="11"/>
  <c r="I37" i="11"/>
  <c r="J37" i="11"/>
  <c r="K37" i="11"/>
  <c r="L37" i="11"/>
  <c r="B38" i="11"/>
  <c r="B39" i="11"/>
  <c r="B40" i="11"/>
  <c r="B41" i="11"/>
  <c r="I43" i="11"/>
  <c r="J43" i="11"/>
  <c r="K43" i="11"/>
  <c r="L43" i="11"/>
  <c r="B44" i="11"/>
  <c r="B45" i="11"/>
  <c r="B46" i="11"/>
  <c r="B47" i="11"/>
  <c r="B48" i="11"/>
  <c r="B49" i="11"/>
  <c r="B50" i="11"/>
  <c r="B51" i="11"/>
  <c r="B52" i="11"/>
  <c r="B53" i="11"/>
  <c r="B54" i="11"/>
  <c r="D56" i="11"/>
  <c r="E56" i="11"/>
  <c r="F56" i="11"/>
  <c r="G56" i="11"/>
  <c r="H56" i="11"/>
  <c r="I56" i="11"/>
  <c r="J56" i="11"/>
  <c r="K56" i="11"/>
  <c r="L56" i="11"/>
  <c r="B57" i="11"/>
  <c r="B58" i="11"/>
  <c r="B59" i="11"/>
  <c r="D61" i="11"/>
  <c r="E61" i="11"/>
  <c r="F61" i="11"/>
  <c r="G61" i="11"/>
  <c r="H61" i="11"/>
  <c r="I61" i="11"/>
  <c r="J61" i="11"/>
  <c r="K61" i="11"/>
  <c r="L61" i="11"/>
  <c r="B62" i="11"/>
  <c r="B63" i="11"/>
  <c r="B64" i="11"/>
  <c r="B65" i="11"/>
  <c r="D67" i="11"/>
  <c r="E67" i="11"/>
  <c r="F67" i="11"/>
  <c r="G67" i="11"/>
  <c r="H67" i="11"/>
  <c r="I67" i="11"/>
  <c r="J67" i="11"/>
  <c r="K67" i="11"/>
  <c r="L67" i="11"/>
  <c r="B68" i="11"/>
  <c r="B69" i="11"/>
  <c r="B70" i="11"/>
  <c r="B71" i="11"/>
  <c r="D73" i="11"/>
  <c r="E73" i="11"/>
  <c r="F73" i="11"/>
  <c r="G73" i="11"/>
  <c r="H73" i="11"/>
  <c r="I73" i="11"/>
  <c r="J73" i="11"/>
  <c r="K73" i="11"/>
  <c r="B74" i="11"/>
  <c r="B75" i="11"/>
  <c r="B76" i="11"/>
  <c r="B77" i="11"/>
  <c r="B78" i="11"/>
  <c r="B79" i="11"/>
  <c r="B80" i="11"/>
  <c r="B81" i="11"/>
  <c r="B82" i="11"/>
  <c r="B83" i="11"/>
  <c r="F17" i="10"/>
  <c r="F26" i="10"/>
  <c r="C27" i="80"/>
  <c r="Q35" i="67"/>
  <c r="V23" i="45"/>
  <c r="J24" i="45"/>
  <c r="R23" i="45"/>
  <c r="N17" i="45"/>
  <c r="V20" i="44"/>
  <c r="W20" i="44"/>
  <c r="Z23" i="50"/>
  <c r="Z49" i="50"/>
  <c r="Z48" i="50"/>
  <c r="J22" i="45"/>
  <c r="R48" i="52"/>
  <c r="R49" i="52"/>
  <c r="Q73" i="39"/>
  <c r="K32" i="57"/>
  <c r="X19" i="81"/>
  <c r="R24" i="45"/>
  <c r="N24" i="45"/>
  <c r="N23" i="45"/>
  <c r="V25" i="45"/>
  <c r="R25" i="45"/>
  <c r="N25" i="45"/>
  <c r="R22" i="45"/>
  <c r="F28" i="10"/>
  <c r="Q77" i="39"/>
  <c r="Q70" i="39"/>
  <c r="AK21" i="57"/>
  <c r="M31" i="57"/>
  <c r="M32" i="57"/>
  <c r="O21" i="67"/>
  <c r="N22" i="45"/>
  <c r="N21" i="67"/>
  <c r="N35" i="67"/>
  <c r="E26" i="45"/>
  <c r="J26" i="45"/>
  <c r="J27" i="80"/>
  <c r="Z48" i="52"/>
  <c r="Z49" i="52"/>
  <c r="J48" i="52"/>
  <c r="V48" i="52"/>
  <c r="V49" i="52" s="1"/>
  <c r="N31" i="57"/>
  <c r="N32" i="57"/>
  <c r="AE25" i="98"/>
  <c r="G25" i="93"/>
  <c r="G17" i="93"/>
  <c r="AB31" i="53"/>
  <c r="G8" i="52"/>
  <c r="P26" i="83"/>
  <c r="Y17" i="83"/>
  <c r="W17" i="83"/>
  <c r="Y26" i="81"/>
  <c r="R31" i="67"/>
  <c r="R30" i="67"/>
  <c r="Y26" i="82"/>
  <c r="W26" i="82"/>
  <c r="W15" i="82"/>
  <c r="H8" i="51"/>
  <c r="I8" i="55"/>
  <c r="G8" i="55"/>
  <c r="I8" i="51"/>
  <c r="G8" i="51"/>
  <c r="H8" i="53"/>
  <c r="T24" i="45"/>
  <c r="P24" i="45"/>
  <c r="L24" i="45"/>
  <c r="T22" i="45"/>
  <c r="P22" i="45"/>
  <c r="L22" i="45"/>
  <c r="C26" i="45"/>
  <c r="L26" i="45"/>
  <c r="T25" i="45"/>
  <c r="P25" i="45"/>
  <c r="L25" i="45"/>
  <c r="T23" i="45"/>
  <c r="P23" i="45"/>
  <c r="L23" i="45"/>
  <c r="R20" i="38"/>
  <c r="D35" i="41"/>
  <c r="H20" i="38"/>
  <c r="F20" i="38"/>
  <c r="AG32" i="57"/>
  <c r="B23" i="35"/>
  <c r="B23" i="38"/>
  <c r="D19" i="41"/>
  <c r="D40" i="41"/>
  <c r="D30" i="41"/>
  <c r="D24" i="41"/>
  <c r="R22" i="67"/>
  <c r="R26" i="67"/>
  <c r="R25" i="67"/>
  <c r="R24" i="67"/>
  <c r="R34" i="67"/>
  <c r="R33" i="67"/>
  <c r="R32" i="67"/>
  <c r="R28" i="67"/>
  <c r="R35" i="67"/>
  <c r="R27" i="67"/>
  <c r="R21" i="67"/>
  <c r="G35" i="44"/>
  <c r="H35" i="44"/>
  <c r="AH11" i="57"/>
  <c r="AH15" i="57" s="1"/>
  <c r="AH32" i="57" s="1"/>
  <c r="E14" i="76"/>
  <c r="F13" i="76"/>
  <c r="AH25" i="57"/>
  <c r="AD21" i="57"/>
  <c r="E13" i="76"/>
  <c r="F14" i="76"/>
  <c r="F19" i="77"/>
  <c r="AD36" i="55"/>
  <c r="Z18" i="55"/>
  <c r="L11" i="43"/>
  <c r="G32" i="43"/>
  <c r="E28" i="43"/>
  <c r="I32" i="43"/>
  <c r="I17" i="43"/>
  <c r="J25" i="12"/>
  <c r="G17" i="43"/>
  <c r="I28" i="43"/>
  <c r="AC29" i="97"/>
  <c r="Y45" i="97"/>
  <c r="I23" i="43"/>
  <c r="G23" i="43"/>
  <c r="M25" i="43"/>
  <c r="M34" i="43"/>
  <c r="N23" i="43"/>
  <c r="N16" i="43"/>
  <c r="N31" i="43"/>
  <c r="C24" i="121"/>
  <c r="N12" i="43"/>
  <c r="N26" i="43"/>
  <c r="N32" i="43"/>
  <c r="L27" i="43"/>
  <c r="E24" i="43"/>
  <c r="G30" i="43"/>
  <c r="E30" i="43"/>
  <c r="G13" i="43"/>
  <c r="E13" i="43"/>
  <c r="I21" i="43"/>
  <c r="I13" i="43"/>
  <c r="E15" i="43"/>
  <c r="I15" i="43"/>
  <c r="E26" i="43"/>
  <c r="G26" i="43"/>
  <c r="N24" i="43"/>
  <c r="L24" i="43"/>
  <c r="G18" i="43"/>
  <c r="E18" i="43"/>
  <c r="L12" i="43"/>
  <c r="L23" i="43"/>
  <c r="L28" i="43"/>
  <c r="L32" i="43"/>
  <c r="N11" i="43"/>
  <c r="L13" i="43"/>
  <c r="N18" i="43"/>
  <c r="N27" i="43"/>
  <c r="L18" i="43"/>
  <c r="L15" i="43"/>
  <c r="K25" i="43"/>
  <c r="K34" i="43"/>
  <c r="L26" i="43"/>
  <c r="L30" i="43"/>
  <c r="L12" i="46"/>
  <c r="M14" i="43"/>
  <c r="M19" i="43"/>
  <c r="N15" i="43"/>
  <c r="N21" i="43"/>
  <c r="N28" i="43"/>
  <c r="K14" i="43"/>
  <c r="K19" i="43"/>
  <c r="L21" i="43"/>
  <c r="L16" i="43"/>
  <c r="L31" i="43"/>
  <c r="G11" i="43"/>
  <c r="C14" i="43"/>
  <c r="C19" i="43"/>
  <c r="N29" i="43"/>
  <c r="L29" i="43"/>
  <c r="N33" i="43"/>
  <c r="L33" i="43"/>
  <c r="E29" i="43"/>
  <c r="G29" i="43"/>
  <c r="E33" i="43"/>
  <c r="I33" i="43"/>
  <c r="O20" i="34"/>
  <c r="Y20" i="35"/>
  <c r="O20" i="33"/>
  <c r="G33" i="43"/>
  <c r="N13" i="43"/>
  <c r="G16" i="43"/>
  <c r="E16" i="43"/>
  <c r="G22" i="43"/>
  <c r="E22" i="43"/>
  <c r="I27" i="43"/>
  <c r="E27" i="43"/>
  <c r="I31" i="43"/>
  <c r="E31" i="43"/>
  <c r="E12" i="43"/>
  <c r="G12" i="43"/>
  <c r="U20" i="33"/>
  <c r="Y20" i="34"/>
  <c r="O20" i="35"/>
  <c r="I24" i="43"/>
  <c r="I18" i="43"/>
  <c r="I11" i="43"/>
  <c r="Y20" i="37"/>
  <c r="G27" i="43"/>
  <c r="N22" i="43"/>
  <c r="L22" i="43"/>
  <c r="J25" i="43"/>
  <c r="J34" i="43"/>
  <c r="J14" i="43"/>
  <c r="J19" i="43"/>
  <c r="E21" i="43"/>
  <c r="C25" i="43"/>
  <c r="N30" i="43"/>
  <c r="Y44" i="95"/>
  <c r="AC12" i="95"/>
  <c r="Y42" i="95"/>
  <c r="AC10" i="95"/>
  <c r="D30" i="98"/>
  <c r="AE29" i="98"/>
  <c r="G29" i="93"/>
  <c r="AE12" i="98"/>
  <c r="G12" i="93"/>
  <c r="AE22" i="98"/>
  <c r="G22" i="93"/>
  <c r="X61" i="98"/>
  <c r="AC26" i="98"/>
  <c r="AD12" i="97"/>
  <c r="AD16" i="97"/>
  <c r="Y55" i="97"/>
  <c r="AD19" i="97"/>
  <c r="AE19" i="97"/>
  <c r="F19" i="93"/>
  <c r="AC18" i="97"/>
  <c r="AC20" i="97"/>
  <c r="AD23" i="97"/>
  <c r="AD18" i="97"/>
  <c r="AC24" i="96"/>
  <c r="AD23" i="96"/>
  <c r="Y52" i="96"/>
  <c r="Y48" i="96"/>
  <c r="AD21" i="96"/>
  <c r="AE21" i="96"/>
  <c r="E21" i="93"/>
  <c r="Y57" i="96"/>
  <c r="Y43" i="95"/>
  <c r="Y47" i="95"/>
  <c r="Y49" i="95"/>
  <c r="Y51" i="95"/>
  <c r="Y53" i="95"/>
  <c r="AD26" i="94"/>
  <c r="AD18" i="94"/>
  <c r="G64" i="92"/>
  <c r="K64" i="92"/>
  <c r="Y43" i="94"/>
  <c r="AD12" i="94"/>
  <c r="G65" i="110"/>
  <c r="Y38" i="62"/>
  <c r="AN49" i="62"/>
  <c r="AN48" i="62"/>
  <c r="AO47" i="62"/>
  <c r="AO46" i="62"/>
  <c r="AO45" i="62"/>
  <c r="AO44" i="62"/>
  <c r="AO49" i="62"/>
  <c r="AN47" i="62"/>
  <c r="AN46" i="62"/>
  <c r="AN45" i="62"/>
  <c r="AN44" i="62"/>
  <c r="AN43" i="62"/>
  <c r="AN42" i="62"/>
  <c r="AN41" i="62"/>
  <c r="R14" i="45"/>
  <c r="R18" i="45"/>
  <c r="J18" i="45"/>
  <c r="J35" i="44"/>
  <c r="K35" i="44"/>
  <c r="H20" i="36"/>
  <c r="AA20" i="39"/>
  <c r="AB16" i="39"/>
  <c r="H7" i="72"/>
  <c r="H61" i="72"/>
  <c r="H63" i="72"/>
  <c r="J10" i="44"/>
  <c r="P10" i="44"/>
  <c r="D35" i="44"/>
  <c r="E35" i="44"/>
  <c r="N27" i="45"/>
  <c r="V26" i="45"/>
  <c r="F43" i="41"/>
  <c r="F27" i="41"/>
  <c r="F28" i="41"/>
  <c r="F8" i="78"/>
  <c r="P23" i="81"/>
  <c r="F30" i="107"/>
  <c r="F28" i="107"/>
  <c r="V15" i="80"/>
  <c r="P32" i="85"/>
  <c r="D27" i="80"/>
  <c r="AP47" i="62"/>
  <c r="AO48" i="62"/>
  <c r="AO43" i="62"/>
  <c r="AO42" i="62"/>
  <c r="AI11" i="57"/>
  <c r="AI15" i="57"/>
  <c r="J8" i="53"/>
  <c r="G8" i="53"/>
  <c r="I8" i="53"/>
  <c r="I8" i="52"/>
  <c r="M8" i="50"/>
  <c r="H8" i="55"/>
  <c r="K8" i="50"/>
  <c r="AA47" i="54"/>
  <c r="AA31" i="54"/>
  <c r="AC21" i="54"/>
  <c r="AA14" i="54"/>
  <c r="AA21" i="53"/>
  <c r="P21" i="55"/>
  <c r="M37" i="55"/>
  <c r="K18" i="55"/>
  <c r="L21" i="55"/>
  <c r="AB47" i="53"/>
  <c r="AB18" i="53"/>
  <c r="AB41" i="52"/>
  <c r="AC47" i="52"/>
  <c r="L18" i="55"/>
  <c r="L14" i="55"/>
  <c r="AA31" i="52"/>
  <c r="AB14" i="52"/>
  <c r="AA14" i="52"/>
  <c r="AB37" i="52"/>
  <c r="AA21" i="52"/>
  <c r="W47" i="55"/>
  <c r="X14" i="55"/>
  <c r="AB31" i="51"/>
  <c r="O21" i="55"/>
  <c r="AA47" i="51"/>
  <c r="AA18" i="51"/>
  <c r="K47" i="55"/>
  <c r="L47" i="55"/>
  <c r="H31" i="55"/>
  <c r="U37" i="55"/>
  <c r="S41" i="55"/>
  <c r="T21" i="55"/>
  <c r="T18" i="55"/>
  <c r="M47" i="55"/>
  <c r="K31" i="55"/>
  <c r="AB29" i="55"/>
  <c r="H21" i="55"/>
  <c r="G21" i="55"/>
  <c r="E47" i="55"/>
  <c r="P32" i="45"/>
  <c r="T14" i="45"/>
  <c r="T26" i="45"/>
  <c r="L33" i="45"/>
  <c r="T18" i="45"/>
  <c r="P17" i="45"/>
  <c r="H31" i="45"/>
  <c r="Z14" i="44"/>
  <c r="H15" i="36"/>
  <c r="I15" i="36"/>
  <c r="R15" i="36"/>
  <c r="S15" i="36"/>
  <c r="R11" i="36"/>
  <c r="S11" i="36"/>
  <c r="R12" i="36"/>
  <c r="S12" i="36"/>
  <c r="H14" i="36"/>
  <c r="I14" i="36"/>
  <c r="O15" i="36"/>
  <c r="F18" i="36"/>
  <c r="R18" i="36"/>
  <c r="H19" i="36"/>
  <c r="I19" i="36"/>
  <c r="R19" i="36"/>
  <c r="Q78" i="39"/>
  <c r="Q72" i="39"/>
  <c r="Q71" i="39"/>
  <c r="Q74" i="39"/>
  <c r="Q68" i="39"/>
  <c r="Q69" i="39"/>
  <c r="Q75" i="39"/>
  <c r="Q76" i="39"/>
  <c r="A3" i="93"/>
  <c r="Y50" i="94"/>
  <c r="Y52" i="94"/>
  <c r="AC23" i="94"/>
  <c r="AC25" i="94"/>
  <c r="AC29" i="94"/>
  <c r="AE29" i="94"/>
  <c r="C29" i="93"/>
  <c r="AD29" i="94"/>
  <c r="AC12" i="94"/>
  <c r="AE12" i="94"/>
  <c r="C12" i="93"/>
  <c r="AC16" i="94"/>
  <c r="AE16" i="94"/>
  <c r="C16" i="93"/>
  <c r="AD14" i="94"/>
  <c r="AE14" i="94"/>
  <c r="C14" i="93"/>
  <c r="AC19" i="95"/>
  <c r="AE19" i="95"/>
  <c r="D19" i="93"/>
  <c r="AC21" i="95"/>
  <c r="AC23" i="95"/>
  <c r="AC29" i="95"/>
  <c r="AC18" i="95"/>
  <c r="AC25" i="95"/>
  <c r="AE25" i="95"/>
  <c r="D25" i="93"/>
  <c r="Y54" i="95"/>
  <c r="Y55" i="96"/>
  <c r="Y60" i="96"/>
  <c r="Y51" i="96"/>
  <c r="Y49" i="96"/>
  <c r="Y47" i="96"/>
  <c r="Y45" i="96"/>
  <c r="Y43" i="96"/>
  <c r="AC13" i="96"/>
  <c r="AD24" i="96"/>
  <c r="AD20" i="96"/>
  <c r="AE20" i="96"/>
  <c r="E20" i="93"/>
  <c r="AD22" i="96"/>
  <c r="AC25" i="96"/>
  <c r="AD25" i="96"/>
  <c r="AC24" i="97"/>
  <c r="AD10" i="97"/>
  <c r="AD24" i="97"/>
  <c r="AD21" i="97"/>
  <c r="AE21" i="97"/>
  <c r="F21" i="93"/>
  <c r="AD15" i="97"/>
  <c r="AC12" i="97"/>
  <c r="AE12" i="97"/>
  <c r="F12" i="93"/>
  <c r="AC15" i="97"/>
  <c r="AD13" i="97"/>
  <c r="AD20" i="97"/>
  <c r="AC22" i="97"/>
  <c r="AD26" i="98"/>
  <c r="AE26" i="98"/>
  <c r="G26" i="93"/>
  <c r="M30" i="98"/>
  <c r="AC14" i="98"/>
  <c r="Q24" i="40"/>
  <c r="AA49" i="39"/>
  <c r="AA43" i="39"/>
  <c r="I25" i="43"/>
  <c r="L14" i="43"/>
  <c r="G14" i="43"/>
  <c r="N14" i="43"/>
  <c r="K35" i="43"/>
  <c r="F19" i="43"/>
  <c r="F35" i="43"/>
  <c r="M35" i="43"/>
  <c r="Z30" i="44"/>
  <c r="E25" i="43"/>
  <c r="G25" i="43"/>
  <c r="H35" i="43"/>
  <c r="M35" i="44"/>
  <c r="N35" i="44"/>
  <c r="Z16" i="44"/>
  <c r="Q15" i="44"/>
  <c r="H15" i="44"/>
  <c r="D20" i="44"/>
  <c r="E20" i="44"/>
  <c r="N15" i="44"/>
  <c r="K15" i="44"/>
  <c r="N26" i="45"/>
  <c r="J14" i="45"/>
  <c r="V13" i="45"/>
  <c r="R12" i="45"/>
  <c r="N23" i="50"/>
  <c r="AD41" i="53"/>
  <c r="U13" i="56"/>
  <c r="U22" i="56"/>
  <c r="AP46" i="62"/>
  <c r="Y57" i="97"/>
  <c r="Y54" i="97"/>
  <c r="AE23" i="97"/>
  <c r="F23" i="93"/>
  <c r="Y53" i="97"/>
  <c r="AD22" i="97"/>
  <c r="Y51" i="97"/>
  <c r="AC17" i="97"/>
  <c r="AD17" i="97"/>
  <c r="N30" i="97"/>
  <c r="AC16" i="97"/>
  <c r="AE16" i="97"/>
  <c r="F16" i="93"/>
  <c r="Y46" i="97"/>
  <c r="M30" i="97"/>
  <c r="D30" i="97"/>
  <c r="Y44" i="97"/>
  <c r="Y43" i="97"/>
  <c r="W61" i="97"/>
  <c r="AC11" i="97"/>
  <c r="AD11" i="97"/>
  <c r="X61" i="97"/>
  <c r="AC10" i="97"/>
  <c r="AE10" i="97"/>
  <c r="C30" i="97"/>
  <c r="Y51" i="94"/>
  <c r="AD20" i="94"/>
  <c r="AE20" i="94"/>
  <c r="C20" i="93"/>
  <c r="AD21" i="94"/>
  <c r="AC21" i="94"/>
  <c r="Y53" i="94"/>
  <c r="AD22" i="94"/>
  <c r="AE22" i="94"/>
  <c r="C22" i="93"/>
  <c r="Y55" i="94"/>
  <c r="AD24" i="94"/>
  <c r="AE24" i="94"/>
  <c r="C24" i="93"/>
  <c r="Y56" i="94"/>
  <c r="AD25" i="94"/>
  <c r="Y57" i="94"/>
  <c r="Y60" i="94"/>
  <c r="AD19" i="94"/>
  <c r="AC19" i="94"/>
  <c r="Y49" i="94"/>
  <c r="AC18" i="94"/>
  <c r="Y48" i="94"/>
  <c r="AD17" i="94"/>
  <c r="Y47" i="94"/>
  <c r="Y54" i="94"/>
  <c r="AD23" i="94"/>
  <c r="Y46" i="94"/>
  <c r="AD15" i="94"/>
  <c r="AC15" i="94"/>
  <c r="Y45" i="94"/>
  <c r="Y44" i="94"/>
  <c r="AD13" i="94"/>
  <c r="Y42" i="94"/>
  <c r="W61" i="94"/>
  <c r="AC11" i="94"/>
  <c r="M30" i="94"/>
  <c r="AD11" i="94"/>
  <c r="C30" i="94"/>
  <c r="Y41" i="94"/>
  <c r="AD10" i="94"/>
  <c r="D30" i="94"/>
  <c r="Y60" i="95"/>
  <c r="Y57" i="95"/>
  <c r="AC26" i="95"/>
  <c r="Y56" i="95"/>
  <c r="E64" i="92"/>
  <c r="AD24" i="95"/>
  <c r="AC24" i="95"/>
  <c r="AD23" i="95"/>
  <c r="AD22" i="95"/>
  <c r="Y52" i="95"/>
  <c r="AD21" i="95"/>
  <c r="AD18" i="95"/>
  <c r="L64" i="92"/>
  <c r="AC17" i="95"/>
  <c r="AD16" i="95"/>
  <c r="AC16" i="95"/>
  <c r="Y46" i="95"/>
  <c r="AC15" i="95"/>
  <c r="AE15" i="95"/>
  <c r="D15" i="93"/>
  <c r="Y45" i="95"/>
  <c r="AD14" i="95"/>
  <c r="AE14" i="95"/>
  <c r="D14" i="93"/>
  <c r="N30" i="95"/>
  <c r="D11" i="92"/>
  <c r="D30" i="95"/>
  <c r="AC11" i="95"/>
  <c r="AE11" i="95"/>
  <c r="D11" i="93"/>
  <c r="Y41" i="95"/>
  <c r="K30" i="92"/>
  <c r="I64" i="92"/>
  <c r="AC26" i="96"/>
  <c r="AC23" i="96"/>
  <c r="AE23" i="96"/>
  <c r="E23" i="93"/>
  <c r="Y54" i="96"/>
  <c r="Y53" i="96"/>
  <c r="M20" i="92"/>
  <c r="Y50" i="96"/>
  <c r="H64" i="92"/>
  <c r="M18" i="92"/>
  <c r="AD18" i="96"/>
  <c r="AC18" i="96"/>
  <c r="AC17" i="96"/>
  <c r="AD17" i="96"/>
  <c r="AE17" i="96"/>
  <c r="E17" i="93"/>
  <c r="N30" i="96"/>
  <c r="N16" i="92"/>
  <c r="P64" i="92"/>
  <c r="Y46" i="96"/>
  <c r="AC15" i="96"/>
  <c r="AE15" i="96"/>
  <c r="E15" i="93"/>
  <c r="M64" i="92"/>
  <c r="AD14" i="96"/>
  <c r="AE14" i="96"/>
  <c r="E14" i="93"/>
  <c r="Y44" i="96"/>
  <c r="M13" i="92"/>
  <c r="AD13" i="96"/>
  <c r="U64" i="92"/>
  <c r="M12" i="92"/>
  <c r="Y42" i="96"/>
  <c r="X61" i="96"/>
  <c r="W45" i="92"/>
  <c r="M30" i="96"/>
  <c r="AC11" i="96"/>
  <c r="AE11" i="96"/>
  <c r="E11" i="93"/>
  <c r="Y41" i="96"/>
  <c r="N10" i="92"/>
  <c r="AD10" i="96"/>
  <c r="AE10" i="96"/>
  <c r="E10" i="93"/>
  <c r="Y45" i="98"/>
  <c r="Y61" i="98"/>
  <c r="W61" i="98"/>
  <c r="G15" i="93"/>
  <c r="C30" i="98"/>
  <c r="N14" i="92"/>
  <c r="AD30" i="98"/>
  <c r="E12" i="85"/>
  <c r="U27" i="80"/>
  <c r="N12" i="85"/>
  <c r="X28" i="85"/>
  <c r="F20" i="109"/>
  <c r="F21" i="109"/>
  <c r="E30" i="114"/>
  <c r="E33" i="114"/>
  <c r="F29" i="107"/>
  <c r="F31" i="107"/>
  <c r="B15" i="114"/>
  <c r="C31" i="114" s="1"/>
  <c r="D31" i="114" s="1"/>
  <c r="W22" i="81"/>
  <c r="D29" i="107"/>
  <c r="P19" i="81"/>
  <c r="Y16" i="81"/>
  <c r="G16" i="76"/>
  <c r="L13" i="74"/>
  <c r="G47" i="55"/>
  <c r="X38" i="112"/>
  <c r="V38" i="112"/>
  <c r="W38" i="112"/>
  <c r="AN38" i="61"/>
  <c r="AM38" i="61"/>
  <c r="AO38" i="61"/>
  <c r="AO38" i="60"/>
  <c r="AN38" i="60"/>
  <c r="AM38" i="60"/>
  <c r="AO30" i="62"/>
  <c r="AN21" i="62"/>
  <c r="AM35" i="62"/>
  <c r="AN31" i="62"/>
  <c r="AN26" i="62"/>
  <c r="AN16" i="62"/>
  <c r="AO15" i="62"/>
  <c r="AP28" i="62"/>
  <c r="AM48" i="62"/>
  <c r="AP21" i="62"/>
  <c r="AO17" i="62"/>
  <c r="AC38" i="62"/>
  <c r="AI38" i="62"/>
  <c r="T38" i="62"/>
  <c r="AO38" i="58"/>
  <c r="AM46" i="62"/>
  <c r="AN34" i="62"/>
  <c r="AO34" i="62"/>
  <c r="AO33" i="62"/>
  <c r="AP33" i="62"/>
  <c r="AN32" i="62"/>
  <c r="AO25" i="62"/>
  <c r="AP25" i="62"/>
  <c r="AM21" i="62"/>
  <c r="AP18" i="62"/>
  <c r="AM17" i="62"/>
  <c r="AN17" i="62"/>
  <c r="AP14" i="62"/>
  <c r="AM14" i="62"/>
  <c r="AM13" i="62"/>
  <c r="AP11" i="62"/>
  <c r="AF38" i="62"/>
  <c r="AM9" i="62"/>
  <c r="K38" i="62"/>
  <c r="AM38" i="59"/>
  <c r="AN38" i="59"/>
  <c r="AO38" i="59"/>
  <c r="AM29" i="62"/>
  <c r="AM32" i="62"/>
  <c r="AM19" i="62"/>
  <c r="AL38" i="62"/>
  <c r="AG38" i="62"/>
  <c r="L38" i="62"/>
  <c r="AE38" i="62"/>
  <c r="S38" i="62"/>
  <c r="R38" i="62"/>
  <c r="AO28" i="62"/>
  <c r="AM49" i="62"/>
  <c r="AO35" i="62"/>
  <c r="AM30" i="62"/>
  <c r="AP16" i="62"/>
  <c r="AN14" i="62"/>
  <c r="AM11" i="62"/>
  <c r="J38" i="62"/>
  <c r="AH38" i="62"/>
  <c r="AD38" i="62"/>
  <c r="AM27" i="62"/>
  <c r="AN20" i="62"/>
  <c r="AO19" i="62"/>
  <c r="AN12" i="62"/>
  <c r="AO11" i="62"/>
  <c r="U38" i="62"/>
  <c r="N38" i="62"/>
  <c r="G38" i="62"/>
  <c r="F38" i="62"/>
  <c r="B38" i="62"/>
  <c r="C38" i="62"/>
  <c r="Q38" i="62"/>
  <c r="D38" i="62"/>
  <c r="AM44" i="62"/>
  <c r="AM41" i="62"/>
  <c r="AN35" i="62"/>
  <c r="AN27" i="62"/>
  <c r="AO26" i="62"/>
  <c r="AM24" i="62"/>
  <c r="O38" i="62"/>
  <c r="AM31" i="62"/>
  <c r="AN25" i="62"/>
  <c r="AO24" i="62"/>
  <c r="AO14" i="62"/>
  <c r="AO10" i="62"/>
  <c r="AM38" i="58"/>
  <c r="AM47" i="62"/>
  <c r="AM45" i="62"/>
  <c r="AM43" i="62"/>
  <c r="AO32" i="62"/>
  <c r="AM25" i="62"/>
  <c r="AN24" i="62"/>
  <c r="AN18" i="62"/>
  <c r="AO9" i="62"/>
  <c r="AM42" i="62"/>
  <c r="AM37" i="62"/>
  <c r="AO31" i="62"/>
  <c r="AM22" i="62"/>
  <c r="AO20" i="62"/>
  <c r="AM18" i="62"/>
  <c r="AO16" i="62"/>
  <c r="AN13" i="62"/>
  <c r="AO12" i="62"/>
  <c r="AM10" i="62"/>
  <c r="AN9" i="62"/>
  <c r="AN38" i="58"/>
  <c r="AO37" i="62"/>
  <c r="AM34" i="62"/>
  <c r="AN33" i="62"/>
  <c r="AN30" i="62"/>
  <c r="AO29" i="62"/>
  <c r="AM26" i="62"/>
  <c r="AO22" i="62"/>
  <c r="AM20" i="62"/>
  <c r="AN19" i="62"/>
  <c r="AO18" i="62"/>
  <c r="AM16" i="62"/>
  <c r="AN15" i="62"/>
  <c r="AN28" i="62"/>
  <c r="AN37" i="62"/>
  <c r="AM33" i="62"/>
  <c r="AN29" i="62"/>
  <c r="AO27" i="62"/>
  <c r="AN22" i="62"/>
  <c r="AO21" i="62"/>
  <c r="AM15" i="62"/>
  <c r="AO13" i="62"/>
  <c r="AN10" i="62"/>
  <c r="AM28" i="62"/>
  <c r="H38" i="62"/>
  <c r="AN11" i="62"/>
  <c r="AM12" i="62"/>
  <c r="AJ11" i="57"/>
  <c r="AJ15" i="57"/>
  <c r="AK15" i="57"/>
  <c r="AI25" i="57"/>
  <c r="AJ25" i="57"/>
  <c r="AJ21" i="57"/>
  <c r="AK31" i="57"/>
  <c r="AI21" i="57"/>
  <c r="U45" i="56"/>
  <c r="U39" i="56"/>
  <c r="T35" i="56"/>
  <c r="T45" i="56"/>
  <c r="T39" i="56"/>
  <c r="S39" i="56"/>
  <c r="T29" i="56"/>
  <c r="S13" i="56"/>
  <c r="S22" i="56"/>
  <c r="S35" i="56"/>
  <c r="U29" i="56"/>
  <c r="U35" i="56"/>
  <c r="T13" i="56"/>
  <c r="T22" i="56"/>
  <c r="C9" i="65"/>
  <c r="Z31" i="55"/>
  <c r="R23" i="54"/>
  <c r="W21" i="55"/>
  <c r="S47" i="55"/>
  <c r="U31" i="55"/>
  <c r="S21" i="55"/>
  <c r="S18" i="55"/>
  <c r="AA41" i="54"/>
  <c r="Q41" i="55"/>
  <c r="O14" i="55"/>
  <c r="P14" i="55"/>
  <c r="Q47" i="55"/>
  <c r="P31" i="55"/>
  <c r="Q21" i="55"/>
  <c r="O18" i="55"/>
  <c r="AC31" i="54"/>
  <c r="AB37" i="54"/>
  <c r="AA21" i="54"/>
  <c r="AB41" i="54"/>
  <c r="AA37" i="54"/>
  <c r="AC47" i="54"/>
  <c r="AB18" i="54"/>
  <c r="M41" i="55"/>
  <c r="AB47" i="54"/>
  <c r="AC18" i="54"/>
  <c r="AC37" i="54"/>
  <c r="AC14" i="54"/>
  <c r="I18" i="55"/>
  <c r="AA18" i="54"/>
  <c r="AC41" i="54"/>
  <c r="AB31" i="54"/>
  <c r="AB14" i="54"/>
  <c r="G14" i="55"/>
  <c r="H47" i="55"/>
  <c r="H41" i="55"/>
  <c r="G18" i="55"/>
  <c r="AD35" i="55"/>
  <c r="J18" i="55"/>
  <c r="W41" i="55"/>
  <c r="Y41" i="55"/>
  <c r="Y37" i="55"/>
  <c r="X18" i="55"/>
  <c r="AA18" i="53"/>
  <c r="W37" i="55"/>
  <c r="W31" i="55"/>
  <c r="X21" i="55"/>
  <c r="W14" i="55"/>
  <c r="U18" i="55"/>
  <c r="T31" i="55"/>
  <c r="T41" i="55"/>
  <c r="S37" i="55"/>
  <c r="T14" i="55"/>
  <c r="AA14" i="53"/>
  <c r="Q14" i="55"/>
  <c r="AB21" i="53"/>
  <c r="P37" i="55"/>
  <c r="P47" i="55"/>
  <c r="O47" i="55"/>
  <c r="O41" i="55"/>
  <c r="AA31" i="53"/>
  <c r="AC47" i="53"/>
  <c r="AB40" i="55"/>
  <c r="AA37" i="53"/>
  <c r="AA47" i="53"/>
  <c r="AC41" i="53"/>
  <c r="AA41" i="53"/>
  <c r="AC37" i="53"/>
  <c r="AC21" i="53"/>
  <c r="H18" i="55"/>
  <c r="I14" i="55"/>
  <c r="G41" i="55"/>
  <c r="I31" i="55"/>
  <c r="C18" i="55"/>
  <c r="AC14" i="53"/>
  <c r="AB37" i="53"/>
  <c r="AC31" i="53"/>
  <c r="AB14" i="53"/>
  <c r="AB41" i="53"/>
  <c r="AC18" i="53"/>
  <c r="AC31" i="52"/>
  <c r="M14" i="55"/>
  <c r="AA18" i="52"/>
  <c r="AA23" i="52"/>
  <c r="AC41" i="52"/>
  <c r="AB31" i="52"/>
  <c r="M31" i="55"/>
  <c r="L31" i="55"/>
  <c r="AB47" i="52"/>
  <c r="AB18" i="52"/>
  <c r="AA46" i="55"/>
  <c r="AA41" i="52"/>
  <c r="AA48" i="52"/>
  <c r="K41" i="55"/>
  <c r="AC37" i="52"/>
  <c r="AC21" i="52"/>
  <c r="AC18" i="52"/>
  <c r="AC14" i="52"/>
  <c r="AC23" i="52"/>
  <c r="C41" i="55"/>
  <c r="D14" i="55"/>
  <c r="AB46" i="55"/>
  <c r="D47" i="55"/>
  <c r="C47" i="55"/>
  <c r="AC11" i="55"/>
  <c r="Z49" i="51"/>
  <c r="AC47" i="51"/>
  <c r="Y18" i="55"/>
  <c r="Y47" i="55"/>
  <c r="X47" i="55"/>
  <c r="X41" i="55"/>
  <c r="X37" i="55"/>
  <c r="Y31" i="55"/>
  <c r="X31" i="55"/>
  <c r="Y21" i="55"/>
  <c r="AC14" i="51"/>
  <c r="W18" i="55"/>
  <c r="U14" i="55"/>
  <c r="AA37" i="51"/>
  <c r="AC36" i="55"/>
  <c r="U21" i="55"/>
  <c r="S14" i="55"/>
  <c r="U41" i="55"/>
  <c r="T37" i="55"/>
  <c r="S31" i="55"/>
  <c r="U47" i="55"/>
  <c r="Q31" i="55"/>
  <c r="O37" i="55"/>
  <c r="AA9" i="55"/>
  <c r="P41" i="55"/>
  <c r="Q37" i="55"/>
  <c r="AC41" i="51"/>
  <c r="AB37" i="51"/>
  <c r="AC21" i="51"/>
  <c r="AA21" i="51"/>
  <c r="AC18" i="51"/>
  <c r="Q18" i="55"/>
  <c r="P18" i="55"/>
  <c r="AB14" i="51"/>
  <c r="M18" i="55"/>
  <c r="AC29" i="55"/>
  <c r="K14" i="55"/>
  <c r="AB18" i="51"/>
  <c r="L37" i="55"/>
  <c r="K37" i="55"/>
  <c r="M21" i="55"/>
  <c r="AB26" i="55"/>
  <c r="AB21" i="51"/>
  <c r="K21" i="55"/>
  <c r="AB47" i="51"/>
  <c r="AA31" i="51"/>
  <c r="AA14" i="51"/>
  <c r="AA32" i="55"/>
  <c r="I21" i="55"/>
  <c r="AC9" i="55"/>
  <c r="AA45" i="55"/>
  <c r="AA41" i="51"/>
  <c r="G31" i="55"/>
  <c r="AC45" i="55"/>
  <c r="AB41" i="51"/>
  <c r="AC37" i="51"/>
  <c r="AC31" i="51"/>
  <c r="I47" i="55"/>
  <c r="I41" i="55"/>
  <c r="AA19" i="55"/>
  <c r="AC15" i="55"/>
  <c r="AA44" i="55"/>
  <c r="AC46" i="55"/>
  <c r="C37" i="55"/>
  <c r="AD27" i="55"/>
  <c r="AD29" i="55"/>
  <c r="AD28" i="55"/>
  <c r="J8" i="52"/>
  <c r="J8" i="51"/>
  <c r="N8" i="50"/>
  <c r="J8" i="55"/>
  <c r="AB39" i="55"/>
  <c r="AA11" i="55"/>
  <c r="AB44" i="55"/>
  <c r="Y14" i="55"/>
  <c r="AA16" i="55"/>
  <c r="AA47" i="50"/>
  <c r="AB17" i="55"/>
  <c r="AC27" i="55"/>
  <c r="AC30" i="55"/>
  <c r="AA43" i="55"/>
  <c r="AC40" i="55"/>
  <c r="AC26" i="55"/>
  <c r="AC25" i="55"/>
  <c r="AB20" i="55"/>
  <c r="AB9" i="55"/>
  <c r="AC35" i="55"/>
  <c r="AC38" i="55"/>
  <c r="AB41" i="50"/>
  <c r="AB42" i="55"/>
  <c r="AC34" i="55"/>
  <c r="AB36" i="55"/>
  <c r="AA24" i="55"/>
  <c r="AC10" i="55"/>
  <c r="AB47" i="50"/>
  <c r="AB38" i="55"/>
  <c r="AB14" i="50"/>
  <c r="O31" i="55"/>
  <c r="AA34" i="55"/>
  <c r="AB45" i="55"/>
  <c r="AA14" i="50"/>
  <c r="AC13" i="55"/>
  <c r="AB43" i="55"/>
  <c r="AA40" i="55"/>
  <c r="AA39" i="55"/>
  <c r="AB25" i="55"/>
  <c r="AA22" i="55"/>
  <c r="AA17" i="55"/>
  <c r="AA13" i="55"/>
  <c r="AA31" i="50"/>
  <c r="AB28" i="55"/>
  <c r="AB27" i="55"/>
  <c r="L41" i="55"/>
  <c r="AB34" i="55"/>
  <c r="AA42" i="55"/>
  <c r="AB24" i="55"/>
  <c r="AB22" i="55"/>
  <c r="AB13" i="55"/>
  <c r="AB11" i="55"/>
  <c r="AA10" i="55"/>
  <c r="AB35" i="55"/>
  <c r="AC42" i="55"/>
  <c r="AA36" i="55"/>
  <c r="AC32" i="55"/>
  <c r="AA26" i="55"/>
  <c r="AC43" i="55"/>
  <c r="AB30" i="55"/>
  <c r="H14" i="55"/>
  <c r="I37" i="55"/>
  <c r="H37" i="55"/>
  <c r="H48" i="55"/>
  <c r="AC41" i="50"/>
  <c r="AA41" i="50"/>
  <c r="AA30" i="55"/>
  <c r="AC17" i="55"/>
  <c r="AB16" i="55"/>
  <c r="AA15" i="55"/>
  <c r="AA18" i="50"/>
  <c r="AC28" i="55"/>
  <c r="AC33" i="55"/>
  <c r="AA38" i="55"/>
  <c r="AC20" i="55"/>
  <c r="G37" i="55"/>
  <c r="AC16" i="55"/>
  <c r="AC47" i="50"/>
  <c r="AA37" i="50"/>
  <c r="AA20" i="55"/>
  <c r="AC22" i="55"/>
  <c r="AB10" i="55"/>
  <c r="AC44" i="55"/>
  <c r="E31" i="55"/>
  <c r="AC24" i="55"/>
  <c r="AC37" i="50"/>
  <c r="H8" i="54"/>
  <c r="AB37" i="50"/>
  <c r="AB31" i="50"/>
  <c r="AC14" i="50"/>
  <c r="E41" i="55"/>
  <c r="AC39" i="55"/>
  <c r="E37" i="55"/>
  <c r="C31" i="55"/>
  <c r="AA25" i="55"/>
  <c r="D31" i="55"/>
  <c r="AC19" i="55"/>
  <c r="E21" i="55"/>
  <c r="E18" i="55"/>
  <c r="D18" i="55"/>
  <c r="AB15" i="55"/>
  <c r="E14" i="55"/>
  <c r="C14" i="55"/>
  <c r="AB18" i="50"/>
  <c r="C21" i="55"/>
  <c r="AC31" i="50"/>
  <c r="AC18" i="50"/>
  <c r="L8" i="50"/>
  <c r="D41" i="55"/>
  <c r="AB32" i="55"/>
  <c r="D37" i="55"/>
  <c r="AB19" i="55"/>
  <c r="D21" i="55"/>
  <c r="U12" i="49"/>
  <c r="W12" i="49"/>
  <c r="X12" i="49"/>
  <c r="T12" i="49"/>
  <c r="V12" i="49"/>
  <c r="J5" i="66"/>
  <c r="J20" i="66"/>
  <c r="C42" i="65"/>
  <c r="Z11" i="57"/>
  <c r="Z15" i="57" s="1"/>
  <c r="Z32" i="57" s="1"/>
  <c r="F11" i="57"/>
  <c r="F15" i="57" s="1"/>
  <c r="E49" i="64"/>
  <c r="H49" i="64" s="1"/>
  <c r="C12" i="80"/>
  <c r="I42" i="78"/>
  <c r="M8" i="78"/>
  <c r="M42" i="78"/>
  <c r="K8" i="78"/>
  <c r="G42" i="78"/>
  <c r="A3" i="83"/>
  <c r="A3" i="82"/>
  <c r="A3" i="84"/>
  <c r="W24" i="81"/>
  <c r="X26" i="81"/>
  <c r="W14" i="81"/>
  <c r="W26" i="81"/>
  <c r="F23" i="107"/>
  <c r="O15" i="80"/>
  <c r="O14" i="80"/>
  <c r="O21" i="80"/>
  <c r="X21" i="80" s="1"/>
  <c r="F23" i="109"/>
  <c r="K12" i="83"/>
  <c r="W12" i="84"/>
  <c r="G18" i="90" s="1"/>
  <c r="X13" i="84"/>
  <c r="Y13" i="84"/>
  <c r="P13" i="84"/>
  <c r="P12" i="84" s="1"/>
  <c r="D12" i="80"/>
  <c r="Q27" i="80"/>
  <c r="Y33" i="85"/>
  <c r="Y28" i="85"/>
  <c r="F27" i="80"/>
  <c r="W50" i="92"/>
  <c r="W52" i="92"/>
  <c r="W54" i="92"/>
  <c r="W55" i="92"/>
  <c r="W56" i="92"/>
  <c r="X61" i="94"/>
  <c r="X52" i="92"/>
  <c r="D64" i="92"/>
  <c r="F64" i="92"/>
  <c r="AC13" i="94"/>
  <c r="N30" i="94"/>
  <c r="AC10" i="94"/>
  <c r="AE26" i="94"/>
  <c r="C26" i="93"/>
  <c r="AC17" i="94"/>
  <c r="N15" i="92"/>
  <c r="C12" i="92"/>
  <c r="C16" i="92"/>
  <c r="C24" i="92"/>
  <c r="J30" i="92"/>
  <c r="L30" i="92"/>
  <c r="D29" i="92"/>
  <c r="AE20" i="95"/>
  <c r="D20" i="93"/>
  <c r="M30" i="95"/>
  <c r="AC13" i="95"/>
  <c r="AD17" i="95"/>
  <c r="AC22" i="95"/>
  <c r="AD29" i="95"/>
  <c r="M11" i="92"/>
  <c r="N12" i="92"/>
  <c r="N24" i="92"/>
  <c r="N25" i="92"/>
  <c r="N26" i="92"/>
  <c r="N29" i="92"/>
  <c r="AD13" i="95"/>
  <c r="AD26" i="95"/>
  <c r="AE10" i="95"/>
  <c r="AE12" i="95"/>
  <c r="D12" i="93"/>
  <c r="C30" i="95"/>
  <c r="C18" i="92"/>
  <c r="D12" i="92"/>
  <c r="D20" i="92"/>
  <c r="C21" i="92"/>
  <c r="D24" i="92"/>
  <c r="C11" i="92"/>
  <c r="D13" i="92"/>
  <c r="D17" i="92"/>
  <c r="C20" i="92"/>
  <c r="D21" i="92"/>
  <c r="W60" i="92"/>
  <c r="W61" i="95"/>
  <c r="Y55" i="95"/>
  <c r="X61" i="95"/>
  <c r="J64" i="92"/>
  <c r="N64" i="92"/>
  <c r="V64" i="92"/>
  <c r="AD19" i="96"/>
  <c r="AE19" i="96"/>
  <c r="E19" i="93"/>
  <c r="W30" i="92"/>
  <c r="N11" i="92"/>
  <c r="M17" i="92"/>
  <c r="M19" i="92"/>
  <c r="M21" i="92"/>
  <c r="M23" i="92"/>
  <c r="M24" i="92"/>
  <c r="M25" i="92"/>
  <c r="M26" i="92"/>
  <c r="M29" i="92"/>
  <c r="AD12" i="96"/>
  <c r="AE12" i="96"/>
  <c r="E12" i="93"/>
  <c r="AD16" i="96"/>
  <c r="AE16" i="96"/>
  <c r="E16" i="93"/>
  <c r="AD26" i="96"/>
  <c r="R30" i="92"/>
  <c r="N13" i="92"/>
  <c r="N17" i="92"/>
  <c r="N18" i="92"/>
  <c r="N19" i="92"/>
  <c r="N20" i="92"/>
  <c r="N21" i="92"/>
  <c r="N22" i="92"/>
  <c r="E30" i="92"/>
  <c r="C10" i="92"/>
  <c r="H30" i="92"/>
  <c r="D10" i="92"/>
  <c r="D30" i="96"/>
  <c r="AC22" i="96"/>
  <c r="C30" i="96"/>
  <c r="C26" i="92"/>
  <c r="F30" i="92"/>
  <c r="C15" i="92"/>
  <c r="D16" i="92"/>
  <c r="D18" i="92"/>
  <c r="C19" i="92"/>
  <c r="D22" i="92"/>
  <c r="C23" i="92"/>
  <c r="D26" i="92"/>
  <c r="C29" i="92"/>
  <c r="C13" i="92"/>
  <c r="C17" i="92"/>
  <c r="C25" i="92"/>
  <c r="D15" i="92"/>
  <c r="D19" i="92"/>
  <c r="C22" i="92"/>
  <c r="D23" i="92"/>
  <c r="D25" i="92"/>
  <c r="X45" i="92"/>
  <c r="X46" i="92"/>
  <c r="X47" i="92"/>
  <c r="X48" i="92"/>
  <c r="X49" i="92"/>
  <c r="X50" i="92"/>
  <c r="X51" i="92"/>
  <c r="X53" i="92"/>
  <c r="X54" i="92"/>
  <c r="X55" i="92"/>
  <c r="O64" i="92"/>
  <c r="S64" i="92"/>
  <c r="W58" i="92"/>
  <c r="W59" i="92"/>
  <c r="W63" i="92"/>
  <c r="X56" i="92"/>
  <c r="W44" i="92"/>
  <c r="W46" i="92"/>
  <c r="W47" i="92"/>
  <c r="W49" i="92"/>
  <c r="W51" i="92"/>
  <c r="W53" i="92"/>
  <c r="X60" i="92"/>
  <c r="W61" i="96"/>
  <c r="R64" i="92"/>
  <c r="AC14" i="97"/>
  <c r="AC13" i="97"/>
  <c r="AD14" i="97"/>
  <c r="G30" i="92"/>
  <c r="C14" i="92"/>
  <c r="AD25" i="97"/>
  <c r="AE25" i="97"/>
  <c r="F25" i="93"/>
  <c r="D14" i="92"/>
  <c r="AC26" i="97"/>
  <c r="AE26" i="97"/>
  <c r="F26" i="93"/>
  <c r="I30" i="92"/>
  <c r="X44" i="92"/>
  <c r="Q64" i="92"/>
  <c r="T64" i="92"/>
  <c r="W48" i="92"/>
  <c r="W57" i="92"/>
  <c r="X57" i="92"/>
  <c r="X58" i="92"/>
  <c r="X59" i="92"/>
  <c r="X63" i="92"/>
  <c r="AE29" i="97"/>
  <c r="F29" i="93"/>
  <c r="X30" i="92"/>
  <c r="Z30" i="92"/>
  <c r="T30" i="92"/>
  <c r="AB30" i="92"/>
  <c r="N23" i="92"/>
  <c r="P30" i="92"/>
  <c r="M10" i="92"/>
  <c r="V30" i="92"/>
  <c r="O30" i="92"/>
  <c r="M16" i="92"/>
  <c r="M22" i="92"/>
  <c r="Q30" i="92"/>
  <c r="U30" i="92"/>
  <c r="Y30" i="92"/>
  <c r="M15" i="92"/>
  <c r="S30" i="92"/>
  <c r="AA30" i="92"/>
  <c r="M14" i="92"/>
  <c r="N30" i="98"/>
  <c r="N29" i="45"/>
  <c r="N31" i="45"/>
  <c r="V33" i="45"/>
  <c r="V29" i="45"/>
  <c r="R29" i="45"/>
  <c r="J34" i="45"/>
  <c r="N33" i="45"/>
  <c r="J31" i="45"/>
  <c r="J27" i="45"/>
  <c r="J33" i="45"/>
  <c r="V31" i="45"/>
  <c r="R28" i="45"/>
  <c r="E35" i="45"/>
  <c r="N35" i="45"/>
  <c r="J32" i="45"/>
  <c r="V27" i="45"/>
  <c r="V30" i="45"/>
  <c r="J30" i="45"/>
  <c r="V28" i="45"/>
  <c r="N32" i="45"/>
  <c r="R34" i="45"/>
  <c r="J28" i="45"/>
  <c r="V32" i="45"/>
  <c r="V34" i="45"/>
  <c r="N30" i="45"/>
  <c r="F22" i="45"/>
  <c r="U36" i="45"/>
  <c r="F24" i="45"/>
  <c r="Q36" i="45"/>
  <c r="R26" i="45"/>
  <c r="M36" i="45"/>
  <c r="F25" i="45"/>
  <c r="F23" i="45"/>
  <c r="R19" i="45"/>
  <c r="J17" i="45"/>
  <c r="R17" i="45"/>
  <c r="J19" i="45"/>
  <c r="N16" i="45"/>
  <c r="R16" i="45"/>
  <c r="N18" i="45"/>
  <c r="N19" i="45"/>
  <c r="V16" i="45"/>
  <c r="V18" i="45"/>
  <c r="V14" i="45"/>
  <c r="N12" i="45"/>
  <c r="J13" i="45"/>
  <c r="V12" i="45"/>
  <c r="R13" i="45"/>
  <c r="I36" i="45"/>
  <c r="E15" i="45"/>
  <c r="J15" i="45"/>
  <c r="L31" i="45"/>
  <c r="T31" i="45"/>
  <c r="P29" i="45"/>
  <c r="P28" i="45"/>
  <c r="T29" i="45"/>
  <c r="P33" i="45"/>
  <c r="T34" i="45"/>
  <c r="H33" i="45"/>
  <c r="T28" i="45"/>
  <c r="L30" i="45"/>
  <c r="H29" i="45"/>
  <c r="D29" i="45"/>
  <c r="L28" i="45"/>
  <c r="L27" i="45"/>
  <c r="P30" i="45"/>
  <c r="T32" i="45"/>
  <c r="P27" i="45"/>
  <c r="T30" i="45"/>
  <c r="L34" i="45"/>
  <c r="T27" i="45"/>
  <c r="L32" i="45"/>
  <c r="P34" i="45"/>
  <c r="O36" i="45"/>
  <c r="D25" i="45"/>
  <c r="K36" i="45"/>
  <c r="P26" i="45"/>
  <c r="C35" i="45"/>
  <c r="H35" i="45"/>
  <c r="D24" i="45"/>
  <c r="D22" i="45"/>
  <c r="H26" i="45"/>
  <c r="D23" i="45"/>
  <c r="L19" i="45"/>
  <c r="T19" i="45"/>
  <c r="L17" i="45"/>
  <c r="P19" i="45"/>
  <c r="H17" i="45"/>
  <c r="P18" i="45"/>
  <c r="H18" i="45"/>
  <c r="H16" i="45"/>
  <c r="L16" i="45"/>
  <c r="P16" i="45"/>
  <c r="H13" i="45"/>
  <c r="L12" i="45"/>
  <c r="T12" i="45"/>
  <c r="P12" i="45"/>
  <c r="L14" i="45"/>
  <c r="C15" i="45"/>
  <c r="C20" i="45"/>
  <c r="P13" i="45"/>
  <c r="P14" i="45"/>
  <c r="T13" i="45"/>
  <c r="V36" i="44"/>
  <c r="W36" i="44"/>
  <c r="Z34" i="44"/>
  <c r="Z27" i="44"/>
  <c r="S35" i="44"/>
  <c r="S36" i="44"/>
  <c r="Z29" i="44"/>
  <c r="Q26" i="44"/>
  <c r="P36" i="44"/>
  <c r="M36" i="44"/>
  <c r="Y26" i="44"/>
  <c r="Y35" i="44"/>
  <c r="Z22" i="44"/>
  <c r="Z33" i="44"/>
  <c r="Z31" i="44"/>
  <c r="Z28" i="44"/>
  <c r="Z32" i="44"/>
  <c r="G36" i="44"/>
  <c r="Z23" i="44"/>
  <c r="Z25" i="44"/>
  <c r="Z24" i="44"/>
  <c r="T20" i="44"/>
  <c r="T15" i="44"/>
  <c r="Z13" i="44"/>
  <c r="N20" i="44"/>
  <c r="K20" i="44"/>
  <c r="Z19" i="44"/>
  <c r="Z17" i="44"/>
  <c r="Z18" i="44"/>
  <c r="Y15" i="44"/>
  <c r="Y20" i="44"/>
  <c r="Z12" i="44"/>
  <c r="O10" i="44"/>
  <c r="R10" i="44"/>
  <c r="U10" i="44"/>
  <c r="X10" i="44"/>
  <c r="X15" i="44"/>
  <c r="X26" i="44"/>
  <c r="X35" i="44"/>
  <c r="N34" i="43"/>
  <c r="L34" i="43"/>
  <c r="L25" i="43"/>
  <c r="N25" i="43"/>
  <c r="C34" i="43"/>
  <c r="C35" i="43"/>
  <c r="D35" i="43"/>
  <c r="J35" i="43"/>
  <c r="N19" i="43"/>
  <c r="L19" i="43"/>
  <c r="I19" i="43"/>
  <c r="E19" i="43"/>
  <c r="I14" i="43"/>
  <c r="E14" i="43"/>
  <c r="T20" i="40"/>
  <c r="O24" i="40"/>
  <c r="E24" i="40"/>
  <c r="AA47" i="39"/>
  <c r="AA40" i="39"/>
  <c r="AB20" i="39"/>
  <c r="R20" i="36"/>
  <c r="H12" i="36"/>
  <c r="I12" i="36"/>
  <c r="K14" i="36"/>
  <c r="F19" i="36"/>
  <c r="F11" i="36"/>
  <c r="G11" i="36"/>
  <c r="H13" i="36"/>
  <c r="I13" i="36"/>
  <c r="F13" i="36"/>
  <c r="G13" i="36"/>
  <c r="F16" i="36"/>
  <c r="G16" i="36"/>
  <c r="H18" i="36"/>
  <c r="R14" i="36"/>
  <c r="S14" i="36"/>
  <c r="R17" i="36"/>
  <c r="S17" i="36"/>
  <c r="K19" i="36"/>
  <c r="H11" i="36"/>
  <c r="I11" i="36"/>
  <c r="R13" i="36"/>
  <c r="S13" i="36"/>
  <c r="F14" i="36"/>
  <c r="G14" i="36"/>
  <c r="F20" i="36"/>
  <c r="R16" i="36"/>
  <c r="S16" i="36"/>
  <c r="U13" i="36"/>
  <c r="H16" i="36"/>
  <c r="I16" i="36"/>
  <c r="F12" i="36"/>
  <c r="G12" i="36"/>
  <c r="H17" i="36"/>
  <c r="I17" i="36"/>
  <c r="F17" i="36"/>
  <c r="G17" i="36"/>
  <c r="AL22" i="57"/>
  <c r="H22" i="67" s="1"/>
  <c r="F27" i="68"/>
  <c r="L18" i="46"/>
  <c r="L19" i="46"/>
  <c r="L81" i="63"/>
  <c r="E10" i="102"/>
  <c r="C13" i="65"/>
  <c r="C14" i="65"/>
  <c r="C18" i="65"/>
  <c r="C40" i="65"/>
  <c r="C47" i="65"/>
  <c r="C49" i="65"/>
  <c r="C59" i="65"/>
  <c r="C61" i="65"/>
  <c r="J14" i="66"/>
  <c r="J16" i="66"/>
  <c r="J18" i="66"/>
  <c r="J26" i="66"/>
  <c r="Q29" i="78"/>
  <c r="Y10" i="49"/>
  <c r="AL16" i="57"/>
  <c r="H17" i="67" s="1"/>
  <c r="AL17" i="57"/>
  <c r="H19" i="67" s="1"/>
  <c r="V25" i="57"/>
  <c r="D34" i="63"/>
  <c r="C91" i="65"/>
  <c r="B77" i="12"/>
  <c r="K61" i="12"/>
  <c r="E56" i="12"/>
  <c r="G56" i="12"/>
  <c r="B47" i="12"/>
  <c r="K37" i="12"/>
  <c r="E37" i="12"/>
  <c r="B23" i="12"/>
  <c r="B21" i="12"/>
  <c r="K25" i="12"/>
  <c r="E34" i="11"/>
  <c r="D16" i="41"/>
  <c r="D26" i="41"/>
  <c r="D32" i="41"/>
  <c r="D21" i="41"/>
  <c r="D29" i="41"/>
  <c r="D43" i="41"/>
  <c r="D18" i="41"/>
  <c r="D36" i="41"/>
  <c r="D44" i="41"/>
  <c r="D23" i="41"/>
  <c r="D33" i="41"/>
  <c r="D41" i="41"/>
  <c r="D45" i="41"/>
  <c r="D22" i="41"/>
  <c r="D28" i="41"/>
  <c r="D38" i="41"/>
  <c r="D15" i="41"/>
  <c r="D27" i="41"/>
  <c r="D14" i="41"/>
  <c r="D37" i="41"/>
  <c r="F32" i="68"/>
  <c r="G25" i="46"/>
  <c r="D5" i="63"/>
  <c r="G19" i="64"/>
  <c r="K20" i="34"/>
  <c r="N23" i="110"/>
  <c r="C56" i="63"/>
  <c r="E25" i="46"/>
  <c r="D57" i="63"/>
  <c r="AC20" i="36"/>
  <c r="M18" i="36"/>
  <c r="F24" i="121"/>
  <c r="M24" i="121"/>
  <c r="J73" i="12"/>
  <c r="H73" i="12"/>
  <c r="B78" i="12"/>
  <c r="F73" i="12"/>
  <c r="B79" i="12"/>
  <c r="D73" i="12"/>
  <c r="B73" i="11"/>
  <c r="H67" i="12"/>
  <c r="B71" i="12"/>
  <c r="B67" i="11"/>
  <c r="D67" i="12"/>
  <c r="H22" i="72"/>
  <c r="H76" i="72"/>
  <c r="J61" i="12"/>
  <c r="H61" i="12"/>
  <c r="G61" i="12"/>
  <c r="B65" i="12"/>
  <c r="E61" i="12"/>
  <c r="B61" i="11"/>
  <c r="E85" i="11"/>
  <c r="B59" i="12"/>
  <c r="B58" i="12"/>
  <c r="F56" i="12"/>
  <c r="J56" i="12"/>
  <c r="E67" i="12"/>
  <c r="I67" i="12"/>
  <c r="J67" i="12"/>
  <c r="E73" i="12"/>
  <c r="B81" i="12"/>
  <c r="B82" i="12"/>
  <c r="G73" i="12"/>
  <c r="I73" i="12"/>
  <c r="B62" i="12"/>
  <c r="B80" i="12"/>
  <c r="K73" i="12"/>
  <c r="B20" i="12"/>
  <c r="B83" i="12"/>
  <c r="B76" i="12"/>
  <c r="K67" i="12"/>
  <c r="E29" i="12"/>
  <c r="H56" i="12"/>
  <c r="F61" i="12"/>
  <c r="G67" i="12"/>
  <c r="F37" i="12"/>
  <c r="G9" i="12"/>
  <c r="H9" i="12"/>
  <c r="B15" i="12"/>
  <c r="B11" i="12"/>
  <c r="D17" i="12"/>
  <c r="E17" i="12"/>
  <c r="J17" i="12"/>
  <c r="G25" i="12"/>
  <c r="I25" i="12"/>
  <c r="H37" i="12"/>
  <c r="B57" i="12"/>
  <c r="I56" i="12"/>
  <c r="I61" i="12"/>
  <c r="D56" i="12"/>
  <c r="H19" i="72"/>
  <c r="H73" i="72"/>
  <c r="K56" i="12"/>
  <c r="K43" i="12"/>
  <c r="K9" i="12"/>
  <c r="E25" i="12"/>
  <c r="B70" i="12"/>
  <c r="H25" i="12"/>
  <c r="J37" i="12"/>
  <c r="B31" i="12"/>
  <c r="E9" i="12"/>
  <c r="B13" i="12"/>
  <c r="B56" i="11"/>
  <c r="H23" i="72"/>
  <c r="B74" i="12"/>
  <c r="D61" i="12"/>
  <c r="K17" i="12"/>
  <c r="D29" i="12"/>
  <c r="J85" i="11"/>
  <c r="F85" i="11"/>
  <c r="K29" i="12"/>
  <c r="F25" i="12"/>
  <c r="B68" i="12"/>
  <c r="H21" i="72"/>
  <c r="B64" i="12"/>
  <c r="H34" i="11"/>
  <c r="D34" i="11"/>
  <c r="B19" i="12"/>
  <c r="I17" i="12"/>
  <c r="B53" i="12"/>
  <c r="B52" i="12"/>
  <c r="B49" i="12"/>
  <c r="B44" i="12"/>
  <c r="B54" i="12"/>
  <c r="J43" i="12"/>
  <c r="H43" i="12"/>
  <c r="I43" i="12"/>
  <c r="B45" i="12"/>
  <c r="F43" i="12"/>
  <c r="E43" i="12"/>
  <c r="B48" i="12"/>
  <c r="B50" i="12"/>
  <c r="D43" i="12"/>
  <c r="B51" i="12"/>
  <c r="G43" i="12"/>
  <c r="H18" i="72"/>
  <c r="H85" i="11"/>
  <c r="L85" i="11"/>
  <c r="K85" i="11"/>
  <c r="B46" i="12"/>
  <c r="I85" i="11"/>
  <c r="B43" i="11"/>
  <c r="G85" i="11"/>
  <c r="I37" i="12"/>
  <c r="B38" i="12"/>
  <c r="G37" i="12"/>
  <c r="B39" i="12"/>
  <c r="D37" i="12"/>
  <c r="B40" i="12"/>
  <c r="B41" i="12"/>
  <c r="H15" i="72"/>
  <c r="B37" i="11"/>
  <c r="B32" i="12"/>
  <c r="J29" i="12"/>
  <c r="L34" i="11"/>
  <c r="I29" i="12"/>
  <c r="H29" i="12"/>
  <c r="G29" i="12"/>
  <c r="B29" i="11"/>
  <c r="Q20" i="38"/>
  <c r="I34" i="11"/>
  <c r="F29" i="12"/>
  <c r="H13" i="72"/>
  <c r="H67" i="72"/>
  <c r="B30" i="12"/>
  <c r="B27" i="12"/>
  <c r="D25" i="12"/>
  <c r="B26" i="12"/>
  <c r="F34" i="11"/>
  <c r="H12" i="72"/>
  <c r="H66" i="72"/>
  <c r="B25" i="11"/>
  <c r="K34" i="11"/>
  <c r="B18" i="12"/>
  <c r="F17" i="12"/>
  <c r="G34" i="11"/>
  <c r="B22" i="12"/>
  <c r="H17" i="12"/>
  <c r="G17" i="12"/>
  <c r="H10" i="72"/>
  <c r="H64" i="72"/>
  <c r="B17" i="11"/>
  <c r="S5" i="67"/>
  <c r="J34" i="11"/>
  <c r="B10" i="12"/>
  <c r="B14" i="12"/>
  <c r="F9" i="12"/>
  <c r="I9" i="12"/>
  <c r="D9" i="12"/>
  <c r="B12" i="12"/>
  <c r="J9" i="12"/>
  <c r="B9" i="11"/>
  <c r="C12" i="10"/>
  <c r="B12" i="10"/>
  <c r="D20" i="41"/>
  <c r="D34" i="41"/>
  <c r="D42" i="41"/>
  <c r="D17" i="41"/>
  <c r="D25" i="41"/>
  <c r="D31" i="41"/>
  <c r="F23" i="41"/>
  <c r="F39" i="41"/>
  <c r="F24" i="41"/>
  <c r="F36" i="41"/>
  <c r="F19" i="41"/>
  <c r="F35" i="41"/>
  <c r="F20" i="41"/>
  <c r="F38" i="41"/>
  <c r="F31" i="41"/>
  <c r="F16" i="41"/>
  <c r="F32" i="41"/>
  <c r="F44" i="41"/>
  <c r="F15" i="41"/>
  <c r="V81" i="63"/>
  <c r="E18" i="102"/>
  <c r="B80" i="63"/>
  <c r="C16" i="65"/>
  <c r="C23" i="65"/>
  <c r="C33" i="65"/>
  <c r="C38" i="65"/>
  <c r="C51" i="65"/>
  <c r="C57" i="65"/>
  <c r="C65" i="65"/>
  <c r="Q17" i="78"/>
  <c r="U20" i="31"/>
  <c r="U20" i="37"/>
  <c r="U20" i="34"/>
  <c r="O18" i="36"/>
  <c r="K13" i="48"/>
  <c r="Y15" i="48"/>
  <c r="L16" i="46"/>
  <c r="U20" i="35"/>
  <c r="L41" i="110"/>
  <c r="K20" i="36"/>
  <c r="B71" i="63"/>
  <c r="B73" i="63"/>
  <c r="C36" i="65"/>
  <c r="C53" i="65"/>
  <c r="C67" i="65"/>
  <c r="Q25" i="78"/>
  <c r="AF21" i="70"/>
  <c r="C14" i="63"/>
  <c r="C58" i="63"/>
  <c r="K20" i="33"/>
  <c r="K20" i="35"/>
  <c r="K12" i="48"/>
  <c r="L13" i="46"/>
  <c r="L17" i="46"/>
  <c r="C18" i="63"/>
  <c r="F30" i="64"/>
  <c r="M30" i="110"/>
  <c r="X12" i="48"/>
  <c r="R16" i="48"/>
  <c r="R20" i="48"/>
  <c r="R24" i="48"/>
  <c r="J13" i="48"/>
  <c r="X13" i="48"/>
  <c r="J14" i="48"/>
  <c r="J15" i="48"/>
  <c r="X15" i="48"/>
  <c r="J17" i="48"/>
  <c r="X17" i="48"/>
  <c r="J19" i="48"/>
  <c r="X19" i="48"/>
  <c r="K11" i="46"/>
  <c r="K13" i="46"/>
  <c r="K14" i="46"/>
  <c r="K15" i="46"/>
  <c r="K16" i="46"/>
  <c r="K17" i="46"/>
  <c r="K18" i="46"/>
  <c r="K19" i="46"/>
  <c r="C10" i="65"/>
  <c r="C19" i="65"/>
  <c r="C21" i="65"/>
  <c r="C35" i="65"/>
  <c r="C43" i="65"/>
  <c r="C60" i="65"/>
  <c r="C66" i="65"/>
  <c r="Q20" i="78"/>
  <c r="Q15" i="78"/>
  <c r="Q19" i="78"/>
  <c r="Y11" i="49"/>
  <c r="AL30" i="57"/>
  <c r="F17" i="41"/>
  <c r="F21" i="41"/>
  <c r="F25" i="41"/>
  <c r="F29" i="41"/>
  <c r="F33" i="41"/>
  <c r="F37" i="41"/>
  <c r="F41" i="41"/>
  <c r="F45" i="41"/>
  <c r="F40" i="41"/>
  <c r="F14" i="41"/>
  <c r="F18" i="41"/>
  <c r="F22" i="41"/>
  <c r="F26" i="41"/>
  <c r="F30" i="41"/>
  <c r="F34" i="41"/>
  <c r="AA18" i="36"/>
  <c r="O19" i="36"/>
  <c r="K18" i="36"/>
  <c r="G29" i="64"/>
  <c r="C35" i="63"/>
  <c r="C34" i="63"/>
  <c r="C33" i="63"/>
  <c r="D32" i="63"/>
  <c r="D31" i="63"/>
  <c r="C31" i="63"/>
  <c r="Y19" i="36"/>
  <c r="R23" i="47"/>
  <c r="K27" i="46"/>
  <c r="K29" i="46"/>
  <c r="C62" i="65"/>
  <c r="C64" i="65"/>
  <c r="AE20" i="34"/>
  <c r="AE20" i="33"/>
  <c r="Y9" i="49"/>
  <c r="D28" i="63"/>
  <c r="F18" i="64"/>
  <c r="C57" i="63"/>
  <c r="Q20" i="35"/>
  <c r="L14" i="46"/>
  <c r="B70" i="63"/>
  <c r="T81" i="63"/>
  <c r="E12" i="102"/>
  <c r="G12" i="102"/>
  <c r="AB81" i="63"/>
  <c r="E14" i="102"/>
  <c r="P81" i="63"/>
  <c r="E13" i="102"/>
  <c r="X81" i="63"/>
  <c r="E17" i="102"/>
  <c r="F81" i="63"/>
  <c r="E6" i="102"/>
  <c r="N81" i="63"/>
  <c r="E8" i="102"/>
  <c r="B76" i="63"/>
  <c r="B77" i="63"/>
  <c r="B78" i="63"/>
  <c r="C11" i="65"/>
  <c r="C12" i="65"/>
  <c r="C44" i="65"/>
  <c r="C22" i="65"/>
  <c r="Q66" i="78"/>
  <c r="AC19" i="36"/>
  <c r="Y20" i="33"/>
  <c r="Y20" i="36"/>
  <c r="G47" i="64"/>
  <c r="K39" i="46"/>
  <c r="C25" i="65"/>
  <c r="C45" i="65"/>
  <c r="C55" i="65"/>
  <c r="C63" i="65"/>
  <c r="R25" i="57"/>
  <c r="T19" i="40"/>
  <c r="H24" i="40"/>
  <c r="I24" i="40"/>
  <c r="D24" i="40"/>
  <c r="J24" i="40"/>
  <c r="F24" i="40"/>
  <c r="R24" i="40"/>
  <c r="T16" i="40"/>
  <c r="P24" i="40"/>
  <c r="S24" i="40"/>
  <c r="T12" i="40"/>
  <c r="N24" i="40"/>
  <c r="T15" i="40"/>
  <c r="T18" i="40"/>
  <c r="M24" i="40"/>
  <c r="T14" i="40"/>
  <c r="L24" i="40"/>
  <c r="K24" i="40"/>
  <c r="T10" i="40"/>
  <c r="T17" i="40"/>
  <c r="T23" i="40"/>
  <c r="G24" i="40"/>
  <c r="T11" i="40"/>
  <c r="T13" i="40"/>
  <c r="C24" i="40"/>
  <c r="T59" i="40"/>
  <c r="AA42" i="39"/>
  <c r="AA46" i="39"/>
  <c r="AA48" i="39"/>
  <c r="AA44" i="39"/>
  <c r="AA41" i="39"/>
  <c r="AA52" i="39"/>
  <c r="AA39" i="39"/>
  <c r="Z53" i="39"/>
  <c r="Y53" i="39"/>
  <c r="AA45" i="39"/>
  <c r="AA19" i="39"/>
  <c r="AC19" i="39"/>
  <c r="AB12" i="39"/>
  <c r="AA16" i="39"/>
  <c r="AC16" i="39"/>
  <c r="W18" i="36"/>
  <c r="W20" i="35"/>
  <c r="W20" i="36"/>
  <c r="W20" i="37"/>
  <c r="W20" i="33"/>
  <c r="D58" i="63"/>
  <c r="G55" i="64"/>
  <c r="D40" i="63"/>
  <c r="C40" i="63"/>
  <c r="D37" i="63"/>
  <c r="D35" i="63"/>
  <c r="D33" i="63"/>
  <c r="L13" i="110"/>
  <c r="B9" i="15"/>
  <c r="B24" i="48"/>
  <c r="O20" i="36"/>
  <c r="H20" i="30"/>
  <c r="I20" i="32"/>
  <c r="F20" i="30"/>
  <c r="G20" i="32"/>
  <c r="O20" i="37"/>
  <c r="C21" i="63"/>
  <c r="D18" i="63"/>
  <c r="D17" i="63"/>
  <c r="C17" i="63"/>
  <c r="D16" i="63"/>
  <c r="D14" i="63"/>
  <c r="D13" i="63"/>
  <c r="D12" i="63"/>
  <c r="C12" i="63"/>
  <c r="D59" i="63"/>
  <c r="C59" i="63"/>
  <c r="B72" i="63"/>
  <c r="H81" i="63"/>
  <c r="E7" i="102"/>
  <c r="E43" i="78"/>
  <c r="D19" i="79" s="1"/>
  <c r="V19" i="79" s="1"/>
  <c r="AA20" i="33"/>
  <c r="AA20" i="37"/>
  <c r="AA20" i="34"/>
  <c r="AA20" i="35"/>
  <c r="C42" i="63"/>
  <c r="C60" i="46"/>
  <c r="K56" i="46"/>
  <c r="AC18" i="36"/>
  <c r="U19" i="36"/>
  <c r="AF10" i="70"/>
  <c r="AF16" i="70"/>
  <c r="H49" i="72"/>
  <c r="H79" i="72" s="1"/>
  <c r="D6" i="63"/>
  <c r="C6" i="63"/>
  <c r="G7" i="65"/>
  <c r="E7" i="65"/>
  <c r="F60" i="46"/>
  <c r="J81" i="63"/>
  <c r="E9" i="102"/>
  <c r="B79" i="63"/>
  <c r="F7" i="65"/>
  <c r="C15" i="65"/>
  <c r="C17" i="65"/>
  <c r="C24" i="65"/>
  <c r="C29" i="65"/>
  <c r="C37" i="65"/>
  <c r="C39" i="65"/>
  <c r="C41" i="65"/>
  <c r="C46" i="65"/>
  <c r="C48" i="65"/>
  <c r="C50" i="65"/>
  <c r="C52" i="65"/>
  <c r="C54" i="65"/>
  <c r="C58" i="65"/>
  <c r="M20" i="34"/>
  <c r="M20" i="37"/>
  <c r="M20" i="36"/>
  <c r="M20" i="33"/>
  <c r="M20" i="35"/>
  <c r="M56" i="110"/>
  <c r="D45" i="63"/>
  <c r="C45" i="63"/>
  <c r="D43" i="63"/>
  <c r="C43" i="63"/>
  <c r="D21" i="63"/>
  <c r="D19" i="63"/>
  <c r="C19" i="63"/>
  <c r="M24" i="110"/>
  <c r="Q51" i="78"/>
  <c r="W40" i="71"/>
  <c r="G16" i="48"/>
  <c r="G20" i="48"/>
  <c r="Q16" i="48"/>
  <c r="Q20" i="48"/>
  <c r="Y13" i="48"/>
  <c r="K14" i="48"/>
  <c r="K15" i="48"/>
  <c r="K17" i="48"/>
  <c r="K19" i="48"/>
  <c r="Y19" i="48"/>
  <c r="R21" i="47"/>
  <c r="K10" i="47"/>
  <c r="C8" i="65"/>
  <c r="AL20" i="57"/>
  <c r="H20" i="67" s="1"/>
  <c r="C13" i="102" s="1"/>
  <c r="D13" i="102" s="1"/>
  <c r="AL14" i="57"/>
  <c r="H15" i="67" s="1"/>
  <c r="R21" i="57"/>
  <c r="Z25" i="57"/>
  <c r="C60" i="63"/>
  <c r="D44" i="63"/>
  <c r="C44" i="63"/>
  <c r="R11" i="57"/>
  <c r="R15" i="57"/>
  <c r="R32" i="57" s="1"/>
  <c r="F50" i="46"/>
  <c r="E60" i="46"/>
  <c r="I60" i="46"/>
  <c r="K57" i="46"/>
  <c r="K58" i="46"/>
  <c r="AD81" i="63"/>
  <c r="E15" i="102"/>
  <c r="B74" i="63"/>
  <c r="B75" i="63"/>
  <c r="Q21" i="78"/>
  <c r="J25" i="57"/>
  <c r="AL18" i="57"/>
  <c r="H18" i="67" s="1"/>
  <c r="C12" i="102" s="1"/>
  <c r="D12" i="102" s="1"/>
  <c r="AA15" i="39"/>
  <c r="AB17" i="39"/>
  <c r="AA17" i="39"/>
  <c r="AB15" i="39"/>
  <c r="AB18" i="39"/>
  <c r="AA18" i="39"/>
  <c r="AB10" i="39"/>
  <c r="AB23" i="39"/>
  <c r="AA13" i="39"/>
  <c r="AC13" i="39"/>
  <c r="L12" i="106"/>
  <c r="AA12" i="39"/>
  <c r="AA10" i="39"/>
  <c r="AB14" i="39"/>
  <c r="AA14" i="39"/>
  <c r="N24" i="39"/>
  <c r="M24" i="39"/>
  <c r="AB11" i="39"/>
  <c r="C24" i="39"/>
  <c r="AA23" i="39"/>
  <c r="AA11" i="39"/>
  <c r="D24" i="39"/>
  <c r="K26" i="46"/>
  <c r="I25" i="46"/>
  <c r="M50" i="110"/>
  <c r="D42" i="63"/>
  <c r="C15" i="63"/>
  <c r="M52" i="110"/>
  <c r="D60" i="63"/>
  <c r="D14" i="76"/>
  <c r="R14" i="47"/>
  <c r="Q20" i="36"/>
  <c r="L16" i="48"/>
  <c r="L20" i="48"/>
  <c r="X11" i="48"/>
  <c r="C5" i="63"/>
  <c r="R81" i="63"/>
  <c r="E11" i="102"/>
  <c r="Z81" i="63"/>
  <c r="E16" i="102"/>
  <c r="G16" i="102"/>
  <c r="G43" i="64"/>
  <c r="D15" i="63"/>
  <c r="D9" i="63"/>
  <c r="N16" i="48"/>
  <c r="N20" i="48"/>
  <c r="N24" i="48"/>
  <c r="Q63" i="78"/>
  <c r="AE20" i="36"/>
  <c r="AE20" i="35"/>
  <c r="AE20" i="37"/>
  <c r="L23" i="110"/>
  <c r="E13" i="73"/>
  <c r="G10" i="75" s="1"/>
  <c r="Y18" i="36"/>
  <c r="Q20" i="34"/>
  <c r="E16" i="48"/>
  <c r="E20" i="48"/>
  <c r="I16" i="48"/>
  <c r="I20" i="48"/>
  <c r="AF20" i="70"/>
  <c r="K28" i="46"/>
  <c r="K35" i="46"/>
  <c r="K36" i="46"/>
  <c r="AF29" i="70"/>
  <c r="AF27" i="70"/>
  <c r="C13" i="63"/>
  <c r="D56" i="63"/>
  <c r="H16" i="48"/>
  <c r="H20" i="48"/>
  <c r="M16" i="48"/>
  <c r="M20" i="48"/>
  <c r="Y11" i="48"/>
  <c r="Y12" i="48"/>
  <c r="Y14" i="48"/>
  <c r="Y17" i="48"/>
  <c r="R7" i="47"/>
  <c r="E50" i="46"/>
  <c r="D60" i="46"/>
  <c r="K59" i="46"/>
  <c r="C47" i="63"/>
  <c r="R20" i="30"/>
  <c r="S20" i="33"/>
  <c r="O16" i="48"/>
  <c r="O20" i="48"/>
  <c r="S16" i="48"/>
  <c r="S20" i="48"/>
  <c r="U16" i="48"/>
  <c r="U20" i="48"/>
  <c r="E20" i="46"/>
  <c r="L15" i="46"/>
  <c r="C37" i="46"/>
  <c r="J10" i="47"/>
  <c r="I50" i="46"/>
  <c r="K47" i="46"/>
  <c r="K48" i="46"/>
  <c r="K49" i="46"/>
  <c r="G60" i="46"/>
  <c r="Q11" i="78"/>
  <c r="Q28" i="78"/>
  <c r="AH21" i="57"/>
  <c r="AH31" i="57" s="1"/>
  <c r="D55" i="63"/>
  <c r="D51" i="63"/>
  <c r="D47" i="63"/>
  <c r="H7" i="65"/>
  <c r="C20" i="65"/>
  <c r="I7" i="65"/>
  <c r="J7" i="65"/>
  <c r="Q9" i="78"/>
  <c r="Q52" i="78"/>
  <c r="AF31" i="70"/>
  <c r="AF23" i="70"/>
  <c r="G12" i="49"/>
  <c r="C20" i="63"/>
  <c r="D11" i="63"/>
  <c r="C11" i="63"/>
  <c r="D10" i="63"/>
  <c r="C10" i="63"/>
  <c r="F28" i="64"/>
  <c r="D26" i="63"/>
  <c r="C26" i="63"/>
  <c r="D22" i="63"/>
  <c r="C22" i="63"/>
  <c r="C55" i="63"/>
  <c r="D54" i="63"/>
  <c r="C54" i="63"/>
  <c r="D53" i="63"/>
  <c r="C53" i="63"/>
  <c r="D52" i="63"/>
  <c r="C52" i="63"/>
  <c r="C51" i="63"/>
  <c r="D50" i="63"/>
  <c r="C50" i="63"/>
  <c r="D49" i="63"/>
  <c r="C49" i="63"/>
  <c r="D48" i="63"/>
  <c r="D46" i="63"/>
  <c r="C46" i="63"/>
  <c r="C24" i="63"/>
  <c r="C23" i="63"/>
  <c r="C7" i="63"/>
  <c r="AL9" i="57"/>
  <c r="H10" i="67" s="1"/>
  <c r="C7" i="102" s="1"/>
  <c r="D7" i="102" s="1"/>
  <c r="AL8" i="57"/>
  <c r="H9" i="67" s="1"/>
  <c r="D7" i="65"/>
  <c r="E30" i="46"/>
  <c r="K31" i="46"/>
  <c r="K32" i="46"/>
  <c r="C30" i="46"/>
  <c r="E37" i="46"/>
  <c r="J11" i="47"/>
  <c r="K38" i="46"/>
  <c r="C50" i="46"/>
  <c r="K46" i="46"/>
  <c r="D41" i="63"/>
  <c r="C41" i="63"/>
  <c r="D29" i="63"/>
  <c r="C29" i="63"/>
  <c r="D39" i="63"/>
  <c r="L39" i="110"/>
  <c r="D38" i="63"/>
  <c r="C38" i="63"/>
  <c r="D30" i="63"/>
  <c r="C30" i="63"/>
  <c r="D27" i="63"/>
  <c r="C27" i="63"/>
  <c r="D25" i="63"/>
  <c r="D8" i="63"/>
  <c r="C8" i="63"/>
  <c r="I33" i="46"/>
  <c r="K34" i="46"/>
  <c r="K40" i="46"/>
  <c r="D50" i="46"/>
  <c r="E9" i="64"/>
  <c r="B11" i="15"/>
  <c r="F24" i="48"/>
  <c r="F38" i="73"/>
  <c r="F13" i="73"/>
  <c r="G12" i="75" s="1"/>
  <c r="G42" i="73"/>
  <c r="G13" i="73"/>
  <c r="G11" i="75" s="1"/>
  <c r="C28" i="63"/>
  <c r="C48" i="63"/>
  <c r="C39" i="63"/>
  <c r="C37" i="63"/>
  <c r="D36" i="63"/>
  <c r="C36" i="63"/>
  <c r="C32" i="63"/>
  <c r="C25" i="63"/>
  <c r="D24" i="63"/>
  <c r="D23" i="63"/>
  <c r="D20" i="63"/>
  <c r="C9" i="63"/>
  <c r="D7" i="63"/>
  <c r="C16" i="48"/>
  <c r="C20" i="48"/>
  <c r="K11" i="48"/>
  <c r="C20" i="46"/>
  <c r="K12" i="46"/>
  <c r="B18" i="15"/>
  <c r="T24" i="48"/>
  <c r="AE19" i="36"/>
  <c r="AF12" i="70"/>
  <c r="AF28" i="70"/>
  <c r="AF24" i="70"/>
  <c r="D16" i="48"/>
  <c r="D20" i="48"/>
  <c r="J11" i="48"/>
  <c r="B16" i="15"/>
  <c r="H60" i="46"/>
  <c r="O26" i="78"/>
  <c r="F20" i="46"/>
  <c r="L11" i="46"/>
  <c r="H50" i="46"/>
  <c r="Q18" i="36"/>
  <c r="AE18" i="36"/>
  <c r="W19" i="36"/>
  <c r="AC20" i="31"/>
  <c r="AC20" i="34"/>
  <c r="AC20" i="37"/>
  <c r="AC20" i="35"/>
  <c r="V16" i="48"/>
  <c r="V20" i="48"/>
  <c r="J12" i="48"/>
  <c r="X14" i="48"/>
  <c r="R22" i="47"/>
  <c r="K11" i="47"/>
  <c r="J12" i="47"/>
  <c r="C56" i="65"/>
  <c r="C68" i="65"/>
  <c r="Q20" i="31"/>
  <c r="Q20" i="37"/>
  <c r="AF18" i="70"/>
  <c r="C16" i="63"/>
  <c r="AE26" i="95"/>
  <c r="D26" i="93"/>
  <c r="AE21" i="95"/>
  <c r="D21" i="93"/>
  <c r="AE18" i="95"/>
  <c r="D18" i="93"/>
  <c r="AE16" i="95"/>
  <c r="D16" i="93"/>
  <c r="H16" i="93"/>
  <c r="AE15" i="97"/>
  <c r="F15" i="93"/>
  <c r="AE24" i="97"/>
  <c r="F24" i="93"/>
  <c r="AE20" i="97"/>
  <c r="F20" i="93"/>
  <c r="AD23" i="92"/>
  <c r="AE18" i="97"/>
  <c r="F18" i="93"/>
  <c r="AE22" i="97"/>
  <c r="F22" i="93"/>
  <c r="AE24" i="96"/>
  <c r="E24" i="93"/>
  <c r="AE13" i="96"/>
  <c r="E13" i="93"/>
  <c r="AE25" i="96"/>
  <c r="E25" i="93"/>
  <c r="AE23" i="95"/>
  <c r="D23" i="93"/>
  <c r="AE17" i="95"/>
  <c r="D17" i="93"/>
  <c r="AE25" i="94"/>
  <c r="C25" i="93"/>
  <c r="H25" i="93"/>
  <c r="AE23" i="94"/>
  <c r="C23" i="93"/>
  <c r="AE18" i="94"/>
  <c r="C18" i="93"/>
  <c r="AD21" i="92"/>
  <c r="AD20" i="92"/>
  <c r="Y46" i="92"/>
  <c r="B8" i="63"/>
  <c r="AB23" i="52"/>
  <c r="AA49" i="52"/>
  <c r="Q36" i="44"/>
  <c r="T36" i="44"/>
  <c r="N36" i="44"/>
  <c r="H36" i="44"/>
  <c r="J36" i="44"/>
  <c r="AC20" i="39"/>
  <c r="K78" i="39"/>
  <c r="F33" i="45"/>
  <c r="F12" i="45"/>
  <c r="F14" i="45"/>
  <c r="F16" i="45"/>
  <c r="F17" i="45"/>
  <c r="AC20" i="30"/>
  <c r="V19" i="77"/>
  <c r="X19" i="79"/>
  <c r="H8" i="78"/>
  <c r="F42" i="78"/>
  <c r="M8" i="54"/>
  <c r="Q8" i="50"/>
  <c r="M8" i="52"/>
  <c r="M8" i="55"/>
  <c r="M8" i="51"/>
  <c r="M8" i="53"/>
  <c r="K8" i="54"/>
  <c r="K8" i="53"/>
  <c r="K8" i="55"/>
  <c r="O8" i="50"/>
  <c r="K8" i="52"/>
  <c r="K8" i="51"/>
  <c r="T23" i="55"/>
  <c r="AA48" i="54"/>
  <c r="AA23" i="54"/>
  <c r="X23" i="55"/>
  <c r="L23" i="55"/>
  <c r="H23" i="55"/>
  <c r="H49" i="55"/>
  <c r="AA23" i="53"/>
  <c r="AB48" i="52"/>
  <c r="K48" i="55"/>
  <c r="M48" i="55"/>
  <c r="T48" i="55"/>
  <c r="T49" i="55"/>
  <c r="P48" i="55"/>
  <c r="O23" i="55"/>
  <c r="AC23" i="51"/>
  <c r="G23" i="55"/>
  <c r="AB48" i="51"/>
  <c r="U48" i="55"/>
  <c r="Q48" i="55"/>
  <c r="Q23" i="55"/>
  <c r="D33" i="45"/>
  <c r="D30" i="45"/>
  <c r="D31" i="45"/>
  <c r="D26" i="45"/>
  <c r="D13" i="45"/>
  <c r="D12" i="45"/>
  <c r="D19" i="45"/>
  <c r="D34" i="45"/>
  <c r="L15" i="45"/>
  <c r="D17" i="45"/>
  <c r="G19" i="43"/>
  <c r="Q80" i="39"/>
  <c r="AE29" i="95"/>
  <c r="D29" i="93"/>
  <c r="AE22" i="95"/>
  <c r="D22" i="93"/>
  <c r="AE22" i="96"/>
  <c r="E22" i="93"/>
  <c r="AE13" i="97"/>
  <c r="F13" i="93"/>
  <c r="AC22" i="92"/>
  <c r="L35" i="43"/>
  <c r="T35" i="44"/>
  <c r="D36" i="44"/>
  <c r="F34" i="45"/>
  <c r="F29" i="45"/>
  <c r="F26" i="45"/>
  <c r="F19" i="45"/>
  <c r="S46" i="56"/>
  <c r="S47" i="56"/>
  <c r="Y61" i="97"/>
  <c r="AE17" i="97"/>
  <c r="F17" i="93"/>
  <c r="AE14" i="97"/>
  <c r="F14" i="93"/>
  <c r="Y47" i="92"/>
  <c r="AD30" i="97"/>
  <c r="AE11" i="97"/>
  <c r="F11" i="93"/>
  <c r="AE21" i="94"/>
  <c r="C21" i="93"/>
  <c r="H21" i="93"/>
  <c r="AE19" i="94"/>
  <c r="C19" i="93"/>
  <c r="H19" i="93"/>
  <c r="AE17" i="94"/>
  <c r="C17" i="93"/>
  <c r="AD16" i="92"/>
  <c r="AD30" i="94"/>
  <c r="AE15" i="94"/>
  <c r="C15" i="93"/>
  <c r="H15" i="93"/>
  <c r="AE13" i="94"/>
  <c r="C13" i="93"/>
  <c r="AC30" i="94"/>
  <c r="Y61" i="94"/>
  <c r="AC12" i="92"/>
  <c r="AE11" i="94"/>
  <c r="C11" i="93"/>
  <c r="AD11" i="92"/>
  <c r="AC11" i="92"/>
  <c r="AE24" i="95"/>
  <c r="D24" i="93"/>
  <c r="H24" i="93"/>
  <c r="AD24" i="92"/>
  <c r="AC24" i="92"/>
  <c r="Y55" i="92"/>
  <c r="AC20" i="92"/>
  <c r="H20" i="93"/>
  <c r="AC18" i="92"/>
  <c r="AD30" i="95"/>
  <c r="Y61" i="95"/>
  <c r="AC13" i="92"/>
  <c r="AD12" i="92"/>
  <c r="Y45" i="92"/>
  <c r="AD10" i="92"/>
  <c r="E29" i="93"/>
  <c r="AD29" i="92"/>
  <c r="Y60" i="92"/>
  <c r="AD26" i="92"/>
  <c r="AE26" i="96"/>
  <c r="E26" i="93"/>
  <c r="AC26" i="92"/>
  <c r="H23" i="93"/>
  <c r="Y56" i="92"/>
  <c r="Y54" i="92"/>
  <c r="AD19" i="92"/>
  <c r="Y53" i="92"/>
  <c r="Y52" i="92"/>
  <c r="AE18" i="96"/>
  <c r="E18" i="93"/>
  <c r="AD17" i="92"/>
  <c r="Y50" i="92"/>
  <c r="Y49" i="92"/>
  <c r="AC15" i="92"/>
  <c r="AD14" i="92"/>
  <c r="Y61" i="96"/>
  <c r="AD30" i="96"/>
  <c r="AE14" i="98"/>
  <c r="G14" i="93"/>
  <c r="AC30" i="98"/>
  <c r="B56" i="63"/>
  <c r="R31" i="57"/>
  <c r="AB49" i="52"/>
  <c r="AO38" i="62"/>
  <c r="AM38" i="62"/>
  <c r="AN38" i="62"/>
  <c r="H30" i="67"/>
  <c r="C18" i="102" s="1"/>
  <c r="D18" i="102" s="1"/>
  <c r="AJ31" i="57"/>
  <c r="AJ32" i="57"/>
  <c r="AK32" i="57"/>
  <c r="AI31" i="57"/>
  <c r="AI32" i="57"/>
  <c r="T46" i="56"/>
  <c r="T47" i="56"/>
  <c r="U47" i="56"/>
  <c r="AB48" i="54"/>
  <c r="W23" i="55"/>
  <c r="W48" i="55"/>
  <c r="S48" i="55"/>
  <c r="S49" i="55" s="1"/>
  <c r="S23" i="55"/>
  <c r="O48" i="55"/>
  <c r="O49" i="55"/>
  <c r="P23" i="55"/>
  <c r="AB23" i="54"/>
  <c r="AC23" i="54"/>
  <c r="AC48" i="54"/>
  <c r="K23" i="55"/>
  <c r="I23" i="55"/>
  <c r="Y23" i="55"/>
  <c r="Y48" i="55"/>
  <c r="X48" i="55"/>
  <c r="AB48" i="53"/>
  <c r="AB23" i="53"/>
  <c r="AA47" i="55"/>
  <c r="AA48" i="53"/>
  <c r="G48" i="55"/>
  <c r="AC48" i="53"/>
  <c r="I48" i="55"/>
  <c r="AC23" i="53"/>
  <c r="AC48" i="52"/>
  <c r="AC49" i="52"/>
  <c r="L48" i="55"/>
  <c r="L49" i="55"/>
  <c r="M23" i="55"/>
  <c r="AC47" i="55"/>
  <c r="D23" i="55"/>
  <c r="AA21" i="55"/>
  <c r="AB47" i="55"/>
  <c r="E23" i="55"/>
  <c r="C48" i="55"/>
  <c r="AB41" i="55"/>
  <c r="U23" i="55"/>
  <c r="U49" i="55"/>
  <c r="AA23" i="51"/>
  <c r="AC48" i="51"/>
  <c r="AA48" i="51"/>
  <c r="AB23" i="51"/>
  <c r="AA14" i="55"/>
  <c r="AB21" i="55"/>
  <c r="N8" i="54"/>
  <c r="N8" i="52"/>
  <c r="R8" i="50"/>
  <c r="N8" i="51"/>
  <c r="N8" i="53"/>
  <c r="N8" i="55"/>
  <c r="AA18" i="55"/>
  <c r="AC14" i="55"/>
  <c r="AA37" i="55"/>
  <c r="AC21" i="55"/>
  <c r="AA41" i="55"/>
  <c r="AA23" i="50"/>
  <c r="AB14" i="55"/>
  <c r="AB23" i="50"/>
  <c r="AC41" i="55"/>
  <c r="AC18" i="55"/>
  <c r="AC37" i="55"/>
  <c r="AB31" i="55"/>
  <c r="AC31" i="55"/>
  <c r="AC48" i="50"/>
  <c r="AB18" i="55"/>
  <c r="AA48" i="50"/>
  <c r="AB37" i="55"/>
  <c r="AA31" i="55"/>
  <c r="AA48" i="55" s="1"/>
  <c r="AA49" i="55" s="1"/>
  <c r="L8" i="51"/>
  <c r="L8" i="54"/>
  <c r="L8" i="52"/>
  <c r="L8" i="55"/>
  <c r="L8" i="53"/>
  <c r="P8" i="50"/>
  <c r="D48" i="55"/>
  <c r="AC23" i="50"/>
  <c r="C23" i="55"/>
  <c r="AB48" i="50"/>
  <c r="E48" i="55"/>
  <c r="B31" i="63"/>
  <c r="B34" i="63"/>
  <c r="Z12" i="48"/>
  <c r="AA19" i="48"/>
  <c r="B47" i="63"/>
  <c r="B60" i="63"/>
  <c r="B57" i="63"/>
  <c r="B18" i="63"/>
  <c r="K42" i="78"/>
  <c r="O42" i="78"/>
  <c r="O8" i="78"/>
  <c r="Q8" i="78"/>
  <c r="Q42" i="78"/>
  <c r="Y21" i="80"/>
  <c r="Y57" i="92"/>
  <c r="Y59" i="92"/>
  <c r="AD15" i="92"/>
  <c r="H12" i="93"/>
  <c r="AD13" i="92"/>
  <c r="AE10" i="94"/>
  <c r="AD18" i="92"/>
  <c r="AC16" i="92"/>
  <c r="AC25" i="92"/>
  <c r="AC19" i="92"/>
  <c r="AE13" i="95"/>
  <c r="D13" i="93"/>
  <c r="AD25" i="92"/>
  <c r="AC21" i="92"/>
  <c r="AC23" i="92"/>
  <c r="AC30" i="95"/>
  <c r="AD22" i="92"/>
  <c r="D10" i="93"/>
  <c r="D30" i="92"/>
  <c r="AC17" i="92"/>
  <c r="Y63" i="92"/>
  <c r="Y51" i="92"/>
  <c r="Y44" i="92"/>
  <c r="AC29" i="92"/>
  <c r="AC10" i="92"/>
  <c r="C30" i="92"/>
  <c r="AC30" i="96"/>
  <c r="Y58" i="92"/>
  <c r="AC30" i="97"/>
  <c r="AC14" i="92"/>
  <c r="W64" i="92"/>
  <c r="Y48" i="92"/>
  <c r="X64" i="92"/>
  <c r="F10" i="93"/>
  <c r="M30" i="92"/>
  <c r="N30" i="92"/>
  <c r="R35" i="45"/>
  <c r="V35" i="45"/>
  <c r="F31" i="45"/>
  <c r="F27" i="45"/>
  <c r="F28" i="45"/>
  <c r="F32" i="45"/>
  <c r="F30" i="45"/>
  <c r="J35" i="45"/>
  <c r="F18" i="45"/>
  <c r="F13" i="45"/>
  <c r="N15" i="45"/>
  <c r="E20" i="45"/>
  <c r="R15" i="45"/>
  <c r="V15" i="45"/>
  <c r="D32" i="45"/>
  <c r="D28" i="45"/>
  <c r="D27" i="45"/>
  <c r="P35" i="45"/>
  <c r="T35" i="45"/>
  <c r="L35" i="45"/>
  <c r="D18" i="45"/>
  <c r="D16" i="45"/>
  <c r="P15" i="45"/>
  <c r="T15" i="45"/>
  <c r="H15" i="45"/>
  <c r="D14" i="45"/>
  <c r="L20" i="45"/>
  <c r="T20" i="45"/>
  <c r="C36" i="45"/>
  <c r="P20" i="45"/>
  <c r="H20" i="45"/>
  <c r="Z35" i="44"/>
  <c r="Y36" i="44"/>
  <c r="Z15" i="44"/>
  <c r="X20" i="44"/>
  <c r="Z26" i="44"/>
  <c r="I34" i="43"/>
  <c r="G34" i="43"/>
  <c r="E34" i="43"/>
  <c r="N35" i="43"/>
  <c r="I35" i="43"/>
  <c r="G35" i="43"/>
  <c r="E35" i="43"/>
  <c r="AC12" i="39"/>
  <c r="K70" i="39"/>
  <c r="B32" i="63"/>
  <c r="B28" i="63"/>
  <c r="B5" i="63"/>
  <c r="B5" i="64"/>
  <c r="B6" i="63"/>
  <c r="B6" i="64"/>
  <c r="B17" i="63"/>
  <c r="I20" i="35"/>
  <c r="S20" i="34"/>
  <c r="S20" i="31"/>
  <c r="G20" i="33"/>
  <c r="C15" i="10"/>
  <c r="B15" i="10"/>
  <c r="D15" i="10"/>
  <c r="G15" i="10"/>
  <c r="E87" i="11"/>
  <c r="D87" i="11"/>
  <c r="I20" i="33"/>
  <c r="B33" i="63"/>
  <c r="G20" i="37"/>
  <c r="G20" i="36"/>
  <c r="B9" i="63"/>
  <c r="G18" i="36"/>
  <c r="B59" i="63"/>
  <c r="K16" i="48"/>
  <c r="K20" i="48"/>
  <c r="B17" i="15"/>
  <c r="Z17" i="48"/>
  <c r="AA17" i="48"/>
  <c r="Z15" i="48"/>
  <c r="B25" i="12"/>
  <c r="C11" i="15"/>
  <c r="E34" i="12"/>
  <c r="E18" i="15"/>
  <c r="F18" i="15"/>
  <c r="I27" i="15"/>
  <c r="E19" i="15"/>
  <c r="C24" i="10"/>
  <c r="B24" i="10"/>
  <c r="D24" i="10"/>
  <c r="G24" i="10"/>
  <c r="E85" i="12"/>
  <c r="AE20" i="30"/>
  <c r="B67" i="12"/>
  <c r="C18" i="15"/>
  <c r="F87" i="11"/>
  <c r="C23" i="10"/>
  <c r="B23" i="10"/>
  <c r="D23" i="10"/>
  <c r="G23" i="10"/>
  <c r="K85" i="12"/>
  <c r="E17" i="15"/>
  <c r="B61" i="12"/>
  <c r="C17" i="15"/>
  <c r="AA20" i="30"/>
  <c r="C22" i="10"/>
  <c r="B22" i="10"/>
  <c r="D22" i="10"/>
  <c r="G22" i="10"/>
  <c r="E16" i="15"/>
  <c r="F16" i="15"/>
  <c r="I25" i="15"/>
  <c r="B56" i="12"/>
  <c r="C16" i="15"/>
  <c r="J87" i="11"/>
  <c r="G87" i="11"/>
  <c r="K34" i="12"/>
  <c r="H85" i="12"/>
  <c r="G34" i="12"/>
  <c r="F85" i="12"/>
  <c r="J85" i="12"/>
  <c r="H34" i="12"/>
  <c r="B17" i="12"/>
  <c r="C10" i="15"/>
  <c r="I85" i="12"/>
  <c r="E11" i="15"/>
  <c r="F11" i="15"/>
  <c r="I21" i="15"/>
  <c r="B73" i="12"/>
  <c r="C19" i="15"/>
  <c r="J34" i="12"/>
  <c r="H87" i="11"/>
  <c r="C21" i="10"/>
  <c r="B21" i="10"/>
  <c r="D21" i="10"/>
  <c r="G21" i="10"/>
  <c r="B29" i="12"/>
  <c r="C12" i="15"/>
  <c r="AC20" i="38"/>
  <c r="Y20" i="30"/>
  <c r="S14" i="67"/>
  <c r="S13" i="67"/>
  <c r="AA20" i="38"/>
  <c r="G85" i="12"/>
  <c r="I87" i="11"/>
  <c r="E15" i="15"/>
  <c r="K87" i="11"/>
  <c r="B85" i="11"/>
  <c r="P19" i="77"/>
  <c r="R19" i="79"/>
  <c r="D85" i="12"/>
  <c r="L87" i="11"/>
  <c r="K12" i="74"/>
  <c r="B43" i="12"/>
  <c r="C15" i="15"/>
  <c r="C20" i="10"/>
  <c r="B20" i="10"/>
  <c r="D20" i="10"/>
  <c r="G20" i="10"/>
  <c r="E14" i="15"/>
  <c r="B37" i="12"/>
  <c r="C14" i="15"/>
  <c r="C19" i="10"/>
  <c r="B19" i="10"/>
  <c r="S9" i="67"/>
  <c r="U20" i="38"/>
  <c r="U20" i="30"/>
  <c r="Q20" i="30"/>
  <c r="I34" i="12"/>
  <c r="S7" i="67"/>
  <c r="E12" i="15"/>
  <c r="D34" i="12"/>
  <c r="H25" i="72"/>
  <c r="C14" i="10"/>
  <c r="B14" i="10"/>
  <c r="D14" i="10"/>
  <c r="G14" i="10"/>
  <c r="F34" i="12"/>
  <c r="E10" i="15"/>
  <c r="B34" i="11"/>
  <c r="S19" i="77"/>
  <c r="U19" i="79"/>
  <c r="M20" i="38"/>
  <c r="M20" i="30"/>
  <c r="C13" i="10"/>
  <c r="B13" i="10"/>
  <c r="D13" i="10"/>
  <c r="G13" i="10"/>
  <c r="B9" i="12"/>
  <c r="C9" i="15"/>
  <c r="E9" i="15"/>
  <c r="K20" i="30"/>
  <c r="D12" i="10"/>
  <c r="G12" i="10"/>
  <c r="B58" i="63"/>
  <c r="Z19" i="48"/>
  <c r="Z13" i="48"/>
  <c r="K20" i="46"/>
  <c r="AA12" i="48"/>
  <c r="AA15" i="48"/>
  <c r="B19" i="63"/>
  <c r="B16" i="63"/>
  <c r="B37" i="63"/>
  <c r="AA13" i="48"/>
  <c r="B14" i="63"/>
  <c r="Y12" i="49"/>
  <c r="B81" i="63"/>
  <c r="B15" i="15"/>
  <c r="B13" i="63"/>
  <c r="I20" i="36"/>
  <c r="I20" i="34"/>
  <c r="B42" i="63"/>
  <c r="B44" i="63"/>
  <c r="B21" i="63"/>
  <c r="B40" i="63"/>
  <c r="B39" i="63"/>
  <c r="K33" i="46"/>
  <c r="B27" i="63"/>
  <c r="B38" i="63"/>
  <c r="B41" i="63"/>
  <c r="B43" i="63"/>
  <c r="B35" i="63"/>
  <c r="T24" i="40"/>
  <c r="AA53" i="39"/>
  <c r="AC15" i="39"/>
  <c r="K75" i="39"/>
  <c r="K77" i="39"/>
  <c r="L18" i="106"/>
  <c r="AC14" i="39"/>
  <c r="L13" i="106"/>
  <c r="B55" i="63"/>
  <c r="B10" i="63"/>
  <c r="AA14" i="48"/>
  <c r="B15" i="63"/>
  <c r="B45" i="63"/>
  <c r="G20" i="31"/>
  <c r="G20" i="34"/>
  <c r="G20" i="35"/>
  <c r="K60" i="46"/>
  <c r="F99" i="46"/>
  <c r="Y16" i="48"/>
  <c r="Y20" i="48"/>
  <c r="B12" i="63"/>
  <c r="I20" i="31"/>
  <c r="I20" i="37"/>
  <c r="AC17" i="39"/>
  <c r="L16" i="106"/>
  <c r="AC11" i="39"/>
  <c r="K69" i="39"/>
  <c r="AC18" i="39"/>
  <c r="K76" i="39"/>
  <c r="AC23" i="39"/>
  <c r="K79" i="39"/>
  <c r="AC10" i="39"/>
  <c r="K68" i="39"/>
  <c r="AB24" i="39"/>
  <c r="AA24" i="39"/>
  <c r="K71" i="39"/>
  <c r="K73" i="39"/>
  <c r="L15" i="106"/>
  <c r="B48" i="63"/>
  <c r="K37" i="46"/>
  <c r="J14" i="47"/>
  <c r="C7" i="65"/>
  <c r="E19" i="102"/>
  <c r="B51" i="63"/>
  <c r="B52" i="63"/>
  <c r="S20" i="35"/>
  <c r="S20" i="37"/>
  <c r="S20" i="36"/>
  <c r="B12" i="15"/>
  <c r="H24" i="48"/>
  <c r="L24" i="48"/>
  <c r="B14" i="15"/>
  <c r="R24" i="47"/>
  <c r="K14" i="47"/>
  <c r="I18" i="36"/>
  <c r="K30" i="46"/>
  <c r="L20" i="46"/>
  <c r="B36" i="63"/>
  <c r="K50" i="46"/>
  <c r="H88" i="46"/>
  <c r="B46" i="63"/>
  <c r="B49" i="63"/>
  <c r="B22" i="63"/>
  <c r="B11" i="63"/>
  <c r="K25" i="46"/>
  <c r="S18" i="36"/>
  <c r="B7" i="63"/>
  <c r="B23" i="63"/>
  <c r="B24" i="63"/>
  <c r="B25" i="63"/>
  <c r="B30" i="63"/>
  <c r="G19" i="36"/>
  <c r="B50" i="63"/>
  <c r="B53" i="63"/>
  <c r="B54" i="63"/>
  <c r="AA11" i="48"/>
  <c r="B20" i="63"/>
  <c r="B10" i="15"/>
  <c r="D24" i="48"/>
  <c r="Z14" i="48"/>
  <c r="X16" i="48"/>
  <c r="X20" i="48"/>
  <c r="X24" i="48"/>
  <c r="V24" i="48"/>
  <c r="B19" i="15"/>
  <c r="Z11" i="48"/>
  <c r="J16" i="48"/>
  <c r="J20" i="48"/>
  <c r="J24" i="48"/>
  <c r="B29" i="63"/>
  <c r="S19" i="36"/>
  <c r="B26" i="63"/>
  <c r="H29" i="93"/>
  <c r="H26" i="93"/>
  <c r="AE23" i="92"/>
  <c r="AE20" i="92"/>
  <c r="H22" i="93"/>
  <c r="AE21" i="92"/>
  <c r="K36" i="44"/>
  <c r="E36" i="44"/>
  <c r="L19" i="106"/>
  <c r="H42" i="78"/>
  <c r="J8" i="78"/>
  <c r="L8" i="78"/>
  <c r="L42" i="78"/>
  <c r="O8" i="51"/>
  <c r="O8" i="53"/>
  <c r="O8" i="55"/>
  <c r="O8" i="54"/>
  <c r="O8" i="52"/>
  <c r="S8" i="50"/>
  <c r="Q8" i="51"/>
  <c r="Q8" i="54"/>
  <c r="Q8" i="55"/>
  <c r="U8" i="50"/>
  <c r="Q8" i="52"/>
  <c r="Q8" i="53"/>
  <c r="M49" i="55"/>
  <c r="X49" i="55"/>
  <c r="P49" i="55"/>
  <c r="Q49" i="55"/>
  <c r="AA49" i="54"/>
  <c r="K49" i="55"/>
  <c r="G49" i="55"/>
  <c r="AB49" i="54"/>
  <c r="W49" i="55"/>
  <c r="AA49" i="53"/>
  <c r="AC49" i="51"/>
  <c r="AB49" i="51"/>
  <c r="AA49" i="50"/>
  <c r="I49" i="55"/>
  <c r="D15" i="45"/>
  <c r="L11" i="106"/>
  <c r="AE12" i="92"/>
  <c r="AE30" i="96"/>
  <c r="AE30" i="97"/>
  <c r="AE10" i="92"/>
  <c r="H17" i="93"/>
  <c r="L14" i="106"/>
  <c r="F35" i="45"/>
  <c r="AE16" i="92"/>
  <c r="H14" i="93"/>
  <c r="H11" i="93"/>
  <c r="AE18" i="92"/>
  <c r="H13" i="93"/>
  <c r="AE13" i="92"/>
  <c r="AE30" i="94"/>
  <c r="AE11" i="92"/>
  <c r="C10" i="93"/>
  <c r="C30" i="93"/>
  <c r="AE29" i="92"/>
  <c r="AE25" i="92"/>
  <c r="AE24" i="92"/>
  <c r="AE19" i="92"/>
  <c r="AE15" i="92"/>
  <c r="AE14" i="92"/>
  <c r="AE30" i="95"/>
  <c r="AE26" i="92"/>
  <c r="E30" i="93"/>
  <c r="H18" i="93"/>
  <c r="AE17" i="92"/>
  <c r="AD30" i="92"/>
  <c r="AE30" i="98"/>
  <c r="G30" i="93"/>
  <c r="F17" i="15"/>
  <c r="I26" i="15"/>
  <c r="Y49" i="55"/>
  <c r="AC49" i="54"/>
  <c r="AB49" i="53"/>
  <c r="AC49" i="53"/>
  <c r="C49" i="55"/>
  <c r="D49" i="55"/>
  <c r="E49" i="55"/>
  <c r="AA49" i="51"/>
  <c r="AB48" i="55"/>
  <c r="AA23" i="55"/>
  <c r="AB23" i="55"/>
  <c r="V8" i="50"/>
  <c r="R8" i="51"/>
  <c r="R8" i="52"/>
  <c r="R8" i="54"/>
  <c r="R8" i="53"/>
  <c r="R8" i="55"/>
  <c r="AB49" i="50"/>
  <c r="AC23" i="55"/>
  <c r="AC48" i="55"/>
  <c r="AC49" i="50"/>
  <c r="P8" i="54"/>
  <c r="P8" i="51"/>
  <c r="P8" i="55"/>
  <c r="P8" i="53"/>
  <c r="P8" i="52"/>
  <c r="T8" i="50"/>
  <c r="AE22" i="92"/>
  <c r="D30" i="93"/>
  <c r="Y64" i="92"/>
  <c r="AC30" i="92"/>
  <c r="F30" i="93"/>
  <c r="F15" i="45"/>
  <c r="R20" i="45"/>
  <c r="V20" i="45"/>
  <c r="N20" i="45"/>
  <c r="E36" i="45"/>
  <c r="J20" i="45"/>
  <c r="D35" i="45"/>
  <c r="P36" i="45"/>
  <c r="H36" i="45"/>
  <c r="T36" i="45"/>
  <c r="L36" i="45"/>
  <c r="D20" i="45"/>
  <c r="X36" i="44"/>
  <c r="Z36" i="44"/>
  <c r="Z20" i="44"/>
  <c r="I99" i="46"/>
  <c r="E15" i="10"/>
  <c r="J15" i="10"/>
  <c r="D16" i="15"/>
  <c r="F14" i="15"/>
  <c r="I23" i="15"/>
  <c r="D10" i="15"/>
  <c r="K8" i="74"/>
  <c r="E87" i="12"/>
  <c r="J87" i="12"/>
  <c r="H87" i="12"/>
  <c r="D18" i="15"/>
  <c r="F19" i="15"/>
  <c r="I28" i="15"/>
  <c r="D19" i="15"/>
  <c r="AE20" i="38"/>
  <c r="E24" i="10"/>
  <c r="J21" i="10"/>
  <c r="S15" i="67"/>
  <c r="K87" i="12"/>
  <c r="E23" i="10"/>
  <c r="J20" i="10"/>
  <c r="I87" i="12"/>
  <c r="K11" i="74"/>
  <c r="D17" i="15"/>
  <c r="E22" i="10"/>
  <c r="J19" i="10"/>
  <c r="F87" i="12"/>
  <c r="G87" i="12"/>
  <c r="J20" i="22"/>
  <c r="C13" i="15"/>
  <c r="D11" i="15"/>
  <c r="D12" i="15"/>
  <c r="D14" i="15"/>
  <c r="E21" i="10"/>
  <c r="J18" i="10"/>
  <c r="K9" i="74"/>
  <c r="Y20" i="38"/>
  <c r="S12" i="67"/>
  <c r="B85" i="12"/>
  <c r="E20" i="15"/>
  <c r="D15" i="15"/>
  <c r="F15" i="15"/>
  <c r="I24" i="15"/>
  <c r="D87" i="12"/>
  <c r="B87" i="11"/>
  <c r="C26" i="10"/>
  <c r="B26" i="10"/>
  <c r="E20" i="10"/>
  <c r="J17" i="10"/>
  <c r="S10" i="67"/>
  <c r="W20" i="38"/>
  <c r="W20" i="30"/>
  <c r="C20" i="15"/>
  <c r="D19" i="10"/>
  <c r="G19" i="10"/>
  <c r="F12" i="15"/>
  <c r="I22" i="15"/>
  <c r="B34" i="12"/>
  <c r="S6" i="67"/>
  <c r="O20" i="38"/>
  <c r="O20" i="30"/>
  <c r="E14" i="10"/>
  <c r="J14" i="10"/>
  <c r="E13" i="15"/>
  <c r="E13" i="10"/>
  <c r="J13" i="10"/>
  <c r="C17" i="10"/>
  <c r="B17" i="10"/>
  <c r="F9" i="15"/>
  <c r="I19" i="15"/>
  <c r="D9" i="15"/>
  <c r="S4" i="67"/>
  <c r="E20" i="22"/>
  <c r="K20" i="38"/>
  <c r="E12" i="10"/>
  <c r="J12" i="10"/>
  <c r="F88" i="46"/>
  <c r="E88" i="46"/>
  <c r="E99" i="46"/>
  <c r="AA16" i="48"/>
  <c r="AA20" i="48"/>
  <c r="K72" i="39"/>
  <c r="J88" i="46"/>
  <c r="G99" i="46"/>
  <c r="C99" i="46"/>
  <c r="I88" i="46"/>
  <c r="D88" i="46"/>
  <c r="H99" i="46"/>
  <c r="D99" i="46"/>
  <c r="G88" i="46"/>
  <c r="J99" i="46"/>
  <c r="K74" i="39"/>
  <c r="L9" i="106"/>
  <c r="L17" i="106"/>
  <c r="L10" i="106"/>
  <c r="AC24" i="39"/>
  <c r="L22" i="106"/>
  <c r="B19" i="102"/>
  <c r="C88" i="46"/>
  <c r="B20" i="15"/>
  <c r="Z16" i="48"/>
  <c r="Z20" i="48"/>
  <c r="Z24" i="48"/>
  <c r="B13" i="15"/>
  <c r="F10" i="15"/>
  <c r="I20" i="15"/>
  <c r="H10" i="93"/>
  <c r="H30" i="93"/>
  <c r="K20" i="21"/>
  <c r="K12" i="21"/>
  <c r="J42" i="78"/>
  <c r="N42" i="78"/>
  <c r="N8" i="78"/>
  <c r="P8" i="78"/>
  <c r="P42" i="78"/>
  <c r="U8" i="53"/>
  <c r="U8" i="54"/>
  <c r="U8" i="55"/>
  <c r="E7" i="56"/>
  <c r="U8" i="52"/>
  <c r="U8" i="51"/>
  <c r="Y8" i="50"/>
  <c r="S8" i="54"/>
  <c r="S8" i="53"/>
  <c r="S8" i="52"/>
  <c r="W8" i="50"/>
  <c r="S8" i="51"/>
  <c r="S8" i="55"/>
  <c r="C7" i="56"/>
  <c r="AE30" i="92"/>
  <c r="AB49" i="55"/>
  <c r="AC49" i="55"/>
  <c r="V8" i="52"/>
  <c r="Z8" i="50"/>
  <c r="V8" i="55"/>
  <c r="F7" i="56"/>
  <c r="V8" i="51"/>
  <c r="V8" i="54"/>
  <c r="V8" i="53"/>
  <c r="X8" i="50"/>
  <c r="T8" i="52"/>
  <c r="T8" i="55"/>
  <c r="D7" i="56"/>
  <c r="T8" i="53"/>
  <c r="T8" i="54"/>
  <c r="T8" i="51"/>
  <c r="F20" i="45"/>
  <c r="V36" i="45"/>
  <c r="R36" i="45"/>
  <c r="N36" i="45"/>
  <c r="J36" i="45"/>
  <c r="D36" i="45"/>
  <c r="S20" i="38"/>
  <c r="B87" i="12"/>
  <c r="F20" i="15"/>
  <c r="E21" i="15"/>
  <c r="S20" i="30"/>
  <c r="K13" i="74"/>
  <c r="D20" i="15"/>
  <c r="C28" i="10"/>
  <c r="D26" i="10"/>
  <c r="G26" i="10"/>
  <c r="B28" i="10"/>
  <c r="S16" i="67"/>
  <c r="C21" i="15"/>
  <c r="E19" i="10"/>
  <c r="J16" i="10"/>
  <c r="D13" i="15"/>
  <c r="S8" i="67"/>
  <c r="D17" i="10"/>
  <c r="G17" i="10"/>
  <c r="I20" i="38"/>
  <c r="D20" i="22"/>
  <c r="I20" i="30"/>
  <c r="K88" i="46"/>
  <c r="K99" i="46"/>
  <c r="K80" i="39"/>
  <c r="S76" i="39"/>
  <c r="L23" i="106"/>
  <c r="F13" i="15"/>
  <c r="B21" i="15"/>
  <c r="B65" i="64"/>
  <c r="J25" i="93"/>
  <c r="J27" i="93"/>
  <c r="J28" i="93"/>
  <c r="M19" i="77"/>
  <c r="K21" i="21"/>
  <c r="C7" i="57"/>
  <c r="K7" i="56"/>
  <c r="E7" i="57"/>
  <c r="M7" i="56"/>
  <c r="W8" i="53"/>
  <c r="W8" i="54"/>
  <c r="W8" i="55"/>
  <c r="G7" i="56"/>
  <c r="W8" i="52"/>
  <c r="AA8" i="50"/>
  <c r="W8" i="51"/>
  <c r="Y8" i="54"/>
  <c r="Y8" i="55"/>
  <c r="I7" i="56"/>
  <c r="Y8" i="51"/>
  <c r="AC8" i="50"/>
  <c r="Y8" i="53"/>
  <c r="Y8" i="52"/>
  <c r="J12" i="93"/>
  <c r="J17" i="93"/>
  <c r="J29" i="93"/>
  <c r="J20" i="93"/>
  <c r="J13" i="93"/>
  <c r="J23" i="93"/>
  <c r="J18" i="93"/>
  <c r="J10" i="93"/>
  <c r="J14" i="93"/>
  <c r="J19" i="93"/>
  <c r="J21" i="93"/>
  <c r="J24" i="93"/>
  <c r="J11" i="93"/>
  <c r="J22" i="93"/>
  <c r="J26" i="93"/>
  <c r="J16" i="93"/>
  <c r="J15" i="93"/>
  <c r="F7" i="57"/>
  <c r="N7" i="56"/>
  <c r="Z8" i="51"/>
  <c r="AD8" i="50"/>
  <c r="Z8" i="52"/>
  <c r="Z8" i="54"/>
  <c r="Z8" i="55"/>
  <c r="J7" i="56"/>
  <c r="Z8" i="53"/>
  <c r="X8" i="55"/>
  <c r="H7" i="56"/>
  <c r="X8" i="51"/>
  <c r="X8" i="54"/>
  <c r="AB8" i="50"/>
  <c r="X8" i="53"/>
  <c r="X8" i="52"/>
  <c r="D7" i="57"/>
  <c r="L7" i="56"/>
  <c r="F36" i="45"/>
  <c r="L34" i="106"/>
  <c r="F21" i="15"/>
  <c r="I17" i="15"/>
  <c r="D21" i="15"/>
  <c r="E26" i="10"/>
  <c r="D28" i="10"/>
  <c r="G28" i="10"/>
  <c r="S3" i="67"/>
  <c r="E17" i="10"/>
  <c r="L36" i="106"/>
  <c r="L40" i="106"/>
  <c r="L32" i="106"/>
  <c r="G20" i="30"/>
  <c r="L31" i="106"/>
  <c r="L39" i="106"/>
  <c r="G72" i="41"/>
  <c r="H39" i="41"/>
  <c r="L37" i="106"/>
  <c r="L33" i="106"/>
  <c r="G20" i="38"/>
  <c r="L30" i="106"/>
  <c r="L44" i="106"/>
  <c r="L35" i="106"/>
  <c r="L38" i="106"/>
  <c r="L43" i="106"/>
  <c r="S71" i="39"/>
  <c r="S75" i="39"/>
  <c r="S70" i="39"/>
  <c r="S78" i="39"/>
  <c r="S68" i="39"/>
  <c r="S74" i="39"/>
  <c r="S69" i="39"/>
  <c r="S77" i="39"/>
  <c r="S72" i="39"/>
  <c r="S73" i="39"/>
  <c r="S79" i="39"/>
  <c r="O19" i="79"/>
  <c r="G7" i="57"/>
  <c r="O7" i="56"/>
  <c r="S7" i="57"/>
  <c r="AC8" i="51"/>
  <c r="AC8" i="53"/>
  <c r="AC8" i="52"/>
  <c r="AC8" i="54"/>
  <c r="AC8" i="55"/>
  <c r="K7" i="57"/>
  <c r="S7" i="56"/>
  <c r="W7" i="57"/>
  <c r="O7" i="57"/>
  <c r="Q7" i="56"/>
  <c r="U7" i="57"/>
  <c r="I7" i="57"/>
  <c r="M7" i="57"/>
  <c r="Q7" i="57"/>
  <c r="U7" i="56"/>
  <c r="Y7" i="57"/>
  <c r="AA8" i="54"/>
  <c r="AA8" i="53"/>
  <c r="AA8" i="52"/>
  <c r="AA8" i="51"/>
  <c r="AA8" i="55"/>
  <c r="J30" i="93"/>
  <c r="AD8" i="51"/>
  <c r="AD8" i="55"/>
  <c r="AD8" i="53"/>
  <c r="AD8" i="52"/>
  <c r="AD8" i="54"/>
  <c r="J7" i="57"/>
  <c r="R7" i="56"/>
  <c r="V7" i="57"/>
  <c r="V7" i="56"/>
  <c r="Z7" i="57"/>
  <c r="N7" i="57"/>
  <c r="R7" i="57"/>
  <c r="P7" i="57"/>
  <c r="T7" i="56"/>
  <c r="X7" i="57"/>
  <c r="L7" i="57"/>
  <c r="P7" i="56"/>
  <c r="T7" i="57"/>
  <c r="H7" i="57"/>
  <c r="AB8" i="55"/>
  <c r="AB8" i="52"/>
  <c r="AB8" i="54"/>
  <c r="AB8" i="51"/>
  <c r="AB8" i="53"/>
  <c r="E28" i="10"/>
  <c r="H28" i="41"/>
  <c r="H27" i="41"/>
  <c r="H30" i="41"/>
  <c r="H40" i="41"/>
  <c r="H16" i="41"/>
  <c r="H14" i="41"/>
  <c r="H31" i="41"/>
  <c r="H44" i="41"/>
  <c r="H37" i="41"/>
  <c r="H41" i="41"/>
  <c r="H36" i="41"/>
  <c r="H25" i="41"/>
  <c r="H33" i="41"/>
  <c r="H35" i="41"/>
  <c r="H42" i="41"/>
  <c r="H21" i="41"/>
  <c r="H26" i="41"/>
  <c r="H34" i="41"/>
  <c r="H24" i="41"/>
  <c r="H18" i="41"/>
  <c r="H15" i="41"/>
  <c r="H32" i="41"/>
  <c r="H17" i="41"/>
  <c r="H20" i="41"/>
  <c r="H23" i="41"/>
  <c r="H22" i="41"/>
  <c r="H38" i="41"/>
  <c r="H45" i="41"/>
  <c r="H19" i="41"/>
  <c r="H43" i="41"/>
  <c r="H29" i="41"/>
  <c r="S80" i="39"/>
  <c r="AC7" i="57"/>
  <c r="AG7" i="57"/>
  <c r="AK7" i="57"/>
  <c r="D8" i="58"/>
  <c r="AI7" i="57"/>
  <c r="B8" i="58"/>
  <c r="AA7" i="57"/>
  <c r="AE7" i="57"/>
  <c r="AL7" i="57"/>
  <c r="E8" i="58"/>
  <c r="AD7" i="57"/>
  <c r="AH7" i="57"/>
  <c r="AJ7" i="57"/>
  <c r="C8" i="58"/>
  <c r="AB7" i="57"/>
  <c r="AF7" i="57"/>
  <c r="B8" i="59"/>
  <c r="B8" i="60"/>
  <c r="B8" i="61"/>
  <c r="B8" i="62"/>
  <c r="F8" i="58"/>
  <c r="H8" i="58"/>
  <c r="D8" i="59"/>
  <c r="D8" i="60"/>
  <c r="D8" i="61"/>
  <c r="D8" i="62"/>
  <c r="I8" i="58"/>
  <c r="E8" i="59"/>
  <c r="E8" i="60"/>
  <c r="E8" i="61"/>
  <c r="E8" i="62"/>
  <c r="G8" i="58"/>
  <c r="C8" i="59"/>
  <c r="C8" i="60"/>
  <c r="C8" i="61"/>
  <c r="C8" i="62"/>
  <c r="H8" i="59"/>
  <c r="H8" i="60"/>
  <c r="H8" i="61"/>
  <c r="H8" i="62"/>
  <c r="L8" i="58"/>
  <c r="F8" i="59"/>
  <c r="F8" i="60"/>
  <c r="F8" i="61"/>
  <c r="F8" i="62"/>
  <c r="J8" i="58"/>
  <c r="I8" i="59"/>
  <c r="I8" i="60"/>
  <c r="I8" i="61"/>
  <c r="I8" i="62"/>
  <c r="M8" i="58"/>
  <c r="K8" i="58"/>
  <c r="G8" i="59"/>
  <c r="G8" i="60"/>
  <c r="G8" i="61"/>
  <c r="G8" i="62"/>
  <c r="N8" i="58"/>
  <c r="J8" i="59"/>
  <c r="J8" i="60"/>
  <c r="J8" i="61"/>
  <c r="J8" i="62"/>
  <c r="P8" i="58"/>
  <c r="L8" i="59"/>
  <c r="L8" i="60"/>
  <c r="L8" i="61"/>
  <c r="L8" i="62"/>
  <c r="Q8" i="58"/>
  <c r="M8" i="59"/>
  <c r="M8" i="60"/>
  <c r="M8" i="61"/>
  <c r="M8" i="62"/>
  <c r="O8" i="58"/>
  <c r="K8" i="59"/>
  <c r="K8" i="60"/>
  <c r="K8" i="61"/>
  <c r="K8" i="62"/>
  <c r="AO8" i="58"/>
  <c r="AO8" i="59"/>
  <c r="AO8" i="60"/>
  <c r="AO8" i="61"/>
  <c r="AO8" i="62"/>
  <c r="P8" i="59"/>
  <c r="T8" i="58"/>
  <c r="AE8" i="58"/>
  <c r="AC8" i="58"/>
  <c r="N8" i="59"/>
  <c r="R8" i="58"/>
  <c r="AM8" i="58"/>
  <c r="AM8" i="59"/>
  <c r="AM8" i="60"/>
  <c r="AM8" i="61"/>
  <c r="AM8" i="62"/>
  <c r="AL8" i="58"/>
  <c r="Q8" i="59"/>
  <c r="AF8" i="58"/>
  <c r="AF8" i="59"/>
  <c r="AF8" i="60"/>
  <c r="AF8" i="61"/>
  <c r="AF8" i="62"/>
  <c r="AP8" i="58"/>
  <c r="AP8" i="59"/>
  <c r="AP8" i="60"/>
  <c r="AP8" i="61"/>
  <c r="AP8" i="62"/>
  <c r="U8" i="58"/>
  <c r="AB8" i="58"/>
  <c r="AN8" i="58"/>
  <c r="AN8" i="59"/>
  <c r="AN8" i="60"/>
  <c r="AN8" i="61"/>
  <c r="AN8" i="62"/>
  <c r="O8" i="59"/>
  <c r="S8" i="58"/>
  <c r="AD8" i="58"/>
  <c r="N8" i="60"/>
  <c r="R8" i="59"/>
  <c r="V8" i="59"/>
  <c r="P8" i="60"/>
  <c r="T8" i="59"/>
  <c r="X8" i="59"/>
  <c r="AA8" i="59"/>
  <c r="AG8" i="58"/>
  <c r="AC8" i="59"/>
  <c r="AI8" i="58"/>
  <c r="AE8" i="59"/>
  <c r="AL8" i="59"/>
  <c r="Q8" i="60"/>
  <c r="U8" i="59"/>
  <c r="Y8" i="59"/>
  <c r="AB8" i="59"/>
  <c r="AD8" i="59"/>
  <c r="AH8" i="58"/>
  <c r="S8" i="59"/>
  <c r="W8" i="59"/>
  <c r="O8" i="60"/>
  <c r="T8" i="60"/>
  <c r="X8" i="60"/>
  <c r="P8" i="61"/>
  <c r="AG8" i="59"/>
  <c r="AC8" i="60"/>
  <c r="AI8" i="59"/>
  <c r="AE8" i="60"/>
  <c r="N8" i="61"/>
  <c r="R8" i="60"/>
  <c r="U8" i="60"/>
  <c r="Y8" i="60"/>
  <c r="Q8" i="61"/>
  <c r="Q8" i="62"/>
  <c r="U8" i="62"/>
  <c r="Y8" i="62"/>
  <c r="AB8" i="62"/>
  <c r="AL8" i="60"/>
  <c r="S8" i="60"/>
  <c r="O8" i="61"/>
  <c r="AD8" i="60"/>
  <c r="AH8" i="59"/>
  <c r="AG8" i="60"/>
  <c r="AC8" i="61"/>
  <c r="N8" i="62"/>
  <c r="R8" i="62"/>
  <c r="V8" i="62"/>
  <c r="R8" i="61"/>
  <c r="AE8" i="61"/>
  <c r="AI8" i="60"/>
  <c r="P8" i="62"/>
  <c r="T8" i="62"/>
  <c r="X8" i="62"/>
  <c r="AA8" i="62"/>
  <c r="T8" i="61"/>
  <c r="X8" i="61"/>
  <c r="AL8" i="61"/>
  <c r="AL8" i="62"/>
  <c r="U8" i="61"/>
  <c r="Y8" i="61"/>
  <c r="AD8" i="61"/>
  <c r="AH8" i="60"/>
  <c r="O8" i="62"/>
  <c r="S8" i="61"/>
  <c r="S8" i="62"/>
  <c r="W8" i="62"/>
  <c r="Z8" i="62"/>
  <c r="AC8" i="62"/>
  <c r="AG8" i="61"/>
  <c r="AE8" i="62"/>
  <c r="AI8" i="61"/>
  <c r="AD8" i="62"/>
  <c r="AH8" i="61"/>
  <c r="Z19" i="79"/>
  <c r="W19" i="77"/>
  <c r="X19" i="77"/>
  <c r="L27" i="110" l="1"/>
  <c r="G33" i="64"/>
  <c r="N25" i="110"/>
  <c r="L43" i="110"/>
  <c r="F20" i="64"/>
  <c r="G9" i="64"/>
  <c r="N13" i="110"/>
  <c r="F44" i="64"/>
  <c r="L19" i="110"/>
  <c r="N45" i="110"/>
  <c r="G41" i="64"/>
  <c r="N60" i="78"/>
  <c r="N56" i="78" s="1"/>
  <c r="P18" i="78"/>
  <c r="P67" i="78"/>
  <c r="P48" i="78"/>
  <c r="P12" i="78"/>
  <c r="P24" i="78"/>
  <c r="B60" i="78"/>
  <c r="B56" i="78" s="1"/>
  <c r="P20" i="78"/>
  <c r="H49" i="78"/>
  <c r="H43" i="78" s="1"/>
  <c r="P16" i="78"/>
  <c r="P50" i="78"/>
  <c r="B26" i="78"/>
  <c r="B49" i="78"/>
  <c r="B43" i="78" s="1"/>
  <c r="P65" i="78"/>
  <c r="D26" i="78"/>
  <c r="D49" i="78"/>
  <c r="D43" i="78" s="1"/>
  <c r="D60" i="78"/>
  <c r="D56" i="78" s="1"/>
  <c r="P10" i="78"/>
  <c r="P22" i="78"/>
  <c r="P28" i="78"/>
  <c r="L49" i="78"/>
  <c r="L43" i="78" s="1"/>
  <c r="C10" i="102"/>
  <c r="D10" i="102" s="1"/>
  <c r="S26" i="67"/>
  <c r="S33" i="67"/>
  <c r="C17" i="102"/>
  <c r="D17" i="102" s="1"/>
  <c r="C6" i="102"/>
  <c r="H12" i="67"/>
  <c r="C14" i="102"/>
  <c r="D14" i="102" s="1"/>
  <c r="H25" i="67"/>
  <c r="S30" i="67" s="1"/>
  <c r="AD32" i="57"/>
  <c r="C8" i="102"/>
  <c r="D8" i="102" s="1"/>
  <c r="S24" i="67"/>
  <c r="C9" i="102"/>
  <c r="D9" i="102" s="1"/>
  <c r="S25" i="67"/>
  <c r="AL21" i="57"/>
  <c r="AL31" i="57" s="1"/>
  <c r="F31" i="57"/>
  <c r="F32" i="57" s="1"/>
  <c r="C15" i="102"/>
  <c r="D15" i="102" s="1"/>
  <c r="S31" i="67"/>
  <c r="C16" i="102"/>
  <c r="D16" i="102" s="1"/>
  <c r="S32" i="67"/>
  <c r="C11" i="102"/>
  <c r="D11" i="102" s="1"/>
  <c r="H21" i="67"/>
  <c r="S34" i="67"/>
  <c r="E24" i="64"/>
  <c r="H24" i="64" s="1"/>
  <c r="AL11" i="57"/>
  <c r="AL15" i="57" s="1"/>
  <c r="AL32" i="57" s="1"/>
  <c r="P31" i="78"/>
  <c r="P51" i="78"/>
  <c r="P61" i="78"/>
  <c r="L60" i="78"/>
  <c r="L56" i="78" s="1"/>
  <c r="P57" i="78"/>
  <c r="P11" i="78"/>
  <c r="P15" i="78"/>
  <c r="P19" i="78"/>
  <c r="P23" i="78"/>
  <c r="P29" i="78"/>
  <c r="P44" i="78"/>
  <c r="P53" i="78"/>
  <c r="P68" i="78"/>
  <c r="P14" i="78"/>
  <c r="AI24" i="70"/>
  <c r="AE33" i="70"/>
  <c r="AF11" i="70"/>
  <c r="AI31" i="70"/>
  <c r="AI11" i="70"/>
  <c r="AI29" i="70"/>
  <c r="J15" i="66"/>
  <c r="AI13" i="70"/>
  <c r="N64" i="110"/>
  <c r="F63" i="64"/>
  <c r="F14" i="64"/>
  <c r="C29" i="110"/>
  <c r="F6" i="64"/>
  <c r="E57" i="64"/>
  <c r="J57" i="64" s="1"/>
  <c r="L37" i="110"/>
  <c r="E53" i="64"/>
  <c r="H53" i="64" s="1"/>
  <c r="L63" i="110"/>
  <c r="K63" i="110" s="1"/>
  <c r="F46" i="64"/>
  <c r="N15" i="110"/>
  <c r="M38" i="110"/>
  <c r="G51" i="64"/>
  <c r="N39" i="110"/>
  <c r="M26" i="110"/>
  <c r="G11" i="64"/>
  <c r="D11" i="64" s="1"/>
  <c r="I11" i="64" s="1"/>
  <c r="J25" i="64"/>
  <c r="R48" i="50"/>
  <c r="AG27" i="70"/>
  <c r="AI21" i="70"/>
  <c r="H11" i="66"/>
  <c r="AF14" i="70"/>
  <c r="H7" i="66"/>
  <c r="AI15" i="70"/>
  <c r="Z49" i="54"/>
  <c r="I13" i="73"/>
  <c r="G13" i="75" s="1"/>
  <c r="Z23" i="55"/>
  <c r="AE17" i="70"/>
  <c r="AG17" i="70" s="1"/>
  <c r="AI17" i="70"/>
  <c r="Z49" i="53"/>
  <c r="J21" i="66"/>
  <c r="AE24" i="70"/>
  <c r="AG24" i="70" s="1"/>
  <c r="Z48" i="55"/>
  <c r="J51" i="64"/>
  <c r="J6" i="66"/>
  <c r="F12" i="64"/>
  <c r="F40" i="64"/>
  <c r="L55" i="110"/>
  <c r="E7" i="64"/>
  <c r="F32" i="64"/>
  <c r="L11" i="110"/>
  <c r="G57" i="64"/>
  <c r="F16" i="64"/>
  <c r="M8" i="110"/>
  <c r="F36" i="64"/>
  <c r="E47" i="64"/>
  <c r="H47" i="64" s="1"/>
  <c r="C32" i="110"/>
  <c r="O32" i="110" s="1"/>
  <c r="G49" i="64"/>
  <c r="E15" i="64"/>
  <c r="H15" i="64" s="1"/>
  <c r="L31" i="110"/>
  <c r="G53" i="64"/>
  <c r="N37" i="110"/>
  <c r="M48" i="110"/>
  <c r="M5" i="110"/>
  <c r="N17" i="110"/>
  <c r="J27" i="64"/>
  <c r="G56" i="64"/>
  <c r="J13" i="64"/>
  <c r="J9" i="66"/>
  <c r="AE14" i="70"/>
  <c r="AI19" i="70"/>
  <c r="B65" i="110"/>
  <c r="E45" i="64"/>
  <c r="J45" i="64" s="1"/>
  <c r="L25" i="110"/>
  <c r="M34" i="110"/>
  <c r="G7" i="64"/>
  <c r="M22" i="110"/>
  <c r="F10" i="64"/>
  <c r="J37" i="64"/>
  <c r="M54" i="110"/>
  <c r="N27" i="110"/>
  <c r="K27" i="110" s="1"/>
  <c r="N31" i="110"/>
  <c r="J24" i="64"/>
  <c r="E29" i="64"/>
  <c r="L33" i="110"/>
  <c r="F58" i="64"/>
  <c r="L17" i="110"/>
  <c r="F42" i="64"/>
  <c r="C59" i="110"/>
  <c r="J11" i="64"/>
  <c r="N62" i="110"/>
  <c r="G63" i="64"/>
  <c r="G16" i="64"/>
  <c r="C6" i="64"/>
  <c r="C64" i="110"/>
  <c r="C49" i="110"/>
  <c r="O49" i="110" s="1"/>
  <c r="C40" i="110"/>
  <c r="C28" i="110"/>
  <c r="D25" i="64"/>
  <c r="I25" i="64" s="1"/>
  <c r="E50" i="73"/>
  <c r="D35" i="64"/>
  <c r="I35" i="64" s="1"/>
  <c r="C30" i="110"/>
  <c r="O30" i="110" s="1"/>
  <c r="G40" i="64"/>
  <c r="D65" i="110"/>
  <c r="C50" i="110"/>
  <c r="G12" i="64"/>
  <c r="M62" i="110"/>
  <c r="M64" i="110"/>
  <c r="G14" i="64"/>
  <c r="J55" i="64"/>
  <c r="J35" i="64"/>
  <c r="C8" i="110"/>
  <c r="O8" i="110" s="1"/>
  <c r="N38" i="110"/>
  <c r="C23" i="110"/>
  <c r="K23" i="110"/>
  <c r="L5" i="110"/>
  <c r="L50" i="110"/>
  <c r="F23" i="64"/>
  <c r="D23" i="64" s="1"/>
  <c r="G20" i="64"/>
  <c r="AD37" i="54"/>
  <c r="AD37" i="53"/>
  <c r="F43" i="73"/>
  <c r="H35" i="70"/>
  <c r="AD47" i="54"/>
  <c r="AD47" i="53"/>
  <c r="R47" i="55"/>
  <c r="AD46" i="55"/>
  <c r="N47" i="55"/>
  <c r="F47" i="55"/>
  <c r="H28" i="66"/>
  <c r="AI34" i="70"/>
  <c r="V48" i="53"/>
  <c r="R48" i="51"/>
  <c r="AD45" i="55"/>
  <c r="AI33" i="70"/>
  <c r="AG33" i="70"/>
  <c r="H27" i="66"/>
  <c r="AD44" i="55"/>
  <c r="AD43" i="55"/>
  <c r="H26" i="66"/>
  <c r="AI32" i="70"/>
  <c r="AG32" i="70"/>
  <c r="AD42" i="55"/>
  <c r="H24" i="66"/>
  <c r="AE31" i="70"/>
  <c r="AG31" i="70" s="1"/>
  <c r="AD40" i="55"/>
  <c r="AD41" i="52"/>
  <c r="AD41" i="50"/>
  <c r="F41" i="55"/>
  <c r="T35" i="70"/>
  <c r="X35" i="70"/>
  <c r="AB35" i="70"/>
  <c r="V48" i="54"/>
  <c r="V49" i="54" s="1"/>
  <c r="F48" i="54"/>
  <c r="F49" i="54" s="1"/>
  <c r="J41" i="55"/>
  <c r="V48" i="51"/>
  <c r="AD41" i="51"/>
  <c r="V41" i="55"/>
  <c r="R41" i="55"/>
  <c r="N41" i="55"/>
  <c r="AD39" i="55"/>
  <c r="AE30" i="70"/>
  <c r="AI30" i="70"/>
  <c r="R48" i="54"/>
  <c r="R49" i="54" s="1"/>
  <c r="J48" i="54"/>
  <c r="R48" i="53"/>
  <c r="R49" i="53" s="1"/>
  <c r="J48" i="53"/>
  <c r="F48" i="52"/>
  <c r="AD38" i="55"/>
  <c r="N48" i="50"/>
  <c r="N49" i="50" s="1"/>
  <c r="H23" i="66"/>
  <c r="AE28" i="70"/>
  <c r="AG28" i="70" s="1"/>
  <c r="G50" i="73"/>
  <c r="AD37" i="50"/>
  <c r="J37" i="55"/>
  <c r="F37" i="55"/>
  <c r="AE25" i="70"/>
  <c r="AG25" i="70" s="1"/>
  <c r="AI25" i="70"/>
  <c r="N48" i="54"/>
  <c r="AD32" i="55"/>
  <c r="F48" i="53"/>
  <c r="N48" i="52"/>
  <c r="N48" i="51"/>
  <c r="N49" i="51" s="1"/>
  <c r="F48" i="51"/>
  <c r="F49" i="51" s="1"/>
  <c r="F48" i="50"/>
  <c r="J48" i="50"/>
  <c r="V48" i="50"/>
  <c r="V37" i="55"/>
  <c r="AD33" i="55"/>
  <c r="AE26" i="70"/>
  <c r="AG26" i="70" s="1"/>
  <c r="AI26" i="70"/>
  <c r="AD30" i="55"/>
  <c r="AG23" i="70"/>
  <c r="AD31" i="54"/>
  <c r="V31" i="55"/>
  <c r="AD26" i="55"/>
  <c r="J31" i="55"/>
  <c r="AD31" i="50"/>
  <c r="AD48" i="50" s="1"/>
  <c r="AE22" i="70"/>
  <c r="H16" i="66"/>
  <c r="AI22" i="70"/>
  <c r="AD31" i="53"/>
  <c r="AD31" i="52"/>
  <c r="AD48" i="52" s="1"/>
  <c r="AD31" i="51"/>
  <c r="AD25" i="55"/>
  <c r="R31" i="55"/>
  <c r="N31" i="55"/>
  <c r="H15" i="66"/>
  <c r="I43" i="73"/>
  <c r="AE21" i="70"/>
  <c r="AG21" i="70" s="1"/>
  <c r="AD22" i="55"/>
  <c r="H12" i="66"/>
  <c r="AE19" i="70"/>
  <c r="AG19" i="70" s="1"/>
  <c r="AD21" i="54"/>
  <c r="AD20" i="55"/>
  <c r="R21" i="55"/>
  <c r="AD21" i="53"/>
  <c r="AD21" i="51"/>
  <c r="F21" i="55"/>
  <c r="AE18" i="70"/>
  <c r="AG18" i="70" s="1"/>
  <c r="AI18" i="70"/>
  <c r="AD19" i="55"/>
  <c r="N21" i="55"/>
  <c r="J11" i="66"/>
  <c r="R23" i="51"/>
  <c r="AD17" i="55"/>
  <c r="J23" i="51"/>
  <c r="J49" i="51" s="1"/>
  <c r="F18" i="55"/>
  <c r="AD18" i="50"/>
  <c r="AD18" i="54"/>
  <c r="N23" i="54"/>
  <c r="J23" i="54"/>
  <c r="J49" i="54" s="1"/>
  <c r="AD18" i="53"/>
  <c r="N18" i="55"/>
  <c r="AD16" i="55"/>
  <c r="R18" i="55"/>
  <c r="AD18" i="51"/>
  <c r="V23" i="54"/>
  <c r="N23" i="52"/>
  <c r="F23" i="52"/>
  <c r="N23" i="53"/>
  <c r="J23" i="53"/>
  <c r="J49" i="53" s="1"/>
  <c r="F23" i="53"/>
  <c r="V23" i="51"/>
  <c r="V23" i="50"/>
  <c r="R23" i="50"/>
  <c r="R49" i="50" s="1"/>
  <c r="J23" i="50"/>
  <c r="F23" i="50"/>
  <c r="F49" i="50" s="1"/>
  <c r="AD15" i="55"/>
  <c r="AD14" i="52"/>
  <c r="AD23" i="52" s="1"/>
  <c r="AD13" i="55"/>
  <c r="AD12" i="55"/>
  <c r="J14" i="55"/>
  <c r="J23" i="55" s="1"/>
  <c r="J8" i="66"/>
  <c r="AD11" i="55"/>
  <c r="AD14" i="53"/>
  <c r="AD23" i="53" s="1"/>
  <c r="AD14" i="51"/>
  <c r="AD23" i="51" s="1"/>
  <c r="F14" i="55"/>
  <c r="F23" i="55" s="1"/>
  <c r="AD14" i="54"/>
  <c r="AD10" i="55"/>
  <c r="V14" i="55"/>
  <c r="V23" i="55" s="1"/>
  <c r="R14" i="55"/>
  <c r="N14" i="55"/>
  <c r="AD14" i="50"/>
  <c r="AD23" i="50" s="1"/>
  <c r="H6" i="66"/>
  <c r="AE12" i="70"/>
  <c r="AG12" i="70" s="1"/>
  <c r="V49" i="53"/>
  <c r="N49" i="53"/>
  <c r="AD24" i="55"/>
  <c r="F31" i="55"/>
  <c r="AD9" i="55"/>
  <c r="N35" i="70"/>
  <c r="Z35" i="70"/>
  <c r="AE20" i="70"/>
  <c r="AG20" i="70" s="1"/>
  <c r="AI20" i="70"/>
  <c r="AI12" i="70"/>
  <c r="R35" i="70"/>
  <c r="H8" i="66"/>
  <c r="D5" i="64"/>
  <c r="I5" i="64" s="1"/>
  <c r="H5" i="64"/>
  <c r="K45" i="110"/>
  <c r="J31" i="64"/>
  <c r="H51" i="64"/>
  <c r="C24" i="110"/>
  <c r="O24" i="110" s="1"/>
  <c r="J33" i="64"/>
  <c r="G34" i="64"/>
  <c r="C63" i="110"/>
  <c r="D17" i="64"/>
  <c r="D9" i="64"/>
  <c r="I9" i="64" s="1"/>
  <c r="D38" i="64"/>
  <c r="I38" i="64" s="1"/>
  <c r="AF34" i="70"/>
  <c r="AG34" i="70" s="1"/>
  <c r="V39" i="56"/>
  <c r="AE29" i="70"/>
  <c r="AG29" i="70" s="1"/>
  <c r="AF30" i="70"/>
  <c r="AG30" i="70" s="1"/>
  <c r="R46" i="56"/>
  <c r="V35" i="56"/>
  <c r="H19" i="66"/>
  <c r="F46" i="56"/>
  <c r="AF22" i="70"/>
  <c r="J47" i="56"/>
  <c r="J17" i="66"/>
  <c r="V29" i="56"/>
  <c r="V20" i="56"/>
  <c r="V17" i="56"/>
  <c r="AE15" i="70"/>
  <c r="AG15" i="70" s="1"/>
  <c r="F35" i="70"/>
  <c r="F22" i="56"/>
  <c r="AE16" i="70"/>
  <c r="AG16" i="70" s="1"/>
  <c r="R22" i="56"/>
  <c r="N22" i="56"/>
  <c r="N47" i="56" s="1"/>
  <c r="H9" i="66"/>
  <c r="AI14" i="70"/>
  <c r="B29" i="66"/>
  <c r="AE13" i="70"/>
  <c r="AG13" i="70" s="1"/>
  <c r="AE11" i="70"/>
  <c r="AG11" i="70" s="1"/>
  <c r="W35" i="70"/>
  <c r="AA35" i="70"/>
  <c r="V13" i="56"/>
  <c r="AE10" i="70"/>
  <c r="AG10" i="70" s="1"/>
  <c r="H13" i="73"/>
  <c r="G14" i="75" s="1"/>
  <c r="C35" i="70"/>
  <c r="H43" i="73"/>
  <c r="AI10" i="70"/>
  <c r="H22" i="66"/>
  <c r="M38" i="62"/>
  <c r="AP30" i="62"/>
  <c r="E43" i="73"/>
  <c r="H25" i="66"/>
  <c r="K10" i="73"/>
  <c r="F10" i="74" s="1"/>
  <c r="K49" i="73"/>
  <c r="AP38" i="61"/>
  <c r="AP42" i="62"/>
  <c r="AP31" i="62"/>
  <c r="AP24" i="62"/>
  <c r="AP10" i="62"/>
  <c r="AP43" i="62"/>
  <c r="AP41" i="62"/>
  <c r="AP22" i="62"/>
  <c r="I38" i="62"/>
  <c r="AP9" i="62"/>
  <c r="D43" i="73"/>
  <c r="D42" i="73"/>
  <c r="D50" i="73"/>
  <c r="AP38" i="60"/>
  <c r="AP38" i="59"/>
  <c r="E38" i="62"/>
  <c r="AP29" i="62"/>
  <c r="AP38" i="58"/>
  <c r="C50" i="73"/>
  <c r="I29" i="66"/>
  <c r="H17" i="66"/>
  <c r="J25" i="66"/>
  <c r="K47" i="73"/>
  <c r="E29" i="66"/>
  <c r="J32" i="64"/>
  <c r="H32" i="64"/>
  <c r="L61" i="110"/>
  <c r="K61" i="110" s="1"/>
  <c r="C61" i="110"/>
  <c r="K59" i="110"/>
  <c r="E58" i="64"/>
  <c r="C58" i="110"/>
  <c r="L58" i="110"/>
  <c r="M55" i="110"/>
  <c r="K55" i="110" s="1"/>
  <c r="C55" i="110"/>
  <c r="O55" i="110" s="1"/>
  <c r="F55" i="64"/>
  <c r="D55" i="64" s="1"/>
  <c r="I55" i="64" s="1"/>
  <c r="G52" i="64"/>
  <c r="N52" i="110"/>
  <c r="F51" i="64"/>
  <c r="M51" i="110"/>
  <c r="K51" i="110" s="1"/>
  <c r="F47" i="64"/>
  <c r="C47" i="110"/>
  <c r="E46" i="64"/>
  <c r="L46" i="110"/>
  <c r="C46" i="110"/>
  <c r="O46" i="110" s="1"/>
  <c r="G44" i="64"/>
  <c r="N44" i="110"/>
  <c r="F43" i="64"/>
  <c r="D43" i="64" s="1"/>
  <c r="M43" i="110"/>
  <c r="C42" i="110"/>
  <c r="O42" i="110" s="1"/>
  <c r="E42" i="64"/>
  <c r="M39" i="110"/>
  <c r="F39" i="64"/>
  <c r="D39" i="64" s="1"/>
  <c r="C39" i="110"/>
  <c r="N36" i="110"/>
  <c r="G36" i="64"/>
  <c r="E34" i="64"/>
  <c r="C34" i="110"/>
  <c r="F31" i="64"/>
  <c r="D31" i="64" s="1"/>
  <c r="I31" i="64" s="1"/>
  <c r="C31" i="110"/>
  <c r="O31" i="110" s="1"/>
  <c r="L30" i="110"/>
  <c r="E30" i="64"/>
  <c r="F27" i="64"/>
  <c r="D27" i="64" s="1"/>
  <c r="I27" i="64" s="1"/>
  <c r="C27" i="110"/>
  <c r="O27" i="110" s="1"/>
  <c r="C26" i="110"/>
  <c r="L26" i="110"/>
  <c r="N24" i="110"/>
  <c r="K24" i="110" s="1"/>
  <c r="G24" i="64"/>
  <c r="C22" i="110"/>
  <c r="L22" i="110"/>
  <c r="C19" i="110"/>
  <c r="M19" i="110"/>
  <c r="K19" i="110" s="1"/>
  <c r="F19" i="64"/>
  <c r="D19" i="64" s="1"/>
  <c r="E18" i="64"/>
  <c r="C18" i="110"/>
  <c r="M15" i="110"/>
  <c r="C15" i="110"/>
  <c r="O15" i="110" s="1"/>
  <c r="F15" i="64"/>
  <c r="C14" i="110"/>
  <c r="O14" i="110" s="1"/>
  <c r="E14" i="64"/>
  <c r="L14" i="110"/>
  <c r="K14" i="110" s="1"/>
  <c r="M11" i="110"/>
  <c r="C11" i="110"/>
  <c r="O11" i="110" s="1"/>
  <c r="C10" i="110"/>
  <c r="O10" i="110" s="1"/>
  <c r="E10" i="64"/>
  <c r="L10" i="110"/>
  <c r="K10" i="110" s="1"/>
  <c r="G8" i="64"/>
  <c r="N8" i="110"/>
  <c r="C7" i="110"/>
  <c r="E65" i="110"/>
  <c r="M7" i="110"/>
  <c r="F7" i="64"/>
  <c r="L6" i="110"/>
  <c r="C6" i="110"/>
  <c r="O6" i="110" s="1"/>
  <c r="J38" i="64"/>
  <c r="H50" i="64"/>
  <c r="G10" i="64"/>
  <c r="C38" i="110"/>
  <c r="O38" i="110" s="1"/>
  <c r="G48" i="64"/>
  <c r="E54" i="64"/>
  <c r="C43" i="110"/>
  <c r="M25" i="110"/>
  <c r="K25" i="110" s="1"/>
  <c r="M47" i="110"/>
  <c r="K47" i="110" s="1"/>
  <c r="L32" i="110"/>
  <c r="K32" i="110" s="1"/>
  <c r="G32" i="64"/>
  <c r="D32" i="64" s="1"/>
  <c r="I32" i="64" s="1"/>
  <c r="N54" i="110"/>
  <c r="J49" i="64"/>
  <c r="L34" i="110"/>
  <c r="C60" i="110"/>
  <c r="M60" i="110"/>
  <c r="K60" i="110" s="1"/>
  <c r="N58" i="110"/>
  <c r="G58" i="64"/>
  <c r="F57" i="64"/>
  <c r="C57" i="110"/>
  <c r="O57" i="110" s="1"/>
  <c r="M57" i="110"/>
  <c r="K57" i="110" s="1"/>
  <c r="L56" i="110"/>
  <c r="K56" i="110" s="1"/>
  <c r="E56" i="64"/>
  <c r="C56" i="110"/>
  <c r="M53" i="110"/>
  <c r="K53" i="110" s="1"/>
  <c r="F53" i="64"/>
  <c r="D53" i="64" s="1"/>
  <c r="I53" i="64" s="1"/>
  <c r="C53" i="110"/>
  <c r="O53" i="110" s="1"/>
  <c r="L52" i="110"/>
  <c r="C52" i="110"/>
  <c r="O52" i="110" s="1"/>
  <c r="G50" i="64"/>
  <c r="D50" i="64" s="1"/>
  <c r="N50" i="110"/>
  <c r="F49" i="64"/>
  <c r="D49" i="64" s="1"/>
  <c r="I49" i="64" s="1"/>
  <c r="M49" i="110"/>
  <c r="E48" i="64"/>
  <c r="C48" i="110"/>
  <c r="N46" i="110"/>
  <c r="G46" i="64"/>
  <c r="C45" i="110"/>
  <c r="O45" i="110" s="1"/>
  <c r="F45" i="64"/>
  <c r="C44" i="110"/>
  <c r="E44" i="64"/>
  <c r="L44" i="110"/>
  <c r="G42" i="64"/>
  <c r="N42" i="110"/>
  <c r="C41" i="110"/>
  <c r="M41" i="110"/>
  <c r="K41" i="110" s="1"/>
  <c r="F41" i="64"/>
  <c r="D41" i="64" s="1"/>
  <c r="L40" i="110"/>
  <c r="K40" i="110" s="1"/>
  <c r="E40" i="64"/>
  <c r="C37" i="110"/>
  <c r="O37" i="110" s="1"/>
  <c r="F37" i="64"/>
  <c r="D37" i="64" s="1"/>
  <c r="I37" i="64" s="1"/>
  <c r="E36" i="64"/>
  <c r="C36" i="110"/>
  <c r="O36" i="110" s="1"/>
  <c r="L36" i="110"/>
  <c r="M33" i="110"/>
  <c r="C33" i="110"/>
  <c r="O33" i="110" s="1"/>
  <c r="F33" i="64"/>
  <c r="D33" i="64" s="1"/>
  <c r="I33" i="64" s="1"/>
  <c r="G30" i="64"/>
  <c r="N30" i="110"/>
  <c r="F29" i="64"/>
  <c r="M29" i="110"/>
  <c r="K29" i="110" s="1"/>
  <c r="L28" i="110"/>
  <c r="E28" i="64"/>
  <c r="D28" i="64" s="1"/>
  <c r="G26" i="64"/>
  <c r="N26" i="110"/>
  <c r="G22" i="64"/>
  <c r="D22" i="64" s="1"/>
  <c r="N22" i="110"/>
  <c r="C21" i="110"/>
  <c r="F21" i="64"/>
  <c r="D21" i="64" s="1"/>
  <c r="L20" i="110"/>
  <c r="K20" i="110" s="1"/>
  <c r="E20" i="64"/>
  <c r="C20" i="110"/>
  <c r="O20" i="110" s="1"/>
  <c r="G18" i="64"/>
  <c r="N18" i="110"/>
  <c r="K18" i="110" s="1"/>
  <c r="M17" i="110"/>
  <c r="C17" i="110"/>
  <c r="C16" i="110"/>
  <c r="E16" i="64"/>
  <c r="L16" i="110"/>
  <c r="K16" i="110" s="1"/>
  <c r="C13" i="110"/>
  <c r="O13" i="110" s="1"/>
  <c r="M13" i="110"/>
  <c r="F13" i="64"/>
  <c r="D13" i="64" s="1"/>
  <c r="I13" i="64" s="1"/>
  <c r="L12" i="110"/>
  <c r="K12" i="110" s="1"/>
  <c r="C12" i="110"/>
  <c r="E12" i="64"/>
  <c r="C9" i="110"/>
  <c r="O9" i="110" s="1"/>
  <c r="M9" i="110"/>
  <c r="K9" i="110" s="1"/>
  <c r="E8" i="64"/>
  <c r="L8" i="110"/>
  <c r="G6" i="64"/>
  <c r="N6" i="110"/>
  <c r="J9" i="64"/>
  <c r="H9" i="64"/>
  <c r="C25" i="110"/>
  <c r="O25" i="110" s="1"/>
  <c r="E6" i="64"/>
  <c r="L48" i="110"/>
  <c r="C51" i="110"/>
  <c r="O51" i="110" s="1"/>
  <c r="E26" i="64"/>
  <c r="E52" i="64"/>
  <c r="C54" i="110"/>
  <c r="L42" i="110"/>
  <c r="C35" i="110"/>
  <c r="O35" i="110" s="1"/>
  <c r="C65" i="64"/>
  <c r="N28" i="110"/>
  <c r="K49" i="110"/>
  <c r="L38" i="110"/>
  <c r="M35" i="110"/>
  <c r="K35" i="110" s="1"/>
  <c r="M31" i="110"/>
  <c r="E62" i="64"/>
  <c r="D62" i="64" s="1"/>
  <c r="C62" i="110"/>
  <c r="J5" i="64"/>
  <c r="N5" i="110"/>
  <c r="C5" i="110"/>
  <c r="F65" i="110"/>
  <c r="E64" i="64"/>
  <c r="D64" i="64" s="1"/>
  <c r="L64" i="110"/>
  <c r="G29" i="66"/>
  <c r="K46" i="73"/>
  <c r="D13" i="73"/>
  <c r="G9" i="75" s="1"/>
  <c r="D29" i="66"/>
  <c r="Y38" i="112"/>
  <c r="C40" i="73"/>
  <c r="K40" i="73" s="1"/>
  <c r="J13" i="66"/>
  <c r="H13" i="66"/>
  <c r="C13" i="73"/>
  <c r="G8" i="75" s="1"/>
  <c r="K45" i="73"/>
  <c r="F29" i="66"/>
  <c r="C38" i="73"/>
  <c r="C29" i="66"/>
  <c r="W10" i="71"/>
  <c r="U44" i="71"/>
  <c r="W8" i="71"/>
  <c r="W9" i="71"/>
  <c r="C44" i="71"/>
  <c r="E44" i="71"/>
  <c r="F19" i="102"/>
  <c r="G19" i="102" s="1"/>
  <c r="D13" i="76"/>
  <c r="E60" i="78"/>
  <c r="E56" i="78" s="1"/>
  <c r="C60" i="78"/>
  <c r="C56" i="78" s="1"/>
  <c r="C19" i="79" s="1"/>
  <c r="J10" i="76"/>
  <c r="J9" i="76"/>
  <c r="E19" i="77"/>
  <c r="U19" i="77" s="1"/>
  <c r="D16" i="76"/>
  <c r="D19" i="77"/>
  <c r="T19" i="77" s="1"/>
  <c r="P59" i="78"/>
  <c r="F26" i="78"/>
  <c r="C14" i="76"/>
  <c r="J12" i="76"/>
  <c r="J15" i="76" s="1"/>
  <c r="C15" i="76"/>
  <c r="C19" i="77"/>
  <c r="R19" i="77" s="1"/>
  <c r="C8" i="76"/>
  <c r="J11" i="76"/>
  <c r="Q10" i="78"/>
  <c r="Q22" i="78"/>
  <c r="I19" i="79"/>
  <c r="P45" i="78"/>
  <c r="P52" i="78"/>
  <c r="F49" i="78"/>
  <c r="F43" i="78" s="1"/>
  <c r="P62" i="78"/>
  <c r="F60" i="78"/>
  <c r="F56" i="78" s="1"/>
  <c r="P58" i="78"/>
  <c r="P63" i="78"/>
  <c r="P32" i="78"/>
  <c r="T19" i="79"/>
  <c r="Q32" i="78"/>
  <c r="C43" i="78"/>
  <c r="B19" i="79" s="1"/>
  <c r="Q61" i="78"/>
  <c r="Q60" i="78" s="1"/>
  <c r="E19" i="79"/>
  <c r="W19" i="79" s="1"/>
  <c r="Q50" i="78"/>
  <c r="Q49" i="78" s="1"/>
  <c r="G43" i="78"/>
  <c r="F19" i="79" s="1"/>
  <c r="Y19" i="79" s="1"/>
  <c r="Q44" i="78"/>
  <c r="Q48" i="78"/>
  <c r="K56" i="78"/>
  <c r="Q57" i="78"/>
  <c r="J19" i="79"/>
  <c r="Q16" i="78"/>
  <c r="Q24" i="78"/>
  <c r="Q30" i="78"/>
  <c r="N43" i="78"/>
  <c r="P55" i="78"/>
  <c r="P54" i="78"/>
  <c r="H26" i="78"/>
  <c r="P13" i="78"/>
  <c r="P17" i="78"/>
  <c r="P21" i="78"/>
  <c r="P25" i="78"/>
  <c r="P46" i="78"/>
  <c r="H60" i="78"/>
  <c r="H56" i="78" s="1"/>
  <c r="P66" i="78"/>
  <c r="P30" i="78"/>
  <c r="C26" i="78"/>
  <c r="P9" i="78"/>
  <c r="F31" i="68"/>
  <c r="F36" i="68" s="1"/>
  <c r="F23" i="68"/>
  <c r="V12" i="84"/>
  <c r="F18" i="90" s="1"/>
  <c r="Y12" i="84"/>
  <c r="X12" i="84"/>
  <c r="E18" i="90"/>
  <c r="H24" i="121"/>
  <c r="E24" i="121"/>
  <c r="O24" i="121"/>
  <c r="N23" i="120"/>
  <c r="J23" i="120"/>
  <c r="C23" i="120"/>
  <c r="D25" i="107"/>
  <c r="F25" i="107"/>
  <c r="F18" i="114"/>
  <c r="E27" i="114"/>
  <c r="O16" i="80"/>
  <c r="X16" i="81"/>
  <c r="P16" i="81"/>
  <c r="K16" i="80"/>
  <c r="P16" i="80" s="1"/>
  <c r="C33" i="114"/>
  <c r="D33" i="114" s="1"/>
  <c r="F33" i="114"/>
  <c r="Y25" i="81"/>
  <c r="P25" i="81"/>
  <c r="W25" i="81"/>
  <c r="W25" i="80"/>
  <c r="Y25" i="80"/>
  <c r="X25" i="80"/>
  <c r="K25" i="80"/>
  <c r="P25" i="80" s="1"/>
  <c r="B12" i="114"/>
  <c r="C28" i="114" s="1"/>
  <c r="D28" i="114" s="1"/>
  <c r="V22" i="80"/>
  <c r="O22" i="80"/>
  <c r="W22" i="80" s="1"/>
  <c r="K22" i="80"/>
  <c r="P22" i="80" s="1"/>
  <c r="D24" i="107"/>
  <c r="O19" i="80"/>
  <c r="W19" i="80" s="1"/>
  <c r="E32" i="107"/>
  <c r="B34" i="114"/>
  <c r="W21" i="80"/>
  <c r="X21" i="81"/>
  <c r="W21" i="81"/>
  <c r="P21" i="81"/>
  <c r="K21" i="80"/>
  <c r="P21" i="80" s="1"/>
  <c r="V20" i="80"/>
  <c r="O20" i="80"/>
  <c r="X20" i="80" s="1"/>
  <c r="Y20" i="81"/>
  <c r="Y20" i="80"/>
  <c r="P20" i="81"/>
  <c r="K20" i="80"/>
  <c r="L18" i="114"/>
  <c r="H18" i="114"/>
  <c r="X18" i="80"/>
  <c r="Y18" i="80"/>
  <c r="P18" i="81"/>
  <c r="Y18" i="81"/>
  <c r="W18" i="80"/>
  <c r="W18" i="81"/>
  <c r="K18" i="80"/>
  <c r="P18" i="80" s="1"/>
  <c r="V24" i="80"/>
  <c r="B32" i="107"/>
  <c r="V12" i="81"/>
  <c r="F18" i="87" s="1"/>
  <c r="Y24" i="81"/>
  <c r="P24" i="81"/>
  <c r="K24" i="80"/>
  <c r="P24" i="80" s="1"/>
  <c r="J18" i="114"/>
  <c r="B13" i="114"/>
  <c r="C29" i="114" s="1"/>
  <c r="D29" i="114" s="1"/>
  <c r="Y23" i="81"/>
  <c r="K23" i="80"/>
  <c r="B17" i="107"/>
  <c r="C32" i="107" s="1"/>
  <c r="D32" i="107" s="1"/>
  <c r="D22" i="107"/>
  <c r="X14" i="80"/>
  <c r="X14" i="81"/>
  <c r="W14" i="80"/>
  <c r="P14" i="81"/>
  <c r="K12" i="81"/>
  <c r="V26" i="80"/>
  <c r="O12" i="81"/>
  <c r="Y12" i="81" s="1"/>
  <c r="P26" i="81"/>
  <c r="O26" i="80"/>
  <c r="Y26" i="80" s="1"/>
  <c r="K26" i="80"/>
  <c r="B14" i="114"/>
  <c r="C30" i="114" s="1"/>
  <c r="B11" i="114"/>
  <c r="C27" i="114" s="1"/>
  <c r="D27" i="114" s="1"/>
  <c r="F27" i="114"/>
  <c r="Y16" i="80"/>
  <c r="V16" i="80"/>
  <c r="X16" i="82"/>
  <c r="X16" i="80"/>
  <c r="W16" i="82"/>
  <c r="W16" i="80"/>
  <c r="P16" i="82"/>
  <c r="B10" i="114"/>
  <c r="C26" i="114" s="1"/>
  <c r="D26" i="114" s="1"/>
  <c r="B14" i="109"/>
  <c r="F26" i="109" s="1"/>
  <c r="E26" i="114"/>
  <c r="D23" i="109"/>
  <c r="P19" i="82"/>
  <c r="W19" i="82"/>
  <c r="Y19" i="80"/>
  <c r="Y19" i="82"/>
  <c r="X19" i="80"/>
  <c r="K19" i="80"/>
  <c r="C22" i="109"/>
  <c r="B9" i="114"/>
  <c r="C25" i="114" s="1"/>
  <c r="D25" i="114" s="1"/>
  <c r="M18" i="114"/>
  <c r="E25" i="114"/>
  <c r="F25" i="114" s="1"/>
  <c r="D22" i="109"/>
  <c r="O17" i="80"/>
  <c r="W17" i="82"/>
  <c r="P17" i="82"/>
  <c r="Y17" i="82"/>
  <c r="D25" i="109"/>
  <c r="B26" i="109"/>
  <c r="D30" i="114"/>
  <c r="Q12" i="80"/>
  <c r="Y24" i="80"/>
  <c r="W24" i="80"/>
  <c r="P24" i="82"/>
  <c r="X24" i="80"/>
  <c r="Y24" i="82"/>
  <c r="N18" i="114"/>
  <c r="D21" i="109"/>
  <c r="B8" i="114"/>
  <c r="C24" i="114" s="1"/>
  <c r="D24" i="114" s="1"/>
  <c r="K18" i="114"/>
  <c r="G18" i="114"/>
  <c r="E23" i="114"/>
  <c r="V23" i="80"/>
  <c r="V12" i="82"/>
  <c r="F18" i="88" s="1"/>
  <c r="O23" i="80"/>
  <c r="W23" i="80" s="1"/>
  <c r="G12" i="80"/>
  <c r="F24" i="114"/>
  <c r="I18" i="114"/>
  <c r="E18" i="114"/>
  <c r="C26" i="109"/>
  <c r="D18" i="114"/>
  <c r="C18" i="114"/>
  <c r="Y15" i="80"/>
  <c r="O12" i="82"/>
  <c r="W12" i="82" s="1"/>
  <c r="G18" i="88" s="1"/>
  <c r="N12" i="80"/>
  <c r="W15" i="80"/>
  <c r="P15" i="80"/>
  <c r="P15" i="82"/>
  <c r="X15" i="80"/>
  <c r="B7" i="114"/>
  <c r="Y14" i="80"/>
  <c r="D20" i="109"/>
  <c r="D18" i="86"/>
  <c r="P14" i="80"/>
  <c r="Y14" i="82"/>
  <c r="X14" i="82"/>
  <c r="K12" i="82"/>
  <c r="J12" i="80"/>
  <c r="I12" i="80"/>
  <c r="H12" i="80"/>
  <c r="P14" i="82"/>
  <c r="P33" i="85"/>
  <c r="M27" i="80"/>
  <c r="M12" i="80" s="1"/>
  <c r="L27" i="80"/>
  <c r="I12" i="85"/>
  <c r="T12" i="85"/>
  <c r="V12" i="85"/>
  <c r="F18" i="91" s="1"/>
  <c r="R27" i="80"/>
  <c r="R12" i="80" s="1"/>
  <c r="P30" i="85"/>
  <c r="O12" i="85"/>
  <c r="W12" i="85" s="1"/>
  <c r="G18" i="91" s="1"/>
  <c r="O27" i="85"/>
  <c r="Y27" i="85" s="1"/>
  <c r="P29" i="85"/>
  <c r="Y29" i="85"/>
  <c r="X29" i="85"/>
  <c r="K27" i="85"/>
  <c r="K12" i="85" s="1"/>
  <c r="K27" i="80"/>
  <c r="U12" i="80"/>
  <c r="V27" i="85"/>
  <c r="S27" i="80"/>
  <c r="O27" i="80"/>
  <c r="E18" i="91"/>
  <c r="X12" i="85"/>
  <c r="V17" i="80"/>
  <c r="T12" i="80"/>
  <c r="P17" i="80"/>
  <c r="Y17" i="80"/>
  <c r="X17" i="80"/>
  <c r="W17" i="80"/>
  <c r="L12" i="80"/>
  <c r="Y13" i="80"/>
  <c r="P13" i="83"/>
  <c r="P12" i="83" s="1"/>
  <c r="O12" i="83"/>
  <c r="X13" i="83"/>
  <c r="Y13" i="83"/>
  <c r="W13" i="80"/>
  <c r="X13" i="80"/>
  <c r="P13" i="80"/>
  <c r="E12" i="80"/>
  <c r="K43" i="110" l="1"/>
  <c r="D47" i="64"/>
  <c r="K13" i="110"/>
  <c r="K39" i="110"/>
  <c r="H57" i="64"/>
  <c r="D51" i="64"/>
  <c r="I51" i="64" s="1"/>
  <c r="K37" i="110"/>
  <c r="S28" i="67"/>
  <c r="H31" i="67"/>
  <c r="S35" i="67" s="1"/>
  <c r="H16" i="67"/>
  <c r="S22" i="67"/>
  <c r="K15" i="110"/>
  <c r="D24" i="64"/>
  <c r="I24" i="64" s="1"/>
  <c r="C19" i="102"/>
  <c r="D19" i="102" s="1"/>
  <c r="D6" i="102"/>
  <c r="P49" i="78"/>
  <c r="AG22" i="70"/>
  <c r="D63" i="64"/>
  <c r="D57" i="64"/>
  <c r="I57" i="64" s="1"/>
  <c r="J53" i="64"/>
  <c r="AG14" i="70"/>
  <c r="AG35" i="70" s="1"/>
  <c r="Z49" i="55"/>
  <c r="AD48" i="53"/>
  <c r="AD49" i="53" s="1"/>
  <c r="D26" i="64"/>
  <c r="K62" i="110"/>
  <c r="D15" i="64"/>
  <c r="I15" i="64" s="1"/>
  <c r="K11" i="110"/>
  <c r="K64" i="110"/>
  <c r="K48" i="110"/>
  <c r="K34" i="110"/>
  <c r="J7" i="64"/>
  <c r="D16" i="64"/>
  <c r="K54" i="110"/>
  <c r="K31" i="110"/>
  <c r="D29" i="64"/>
  <c r="K42" i="110"/>
  <c r="K8" i="110"/>
  <c r="D44" i="64"/>
  <c r="J15" i="64"/>
  <c r="K17" i="110"/>
  <c r="K50" i="110"/>
  <c r="K33" i="110"/>
  <c r="D45" i="64"/>
  <c r="I45" i="64" s="1"/>
  <c r="D12" i="64"/>
  <c r="K38" i="110"/>
  <c r="AD48" i="54"/>
  <c r="R49" i="51"/>
  <c r="AD47" i="55"/>
  <c r="F49" i="52"/>
  <c r="V49" i="51"/>
  <c r="N49" i="54"/>
  <c r="AD41" i="55"/>
  <c r="N48" i="55"/>
  <c r="AD48" i="51"/>
  <c r="AD49" i="51" s="1"/>
  <c r="R48" i="55"/>
  <c r="V49" i="50"/>
  <c r="F49" i="53"/>
  <c r="N49" i="52"/>
  <c r="F48" i="55"/>
  <c r="F49" i="55" s="1"/>
  <c r="J48" i="55"/>
  <c r="J49" i="55" s="1"/>
  <c r="AD37" i="55"/>
  <c r="J49" i="50"/>
  <c r="V48" i="55"/>
  <c r="V49" i="55" s="1"/>
  <c r="AD49" i="52"/>
  <c r="AD49" i="50"/>
  <c r="AD31" i="55"/>
  <c r="AD21" i="55"/>
  <c r="AD23" i="54"/>
  <c r="N23" i="55"/>
  <c r="R23" i="55"/>
  <c r="AD18" i="55"/>
  <c r="AD14" i="55"/>
  <c r="AE35" i="70"/>
  <c r="AI35" i="70"/>
  <c r="F47" i="56"/>
  <c r="R47" i="56"/>
  <c r="V46" i="56"/>
  <c r="AF35" i="70"/>
  <c r="J29" i="66"/>
  <c r="V22" i="56"/>
  <c r="AP38" i="62"/>
  <c r="H29" i="66"/>
  <c r="K5" i="110"/>
  <c r="N65" i="110"/>
  <c r="J52" i="64"/>
  <c r="D52" i="64"/>
  <c r="I52" i="64" s="1"/>
  <c r="H52" i="64"/>
  <c r="D6" i="64"/>
  <c r="J6" i="64"/>
  <c r="H6" i="64"/>
  <c r="E65" i="64"/>
  <c r="J20" i="64"/>
  <c r="H20" i="64"/>
  <c r="D20" i="64"/>
  <c r="I20" i="64" s="1"/>
  <c r="H56" i="64"/>
  <c r="D56" i="64"/>
  <c r="M65" i="110"/>
  <c r="K7" i="110"/>
  <c r="D42" i="64"/>
  <c r="I42" i="64" s="1"/>
  <c r="J42" i="64"/>
  <c r="H42" i="64"/>
  <c r="J46" i="64"/>
  <c r="H46" i="64"/>
  <c r="D46" i="64"/>
  <c r="I46" i="64" s="1"/>
  <c r="G65" i="64"/>
  <c r="K28" i="110"/>
  <c r="K36" i="110"/>
  <c r="K44" i="110"/>
  <c r="H48" i="64"/>
  <c r="D48" i="64"/>
  <c r="I48" i="64" s="1"/>
  <c r="J48" i="64"/>
  <c r="J54" i="64"/>
  <c r="H54" i="64"/>
  <c r="D54" i="64"/>
  <c r="I54" i="64" s="1"/>
  <c r="D18" i="64"/>
  <c r="K22" i="110"/>
  <c r="K26" i="110"/>
  <c r="J30" i="64"/>
  <c r="D30" i="64"/>
  <c r="I30" i="64" s="1"/>
  <c r="H30" i="64"/>
  <c r="D58" i="64"/>
  <c r="D40" i="64"/>
  <c r="H40" i="64"/>
  <c r="K6" i="110"/>
  <c r="L65" i="110"/>
  <c r="D10" i="64"/>
  <c r="I10" i="64" s="1"/>
  <c r="J10" i="64"/>
  <c r="H10" i="64"/>
  <c r="K30" i="110"/>
  <c r="D34" i="64"/>
  <c r="H34" i="64"/>
  <c r="O5" i="110"/>
  <c r="C65" i="110"/>
  <c r="O65" i="110" s="1"/>
  <c r="D8" i="64"/>
  <c r="I8" i="64" s="1"/>
  <c r="H8" i="64"/>
  <c r="J8" i="64"/>
  <c r="J36" i="64"/>
  <c r="D36" i="64"/>
  <c r="I36" i="64" s="1"/>
  <c r="H36" i="64"/>
  <c r="K52" i="110"/>
  <c r="F65" i="64"/>
  <c r="D7" i="64"/>
  <c r="I7" i="64" s="1"/>
  <c r="J14" i="64"/>
  <c r="D14" i="64"/>
  <c r="I14" i="64" s="1"/>
  <c r="K46" i="110"/>
  <c r="K58" i="110"/>
  <c r="K50" i="73"/>
  <c r="J90" i="73" s="1"/>
  <c r="C43" i="73"/>
  <c r="W44" i="71"/>
  <c r="J14" i="76"/>
  <c r="I19" i="77"/>
  <c r="O19" i="77" s="1"/>
  <c r="P60" i="78"/>
  <c r="P56" i="78" s="1"/>
  <c r="Q56" i="78"/>
  <c r="Q26" i="78"/>
  <c r="C13" i="76"/>
  <c r="C16" i="76" s="1"/>
  <c r="J8" i="76"/>
  <c r="B19" i="77"/>
  <c r="L11" i="76"/>
  <c r="L19" i="79"/>
  <c r="P19" i="79" s="1"/>
  <c r="S19" i="79"/>
  <c r="P43" i="78"/>
  <c r="Q43" i="78"/>
  <c r="P26" i="78"/>
  <c r="M19" i="79"/>
  <c r="Q19" i="79" s="1"/>
  <c r="F28" i="114"/>
  <c r="X22" i="80"/>
  <c r="Y22" i="80"/>
  <c r="F26" i="114"/>
  <c r="P19" i="80"/>
  <c r="P20" i="80"/>
  <c r="W20" i="80"/>
  <c r="E18" i="87"/>
  <c r="P12" i="81"/>
  <c r="X12" i="81"/>
  <c r="W12" i="81"/>
  <c r="G18" i="87" s="1"/>
  <c r="F29" i="114"/>
  <c r="Y23" i="80"/>
  <c r="P23" i="80"/>
  <c r="X23" i="80"/>
  <c r="F32" i="107"/>
  <c r="P26" i="80"/>
  <c r="W26" i="80"/>
  <c r="X26" i="80"/>
  <c r="F30" i="114"/>
  <c r="D26" i="109"/>
  <c r="E34" i="114"/>
  <c r="O12" i="80"/>
  <c r="W12" i="80" s="1"/>
  <c r="G18" i="86" s="1"/>
  <c r="X12" i="82"/>
  <c r="Y12" i="82"/>
  <c r="E18" i="88"/>
  <c r="P12" i="82"/>
  <c r="C23" i="114"/>
  <c r="D23" i="114" s="1"/>
  <c r="B18" i="114"/>
  <c r="F23" i="114"/>
  <c r="K12" i="80"/>
  <c r="V27" i="80"/>
  <c r="Y12" i="85"/>
  <c r="P27" i="85"/>
  <c r="P12" i="85" s="1"/>
  <c r="W27" i="85"/>
  <c r="X27" i="85"/>
  <c r="Y27" i="80"/>
  <c r="S12" i="80"/>
  <c r="W27" i="80"/>
  <c r="X27" i="80"/>
  <c r="P27" i="80"/>
  <c r="W12" i="83"/>
  <c r="G18" i="89" s="1"/>
  <c r="Y12" i="83"/>
  <c r="E18" i="89"/>
  <c r="X12" i="83"/>
  <c r="H32" i="67" l="1"/>
  <c r="S21" i="67" s="1"/>
  <c r="S27" i="67"/>
  <c r="AD49" i="54"/>
  <c r="R49" i="55"/>
  <c r="AD48" i="55"/>
  <c r="N49" i="55"/>
  <c r="AD23" i="55"/>
  <c r="V47" i="56"/>
  <c r="J91" i="73"/>
  <c r="J89" i="73"/>
  <c r="J92" i="73"/>
  <c r="J88" i="73"/>
  <c r="J87" i="73"/>
  <c r="I6" i="64"/>
  <c r="D65" i="64"/>
  <c r="I65" i="64" s="1"/>
  <c r="H65" i="64"/>
  <c r="J65" i="64"/>
  <c r="K65" i="110"/>
  <c r="Q19" i="77"/>
  <c r="H19" i="77"/>
  <c r="N19" i="77" s="1"/>
  <c r="J13" i="76"/>
  <c r="J16" i="76" s="1"/>
  <c r="L9" i="76"/>
  <c r="P12" i="80"/>
  <c r="X12" i="80"/>
  <c r="E18" i="86"/>
  <c r="Y12" i="80"/>
  <c r="C34" i="114"/>
  <c r="D34" i="114" s="1"/>
  <c r="F34" i="114"/>
  <c r="V12" i="80"/>
  <c r="F18" i="86" s="1"/>
  <c r="AD49" i="55" l="1"/>
  <c r="J36" i="73" l="1"/>
  <c r="J30" i="73"/>
  <c r="K30" i="73" s="1"/>
  <c r="J24" i="73"/>
  <c r="K24" i="73" s="1"/>
  <c r="J18" i="73"/>
  <c r="K18" i="73" s="1"/>
  <c r="J12" i="73"/>
  <c r="K12" i="73" s="1"/>
  <c r="F12" i="74" s="1"/>
  <c r="P12" i="74" s="1"/>
  <c r="J8" i="73" l="1"/>
  <c r="J9" i="73"/>
  <c r="K9" i="73" s="1"/>
  <c r="F9" i="74" s="1"/>
  <c r="P9" i="74" s="1"/>
  <c r="J11" i="73"/>
  <c r="K11" i="73" s="1"/>
  <c r="F11" i="74" s="1"/>
  <c r="P11" i="74" s="1"/>
  <c r="J14" i="73"/>
  <c r="J15" i="73"/>
  <c r="K15" i="73" s="1"/>
  <c r="J17" i="73"/>
  <c r="K17" i="73" s="1"/>
  <c r="J20" i="73"/>
  <c r="J21" i="73"/>
  <c r="K21" i="73" s="1"/>
  <c r="J23" i="73"/>
  <c r="K23" i="73" s="1"/>
  <c r="J26" i="73"/>
  <c r="J27" i="73"/>
  <c r="K27" i="73" s="1"/>
  <c r="J29" i="73"/>
  <c r="K29" i="73" s="1"/>
  <c r="J32" i="73"/>
  <c r="J33" i="73"/>
  <c r="J35" i="73"/>
  <c r="K36" i="73"/>
  <c r="J42" i="73"/>
  <c r="K42" i="73" s="1"/>
  <c r="J37" i="73" l="1"/>
  <c r="K32" i="73"/>
  <c r="J38" i="73"/>
  <c r="K8" i="73"/>
  <c r="J13" i="73"/>
  <c r="G15" i="75" s="1"/>
  <c r="G16" i="75" s="1"/>
  <c r="K14" i="73"/>
  <c r="K19" i="73" s="1"/>
  <c r="J19" i="73"/>
  <c r="K33" i="73"/>
  <c r="J39" i="73"/>
  <c r="K39" i="73" s="1"/>
  <c r="K26" i="73"/>
  <c r="K31" i="73" s="1"/>
  <c r="J31" i="73"/>
  <c r="K35" i="73"/>
  <c r="J41" i="73"/>
  <c r="K41" i="73" s="1"/>
  <c r="K20" i="73"/>
  <c r="K25" i="73" s="1"/>
  <c r="J25" i="73"/>
  <c r="K38" i="73" l="1"/>
  <c r="K43" i="73" s="1"/>
  <c r="J43" i="73"/>
  <c r="L15" i="75"/>
  <c r="L14" i="75"/>
  <c r="L12" i="75"/>
  <c r="L8" i="75"/>
  <c r="L13" i="75"/>
  <c r="L9" i="75"/>
  <c r="L10" i="75"/>
  <c r="L11" i="75"/>
  <c r="K37" i="73"/>
  <c r="F8" i="74"/>
  <c r="K13" i="73"/>
  <c r="F13" i="74" l="1"/>
  <c r="P13" i="74" s="1"/>
  <c r="P8" i="74"/>
</calcChain>
</file>

<file path=xl/sharedStrings.xml><?xml version="1.0" encoding="utf-8"?>
<sst xmlns="http://schemas.openxmlformats.org/spreadsheetml/2006/main" count="5647" uniqueCount="1693">
  <si>
    <t>POLICONSUMO</t>
  </si>
  <si>
    <t>ESQUIZOFRENIA</t>
  </si>
  <si>
    <t>TRASTORNOS DE LA CONDUCTA ALIMENTARIA</t>
  </si>
  <si>
    <t>RETRASO MENTAL</t>
  </si>
  <si>
    <t>TRASTORNO DE PERSONALIDAD</t>
  </si>
  <si>
    <t>TRASTORNO GENERALIZADOS DEL DESARROLLO</t>
  </si>
  <si>
    <t>CONS.  Y
POSTAS</t>
  </si>
  <si>
    <t>PREVENTIVAS  menores  de  20  años</t>
  </si>
  <si>
    <t xml:space="preserve">SERVICIO SALUD  ACONCAGUA  </t>
  </si>
  <si>
    <t>CONSULTORIOS
 Y  POSTAS</t>
  </si>
  <si>
    <t>*Nota  :  Prevención  considera las  acciones  de  :</t>
  </si>
  <si>
    <t xml:space="preserve">           -  Aplicación  de  sellante</t>
  </si>
  <si>
    <t xml:space="preserve">           -  Fluoración  tópica</t>
  </si>
  <si>
    <t xml:space="preserve">           -  Pulido  coronario</t>
  </si>
  <si>
    <t>ATENCIONES DE URGENCIA  SEGUN ESTABLECIMIENTOS</t>
  </si>
  <si>
    <t>E S T A B L E C I M I E N T O S</t>
  </si>
  <si>
    <t xml:space="preserve"> FUNCIONARIO</t>
  </si>
  <si>
    <t xml:space="preserve"> GRUPO</t>
  </si>
  <si>
    <t>H. SAN  FELIPE</t>
  </si>
  <si>
    <t>H. LOS ANDES</t>
  </si>
  <si>
    <t>H. LLAY- LLAY</t>
  </si>
  <si>
    <t>H. PUTAENDO</t>
  </si>
  <si>
    <t>SAPU
L.ANDES</t>
  </si>
  <si>
    <t>SAPU
S. FELIPE</t>
  </si>
  <si>
    <t xml:space="preserve"> INFANTIL</t>
  </si>
  <si>
    <t xml:space="preserve"> ADOLESCENTE</t>
  </si>
  <si>
    <t xml:space="preserve"> MUJER</t>
  </si>
  <si>
    <t xml:space="preserve"> ADULTO</t>
  </si>
  <si>
    <t xml:space="preserve"> ADULTO MAYOR</t>
  </si>
  <si>
    <t xml:space="preserve"> ENFERMERA</t>
  </si>
  <si>
    <t xml:space="preserve"> MATRONA</t>
  </si>
  <si>
    <t xml:space="preserve"> AUXILIAR</t>
  </si>
  <si>
    <t xml:space="preserve">INDICE  CONSULTA MEDICA  DE URGENCIA </t>
  </si>
  <si>
    <t xml:space="preserve">SERVICIO DE SALUD   ACONCAGUA    </t>
  </si>
  <si>
    <t>CONSULTAS MEDICAS</t>
  </si>
  <si>
    <t>INDICE DE CONSULTA</t>
  </si>
  <si>
    <t>ATENCIONES MEDICAS DE URGENCIA  SEGUN ESTABLECIMIENTOS</t>
  </si>
  <si>
    <t>HOSP. SAN  FELIPE</t>
  </si>
  <si>
    <t>H.SAN CAMILO</t>
  </si>
  <si>
    <t>HOSP. LOS  ANDES</t>
  </si>
  <si>
    <t>H.LOS ANDES</t>
  </si>
  <si>
    <t>HOSP. LLAY  LLAY</t>
  </si>
  <si>
    <t>H.LLAY-LLAY</t>
  </si>
  <si>
    <t>HOSP. PSIQUIATRICO</t>
  </si>
  <si>
    <t>H.PSIQ.</t>
  </si>
  <si>
    <t>HOSP.  PUTAENDO</t>
  </si>
  <si>
    <t>SAPU  SAN  FELIPE</t>
  </si>
  <si>
    <t>SAPU S.F.</t>
  </si>
  <si>
    <t>SAPU  LOS  ANDES</t>
  </si>
  <si>
    <t>SAPU L.A.</t>
  </si>
  <si>
    <t>CONS. MUNICIPALES</t>
  </si>
  <si>
    <t>MUNIC.</t>
  </si>
  <si>
    <t>INTERVENCIONES  QUIRURGICAS  ELECTIVAS  Y   URGENCIAS</t>
  </si>
  <si>
    <t xml:space="preserve">  INTERVENCIONES
  QUIRURGICAS</t>
  </si>
  <si>
    <t>HOSP. SAN
 FELIPE</t>
  </si>
  <si>
    <t>HOSP. LOS
ANDES</t>
  </si>
  <si>
    <t>HOSP. 
PSIQUIA.</t>
  </si>
  <si>
    <t>NO AMBULATORIAS  MAYORES</t>
  </si>
  <si>
    <t>MAYOR AMBULATORIAS</t>
  </si>
  <si>
    <t>MENORES</t>
  </si>
  <si>
    <t xml:space="preserve"> MENORES</t>
  </si>
  <si>
    <t>PERFIL DE INTERVENCIONES  QUIRURGICAS</t>
  </si>
  <si>
    <t>MAYORES  ELECTIVAS Y URGENCIAS</t>
  </si>
  <si>
    <t>SERVICIO  DE  SALUD   ACONCAGUA</t>
  </si>
  <si>
    <t>SERVICIO DE SALUD</t>
  </si>
  <si>
    <t>HOSP. SAN CAMILO</t>
  </si>
  <si>
    <t>ELECTIVA</t>
  </si>
  <si>
    <t>POB.</t>
  </si>
  <si>
    <t>T/E</t>
  </si>
  <si>
    <t>T/U</t>
  </si>
  <si>
    <t xml:space="preserve">                            </t>
  </si>
  <si>
    <t>POR  ESTABLECIMIENTOS</t>
  </si>
  <si>
    <t xml:space="preserve">  INTERVENCIONES</t>
  </si>
  <si>
    <t>HOSP. PUTAENDO</t>
  </si>
  <si>
    <t>A.  PRIMARIA</t>
  </si>
  <si>
    <t xml:space="preserve"> CIR. OFTALMICA</t>
  </si>
  <si>
    <t xml:space="preserve"> CIR. OTORRINOLOGICA</t>
  </si>
  <si>
    <t xml:space="preserve"> CIR. DE LA CABEZA Y CUELLO</t>
  </si>
  <si>
    <t xml:space="preserve"> CIR. PLASTICA Y REPARAD.</t>
  </si>
  <si>
    <t xml:space="preserve"> TEGUMENTOS</t>
  </si>
  <si>
    <t xml:space="preserve"> CIR. CARDIOVASCULAR</t>
  </si>
  <si>
    <t xml:space="preserve"> CIR. TORAXICA</t>
  </si>
  <si>
    <t xml:space="preserve"> CIR. ABDOMINAL</t>
  </si>
  <si>
    <t xml:space="preserve"> CIR. PROCTOLOGICA</t>
  </si>
  <si>
    <t xml:space="preserve"> CIR. UROLOGICA Y SUP.</t>
  </si>
  <si>
    <t xml:space="preserve"> CIR. DE LA MAMA</t>
  </si>
  <si>
    <t xml:space="preserve"> CIR. GINECOLOGICA</t>
  </si>
  <si>
    <t xml:space="preserve"> CIR. OBSTETRICA</t>
  </si>
  <si>
    <t xml:space="preserve"> TRAUMATOLOGIA Y ORTOP.</t>
  </si>
  <si>
    <t xml:space="preserve"> ODONTOLOGIA</t>
  </si>
  <si>
    <t xml:space="preserve"> RETIRO ELEMENTOS OSTEO.</t>
  </si>
  <si>
    <t xml:space="preserve"> T O T A L   INT.  QUIR.</t>
  </si>
  <si>
    <t xml:space="preserve"> ABREU</t>
  </si>
  <si>
    <t xml:space="preserve"> ANESTESIA  EPIDURAL</t>
  </si>
  <si>
    <t xml:space="preserve"> CUR. SIMPLE  AMBULATORIA</t>
  </si>
  <si>
    <t>PROCEDIMIENTO DE PODOLOGÍA</t>
  </si>
  <si>
    <t xml:space="preserve"> AUTOCUIDADO PACIEN. DID</t>
  </si>
  <si>
    <t xml:space="preserve"> OXIGENOTERAPIA DOMICILIO</t>
  </si>
  <si>
    <t xml:space="preserve"> SUB- TOTAL  LABORATORIO</t>
  </si>
  <si>
    <t xml:space="preserve"> HEMATOLOGICOS</t>
  </si>
  <si>
    <t xml:space="preserve"> BIOQUIMICOS</t>
  </si>
  <si>
    <t xml:space="preserve"> HORMONALES</t>
  </si>
  <si>
    <t xml:space="preserve"> INMUNOLOGICOS</t>
  </si>
  <si>
    <t xml:space="preserve"> MICROBIOLOGICOS</t>
  </si>
  <si>
    <t xml:space="preserve"> a) Bacteria  y Hongos</t>
  </si>
  <si>
    <t xml:space="preserve"> b) Parásitos</t>
  </si>
  <si>
    <t xml:space="preserve"> c) Virus</t>
  </si>
  <si>
    <t xml:space="preserve"> PROC. DE DETER. DIRECTA</t>
  </si>
  <si>
    <t xml:space="preserve"> EXA.  DE  DEPOSICIONES</t>
  </si>
  <si>
    <t xml:space="preserve"> ORINA</t>
  </si>
  <si>
    <t xml:space="preserve"> SUB- TOTAL  IMAGENOLOGIA</t>
  </si>
  <si>
    <t xml:space="preserve"> RADIOLOGICOS SIMPLES</t>
  </si>
  <si>
    <t xml:space="preserve"> RADIOLOGICOS COMPLEJOS</t>
  </si>
  <si>
    <t xml:space="preserve"> TOMOGRAFIA AXIAL  COMP.</t>
  </si>
  <si>
    <t xml:space="preserve"> ULTRASONOGRAFIA</t>
  </si>
  <si>
    <t xml:space="preserve"> ECOTOMOGRAFIAS</t>
  </si>
  <si>
    <t xml:space="preserve"> SUB- TOTAL  ANAT. PATOLOG.</t>
  </si>
  <si>
    <t xml:space="preserve"> PROC.  DE  ORTOPEDIA</t>
  </si>
  <si>
    <t xml:space="preserve"> HEMODIALISIS CON BICARBONATO MENSUAL</t>
  </si>
  <si>
    <t xml:space="preserve"> HEMODIALISIS CON BICARBONATO  SESIÓN</t>
  </si>
  <si>
    <t xml:space="preserve"> EXAMENES  DE LABORATORIO E IMAGENOLOGIA  SEGUN AÑOS Y ESTABLECIMIENTOS</t>
  </si>
  <si>
    <t>(tasa x 100Hbs.)</t>
  </si>
  <si>
    <t>LABORATORIO  A.P.</t>
  </si>
  <si>
    <t>E.DIAG</t>
  </si>
  <si>
    <t>IMAG</t>
  </si>
  <si>
    <t>T/D</t>
  </si>
  <si>
    <t>T/ I</t>
  </si>
  <si>
    <r>
      <t xml:space="preserve">  SIMPLE     </t>
    </r>
    <r>
      <rPr>
        <sz val="8"/>
        <rFont val="Arial"/>
        <family val="2"/>
      </rPr>
      <t xml:space="preserve"> </t>
    </r>
  </si>
  <si>
    <r>
      <t xml:space="preserve"> </t>
    </r>
    <r>
      <rPr>
        <sz val="8"/>
        <rFont val="Arial"/>
        <family val="2"/>
      </rPr>
      <t>EUTOCICO</t>
    </r>
  </si>
  <si>
    <r>
      <t xml:space="preserve"> NO  PROF. (</t>
    </r>
    <r>
      <rPr>
        <sz val="6"/>
        <rFont val="Arial"/>
        <family val="2"/>
      </rPr>
      <t xml:space="preserve">FUERA  DE SERV. </t>
    </r>
    <r>
      <rPr>
        <sz val="8"/>
        <rFont val="Arial"/>
        <family val="2"/>
      </rPr>
      <t>)</t>
    </r>
  </si>
  <si>
    <t>CONSOLIDADO EGRESOS HOSPITALARIOS</t>
  </si>
  <si>
    <t xml:space="preserve">         MOVIMIENTO      DE        HOSPITALIZADOS</t>
  </si>
  <si>
    <t>INGRESO-EGRESO</t>
  </si>
  <si>
    <t xml:space="preserve">     DIAS DE CAMA   </t>
  </si>
  <si>
    <t xml:space="preserve">  DIAS DE EGRESADOS</t>
  </si>
  <si>
    <t xml:space="preserve">    INDICADORES</t>
  </si>
  <si>
    <t>SERVICIOS</t>
  </si>
  <si>
    <t>EXIS.</t>
  </si>
  <si>
    <t>INGRESOS</t>
  </si>
  <si>
    <t xml:space="preserve">     EGRESOS</t>
  </si>
  <si>
    <t>CLINICOS</t>
  </si>
  <si>
    <t>Nº DE 
CAMAS</t>
  </si>
  <si>
    <t>MES
ANTER.</t>
  </si>
  <si>
    <t>CAE</t>
  </si>
  <si>
    <t>OTROS
HOSP.</t>
  </si>
  <si>
    <t>OTRA
PROC.</t>
  </si>
  <si>
    <t>ALTA
HOGAR</t>
  </si>
  <si>
    <t>TRASL
O SERV.</t>
  </si>
  <si>
    <t>FALLEC</t>
  </si>
  <si>
    <t>MES
SIGUEN</t>
  </si>
  <si>
    <t>MISMO DIA</t>
  </si>
  <si>
    <t xml:space="preserve">   EN  
TRABAJO </t>
  </si>
  <si>
    <t>OCUPAD</t>
  </si>
  <si>
    <t>BENEF</t>
  </si>
  <si>
    <t>%
OCUP.</t>
  </si>
  <si>
    <t>X DIAS
EST.</t>
  </si>
  <si>
    <t>ROTACION</t>
  </si>
  <si>
    <t>SUSTI-
TUCION</t>
  </si>
  <si>
    <t xml:space="preserve"> MATERNIDAD</t>
  </si>
  <si>
    <t xml:space="preserve"> R.N. CUNA</t>
  </si>
  <si>
    <t xml:space="preserve"> U.C.I. NEONATAL</t>
  </si>
  <si>
    <t xml:space="preserve"> U.C.I. ADUL</t>
  </si>
  <si>
    <t xml:space="preserve"> U.T.I. ADUL</t>
  </si>
  <si>
    <t xml:space="preserve"> PENSIONADO</t>
  </si>
  <si>
    <t>CESFAM  RURAL</t>
  </si>
  <si>
    <t>CESFAM  URBANO</t>
  </si>
  <si>
    <t>Nota : Indice  de  rotación  es  promedio  mensual</t>
  </si>
  <si>
    <t>EGRESOS HOSPITAL      SAN   FELIPE</t>
  </si>
  <si>
    <t>EGRESOS  HOSPITAL      LOS  ANDES</t>
  </si>
  <si>
    <t>EGRESOS HOSPITAL      LLAY  LLAY</t>
  </si>
  <si>
    <t>EGRESOS   HOSPITAL     PUTAENDO</t>
  </si>
  <si>
    <t>EGRESOS HOSPITAL      PSIQUIATRICO</t>
  </si>
  <si>
    <t xml:space="preserve">   P.CORTA  EST.</t>
  </si>
  <si>
    <t xml:space="preserve">   P.MEDIA  EST.</t>
  </si>
  <si>
    <t xml:space="preserve">   CRONICOS</t>
  </si>
  <si>
    <t xml:space="preserve">   UNIDAD EMERGENCIA</t>
  </si>
  <si>
    <t xml:space="preserve">   FOR. MED. COM.</t>
  </si>
  <si>
    <t xml:space="preserve">   FOR. ALT.. COM.</t>
  </si>
  <si>
    <t xml:space="preserve">   U.E.  ( UEPI)</t>
  </si>
  <si>
    <t xml:space="preserve">   PENSIONADO</t>
  </si>
  <si>
    <t>EGRESOS HOSPITALARIOS  INDICE OCUPACIONAL Y  PROMEDIO DIAS ESTADA</t>
  </si>
  <si>
    <t>CONSOLIDADO SERVICIO SALUD</t>
  </si>
  <si>
    <t xml:space="preserve">DOTACIÓN </t>
  </si>
  <si>
    <t xml:space="preserve">PROMEDIO </t>
  </si>
  <si>
    <t>INDICE</t>
  </si>
  <si>
    <t>PROM.</t>
  </si>
  <si>
    <t>DE  CAMAS</t>
  </si>
  <si>
    <t>EGRESOS</t>
  </si>
  <si>
    <t>OCUPACIONAL</t>
  </si>
  <si>
    <t>DIA  ESTAD.</t>
  </si>
  <si>
    <t>HOSPITAL   SAN FELIPE</t>
  </si>
  <si>
    <t>HOSPITAL   LOS  ANDES</t>
  </si>
  <si>
    <t xml:space="preserve">HOSPITAL   LLAY  LLAY  </t>
  </si>
  <si>
    <t>HOSPITAL   PUTAENDO</t>
  </si>
  <si>
    <t xml:space="preserve">HOSPITAL   PSIQUIATRICO </t>
  </si>
  <si>
    <t>TOTAL  EGRESOS HOSPITALARIOS POR GRUPO DE CAUSAS SEGUN COMUNAS</t>
  </si>
  <si>
    <t>D50 - D90</t>
  </si>
  <si>
    <t xml:space="preserve"> ENF. DE LA SANGRE Y ORG. HEMA</t>
  </si>
  <si>
    <t>F00 - F99</t>
  </si>
  <si>
    <t xml:space="preserve"> TRASTORNOS MENTALES</t>
  </si>
  <si>
    <t>G00 - G99</t>
  </si>
  <si>
    <t xml:space="preserve"> SIST. NERVIOSO Y ORG. SENTIDO</t>
  </si>
  <si>
    <t>H00 - H99</t>
  </si>
  <si>
    <t xml:space="preserve"> ENF. DEL OJO Y SUS ANEXOS</t>
  </si>
  <si>
    <t>L00 - L99</t>
  </si>
  <si>
    <t xml:space="preserve"> ENF. PIEL Y TEJIDO CELULAR</t>
  </si>
  <si>
    <t>M00 - M99</t>
  </si>
  <si>
    <t xml:space="preserve"> ENF. SIST. OSTEOMUSCULAR</t>
  </si>
  <si>
    <t>O00 - O99</t>
  </si>
  <si>
    <t xml:space="preserve"> EMB. PARTO  Y PUERPERIO</t>
  </si>
  <si>
    <t xml:space="preserve"> TRAUMAT.   ENVENENAMIENTO
 Y  OTRAS CAUSAS  EXTERNAS</t>
  </si>
  <si>
    <t>TOTAL  EGRESOS HOSPITALARIOS POR GRUPO DE CAUSAS SEGUN GRUPOS  ETAREOS</t>
  </si>
  <si>
    <t xml:space="preserve">H O S P I T A L E S </t>
  </si>
  <si>
    <t>% SEGUN</t>
  </si>
  <si>
    <t>PATOLOGIA</t>
  </si>
  <si>
    <t>HOSPITAL  SAN FELIPE</t>
  </si>
  <si>
    <t xml:space="preserve">  </t>
  </si>
  <si>
    <t>HOSPITAL  LLAY LLAY</t>
  </si>
  <si>
    <t>HOSPITAL  PUTAENDO</t>
  </si>
  <si>
    <t>HOSPITAL  PSIQUIATRICO</t>
  </si>
  <si>
    <r>
      <t>INTERNO</t>
    </r>
    <r>
      <rPr>
        <sz val="8"/>
        <rFont val="Arial"/>
        <family val="2"/>
      </rPr>
      <t xml:space="preserve">
HOSP.</t>
    </r>
  </si>
  <si>
    <t>G L O S A R I O</t>
  </si>
  <si>
    <r>
      <t xml:space="preserve">Aborto </t>
    </r>
    <r>
      <rPr>
        <sz val="10"/>
        <rFont val="Arial"/>
        <family val="2"/>
      </rPr>
      <t xml:space="preserve">                                         =  </t>
    </r>
  </si>
  <si>
    <t>Interrupción del  embarazo  antes  de  que  el  feto  haya  llegado  a  un  
estado en  que  sea  viable,(pueda vivir) generalmente  antes  de  las 20 
semanas  de gestación.</t>
  </si>
  <si>
    <r>
      <t xml:space="preserve">Cama ocupada </t>
    </r>
    <r>
      <rPr>
        <sz val="10"/>
        <rFont val="Arial"/>
        <family val="2"/>
      </rPr>
      <t xml:space="preserve">                           =   </t>
    </r>
  </si>
  <si>
    <t>Es aquella en que un paciente está  hospitalizado.</t>
  </si>
  <si>
    <r>
      <t>Camas  Disponibles</t>
    </r>
    <r>
      <rPr>
        <sz val="10"/>
        <rFont val="Arial"/>
        <family val="2"/>
      </rPr>
      <t xml:space="preserve">                     = </t>
    </r>
  </si>
  <si>
    <t xml:space="preserve"> El total de la capacidad instalada en un Servicio de Hospitalización.</t>
  </si>
  <si>
    <r>
      <t>Camas ocupadas</t>
    </r>
    <r>
      <rPr>
        <sz val="10"/>
        <rFont val="Arial"/>
        <family val="2"/>
      </rPr>
      <t xml:space="preserve">                         =   </t>
    </r>
  </si>
  <si>
    <t>El total de pacientes hospitalizados en un día o período.</t>
  </si>
  <si>
    <r>
      <t xml:space="preserve">Camilla de Observación              </t>
    </r>
    <r>
      <rPr>
        <sz val="10"/>
        <rFont val="Arial"/>
        <family val="2"/>
      </rPr>
      <t xml:space="preserve">= </t>
    </r>
  </si>
  <si>
    <t xml:space="preserve">Es aquella en que el paciente permanece en observación, sin dar  origen a  hospitalización </t>
  </si>
  <si>
    <t xml:space="preserve">Crecimiento Vejetativo                = </t>
  </si>
  <si>
    <t>Diferencia entre los nacimientos  menos las defunciones dividido por la población  multiplicado por 100.</t>
  </si>
  <si>
    <r>
      <t xml:space="preserve">Días  camas  disponibles            </t>
    </r>
    <r>
      <rPr>
        <sz val="10"/>
        <rFont val="Arial"/>
        <family val="2"/>
      </rPr>
      <t xml:space="preserve"> =  </t>
    </r>
  </si>
  <si>
    <t xml:space="preserve">El producto que se obtiene multiplicando el total de camas disponibles  por  el  total  de días de  un  período                                                                                                                      </t>
  </si>
  <si>
    <r>
      <t>Días camas ocupados</t>
    </r>
    <r>
      <rPr>
        <sz val="10"/>
        <rFont val="Arial"/>
        <family val="2"/>
      </rPr>
      <t xml:space="preserve">                  =  </t>
    </r>
  </si>
  <si>
    <t>El total de camas ocupadas en un día  o en un período.</t>
  </si>
  <si>
    <r>
      <t>Egreso</t>
    </r>
    <r>
      <rPr>
        <sz val="10"/>
        <rFont val="Arial"/>
        <family val="2"/>
      </rPr>
      <t xml:space="preserve">                                          =  </t>
    </r>
  </si>
  <si>
    <t xml:space="preserve"> Paciente  que habiendo estado hospitalizado es dado de alta , vivo o fallecido.</t>
  </si>
  <si>
    <t xml:space="preserve">I. Prevención específico              = </t>
  </si>
  <si>
    <r>
      <t xml:space="preserve"> </t>
    </r>
    <r>
      <rPr>
        <sz val="10"/>
        <rFont val="Arial"/>
        <family val="2"/>
      </rPr>
      <t>Actividades de prevención dividido por el total de actividades.</t>
    </r>
  </si>
  <si>
    <t xml:space="preserve">Indice  de vejez                           = </t>
  </si>
  <si>
    <r>
      <t xml:space="preserve"> </t>
    </r>
    <r>
      <rPr>
        <sz val="10"/>
        <rFont val="Arial"/>
        <family val="2"/>
      </rPr>
      <t>Población  mayor  de 65 años dividido por población  menor de 15 años</t>
    </r>
  </si>
  <si>
    <r>
      <t xml:space="preserve">Índice  Ocupacional </t>
    </r>
    <r>
      <rPr>
        <sz val="10"/>
        <rFont val="Arial"/>
        <family val="2"/>
      </rPr>
      <t xml:space="preserve">                   =  </t>
    </r>
  </si>
  <si>
    <t xml:space="preserve"> Es  el grado de uso de la capacidad instalada.</t>
  </si>
  <si>
    <t>Indice de Swaroop                      =</t>
  </si>
  <si>
    <t>HEPATITIS C</t>
  </si>
  <si>
    <t>COLERA</t>
  </si>
  <si>
    <t>MENINGITIS LISTERIANA</t>
  </si>
  <si>
    <t>INFLUENZA    b</t>
  </si>
  <si>
    <t>ENF. MENINGO (BACTE)</t>
  </si>
  <si>
    <t>MENINGITIS BACTERIANAS NO</t>
  </si>
  <si>
    <t>SARAMPION</t>
  </si>
  <si>
    <t>ENF.  CHAGAS</t>
  </si>
  <si>
    <t>FIEBRE  AMARILLA</t>
  </si>
  <si>
    <t>ENF. CREUTZFELD-JACOB</t>
  </si>
  <si>
    <r>
      <t xml:space="preserve"> </t>
    </r>
    <r>
      <rPr>
        <sz val="10"/>
        <rFont val="Arial"/>
        <family val="2"/>
      </rPr>
      <t>Porcentaje  de defunciones  ocurridas en  personas  de  50  años  
 y  más respecto  del  total  de  defunciones.</t>
    </r>
  </si>
  <si>
    <t xml:space="preserve">Índice o número índice                = </t>
  </si>
  <si>
    <t xml:space="preserve">Es un cociente obtenido por comparación de valores sucesivos  que  miden  
un fenómeno que  transcurre a  través  del  tiempo  y  multiplicado  por  100 </t>
  </si>
  <si>
    <r>
      <t xml:space="preserve">Intervalo de Sustitución </t>
    </r>
    <r>
      <rPr>
        <sz val="10"/>
        <rFont val="Arial"/>
        <family val="2"/>
      </rPr>
      <t xml:space="preserve">              = </t>
    </r>
  </si>
  <si>
    <t xml:space="preserve"> Es el número de días que, en promedio, cada cama disponible
 permanece desocupada  entre  el  alta de  un paciente  y  el 
 ingreso  de  otro. </t>
  </si>
  <si>
    <t xml:space="preserve">Porcentaje o Por ciento               = </t>
  </si>
  <si>
    <t xml:space="preserve">Es una proporción  multiplicada por 100 , con el objeto de facilitar
la  comprensión  del  dato. </t>
  </si>
  <si>
    <r>
      <t>Promedio de días cama</t>
    </r>
    <r>
      <rPr>
        <sz val="10"/>
        <rFont val="Arial"/>
        <family val="2"/>
      </rPr>
      <t xml:space="preserve">               =  </t>
    </r>
  </si>
  <si>
    <t>Es el número de días que , en promedio , cada paciente  permanece  hospitalizado, en  un  período  dado.</t>
  </si>
  <si>
    <t xml:space="preserve">Proporción                                   = </t>
  </si>
  <si>
    <t xml:space="preserve">Es un cociente  que expresa la fracción que corresponde  a la ocurrencia
de  determinado fenómeno, en  realción con  la  unidad, peso  que tiene  una  parte  dentro  de  un  todo. </t>
  </si>
  <si>
    <r>
      <t xml:space="preserve">Razón                                          = </t>
    </r>
    <r>
      <rPr>
        <sz val="10"/>
        <rFont val="Arial"/>
        <family val="2"/>
      </rPr>
      <t xml:space="preserve"> </t>
    </r>
  </si>
  <si>
    <t>Fracción  en  el  cual  el  númerador   no  esta  contenido  en  el 
denominador.</t>
  </si>
  <si>
    <r>
      <t xml:space="preserve">Rotación de Egresos por cama  </t>
    </r>
    <r>
      <rPr>
        <sz val="10"/>
        <rFont val="Arial"/>
        <family val="2"/>
      </rPr>
      <t xml:space="preserve">  =</t>
    </r>
  </si>
  <si>
    <t xml:space="preserve">Es la cantidad de pacientes que , en promedio , ocupan  una  cama  disponible  en  un  período   dado. </t>
  </si>
  <si>
    <r>
      <t xml:space="preserve">Tasa                                             = </t>
    </r>
    <r>
      <rPr>
        <sz val="10"/>
        <rFont val="Arial"/>
        <family val="2"/>
      </rPr>
      <t xml:space="preserve"> </t>
    </r>
  </si>
  <si>
    <t>Es una medida  de probabilidad de ocurrencia  de un fenómeno en una
población  expuesta  al  riesgo de  sufrir el  mencionado  fenómeno.</t>
  </si>
  <si>
    <r>
      <t>Tasa de  fecundidad                    =</t>
    </r>
    <r>
      <rPr>
        <sz val="10"/>
        <rFont val="Arial"/>
        <family val="2"/>
      </rPr>
      <t xml:space="preserve"> </t>
    </r>
  </si>
  <si>
    <t xml:space="preserve">Tasa de incidencia                      = </t>
  </si>
  <si>
    <t>Riesgo de enfermedad por cualquier causa  presente  en una  población  en  un período  determinado.</t>
  </si>
  <si>
    <r>
      <t>Tasa de Mortalidad  Fetal</t>
    </r>
    <r>
      <rPr>
        <sz val="10"/>
        <rFont val="Arial"/>
        <family val="2"/>
      </rPr>
      <t xml:space="preserve">            =  </t>
    </r>
  </si>
  <si>
    <t>Número de nacidos muertos  por cada  1000 nacidos vivos</t>
  </si>
  <si>
    <r>
      <t>Tasa de Mortalidad  general</t>
    </r>
    <r>
      <rPr>
        <sz val="10"/>
        <rFont val="Arial"/>
        <family val="2"/>
      </rPr>
      <t xml:space="preserve">        = </t>
    </r>
  </si>
  <si>
    <t>Número de fallecidos  por  cada  1000 habitantes.</t>
  </si>
  <si>
    <r>
      <t xml:space="preserve">Tasa de Mortalidad Infantil </t>
    </r>
    <r>
      <rPr>
        <sz val="10"/>
        <rFont val="Arial"/>
        <family val="2"/>
      </rPr>
      <t xml:space="preserve">         =  </t>
    </r>
  </si>
  <si>
    <t>Número fallecidos menores  de 1 año por cada 1.000  nacidos    vivos.</t>
  </si>
  <si>
    <t xml:space="preserve">Número de fallecidos mayores 28 días y menores de   1  año  por  cada  1.000  nacidos  vivos. </t>
  </si>
  <si>
    <r>
      <t>Tasa de Mortalidad Materna</t>
    </r>
    <r>
      <rPr>
        <sz val="10"/>
        <rFont val="Arial"/>
        <family val="2"/>
      </rPr>
      <t xml:space="preserve">        =  </t>
    </r>
  </si>
  <si>
    <t>VIOLENCIA  DE GENERO  VICTIMA</t>
  </si>
  <si>
    <t>VIOLENCIA  DE  GENERO  AGRESOR</t>
  </si>
  <si>
    <t>PRIMER EPISODIO ESQUIZOFRENIA CON OCUPACION REGULAR</t>
  </si>
  <si>
    <t>CECOF
STA. MARIA</t>
  </si>
  <si>
    <t xml:space="preserve">Número de mujeres fallecidas ,embarazadas y en período perinatal(hasta 40 días) por cada  1.000 nacidos  vivos.  </t>
  </si>
  <si>
    <r>
      <t xml:space="preserve">Tasa de Mortalidad Neonatal      </t>
    </r>
    <r>
      <rPr>
        <sz val="10"/>
        <rFont val="Arial"/>
        <family val="2"/>
      </rPr>
      <t xml:space="preserve">=  </t>
    </r>
  </si>
  <si>
    <t>Número de fallecidos menores de 28 días por cada   1.000   nacidos  vivos.</t>
  </si>
  <si>
    <r>
      <t>Tasa de Mortalidad Neonatal Precoz</t>
    </r>
    <r>
      <rPr>
        <sz val="10"/>
        <rFont val="Arial"/>
        <family val="2"/>
      </rPr>
      <t xml:space="preserve">  = </t>
    </r>
  </si>
  <si>
    <t>Número de fallecidos menores de 7 días por cada 1.000  nacidos  vivos.</t>
  </si>
  <si>
    <r>
      <t>Tasa de Mortalidad Perinatal</t>
    </r>
    <r>
      <rPr>
        <sz val="10"/>
        <rFont val="Arial"/>
        <family val="2"/>
      </rPr>
      <t xml:space="preserve">      = </t>
    </r>
  </si>
  <si>
    <t>Nacidos muertos más fallecidos &lt; 7 días por cada 1.000  nacidos  vivos.</t>
  </si>
  <si>
    <r>
      <t xml:space="preserve">Tasa de Natalidad </t>
    </r>
    <r>
      <rPr>
        <sz val="10"/>
        <rFont val="Arial"/>
        <family val="2"/>
      </rPr>
      <t xml:space="preserve">                      = </t>
    </r>
  </si>
  <si>
    <t>Número de recién  nacidos vivos por cada  1000 habitantes.</t>
  </si>
  <si>
    <t xml:space="preserve">Tasa de prevalencia                   = </t>
  </si>
  <si>
    <t>Cecof Cerrillos</t>
  </si>
  <si>
    <t>CESFAM
LLAY LLAY</t>
  </si>
  <si>
    <t>CESFAM
CORDILLERA</t>
  </si>
  <si>
    <t>Probabilidad de encontrar enfermos de cualquier causa en una población  en  un  momento o  período  dado.</t>
  </si>
  <si>
    <t>1.  1.</t>
  </si>
  <si>
    <t>Mapa geográfico de la Quinta  Región ..................................................</t>
  </si>
  <si>
    <t>2.</t>
  </si>
  <si>
    <t>Mapa geográfico del Servicio de salud ..................................................</t>
  </si>
  <si>
    <t>3.</t>
  </si>
  <si>
    <t>Distancia  en Km.  entre Establecimientos............................................</t>
  </si>
  <si>
    <t>5.</t>
  </si>
  <si>
    <t>Población  urbana , rural, superficie  y  densidad....................................</t>
  </si>
  <si>
    <t>6.</t>
  </si>
  <si>
    <t>7.</t>
  </si>
  <si>
    <t>8.</t>
  </si>
  <si>
    <t>9.</t>
  </si>
  <si>
    <t>10.</t>
  </si>
  <si>
    <t>11.</t>
  </si>
  <si>
    <t>Índice de vejez por  comunas...............................................................</t>
  </si>
  <si>
    <t>12.</t>
  </si>
  <si>
    <t>Tasa de Fecundidad ...........................................................................</t>
  </si>
  <si>
    <t>13.</t>
  </si>
  <si>
    <t>14.</t>
  </si>
  <si>
    <t>15.</t>
  </si>
  <si>
    <t>2.  1.</t>
  </si>
  <si>
    <t>4.</t>
  </si>
  <si>
    <t>16.</t>
  </si>
  <si>
    <t>Enfermedades Transmisibles...............................................................</t>
  </si>
  <si>
    <t>3.  1.</t>
  </si>
  <si>
    <t>Porcentaje  de cesáreas del total de partos..........................................</t>
  </si>
  <si>
    <t>Nacidos Vivos y Muertos según Peso , atención prof. Parto por Comuna..</t>
  </si>
  <si>
    <t>Tendencia  Esterilización Femenina por  Establecimiento......................</t>
  </si>
  <si>
    <t>Consultas  y  controles   programa infantil   nivel  primario......................</t>
  </si>
  <si>
    <t>Consultas  y  controles  programa adolescente nivel  primario.................</t>
  </si>
  <si>
    <t>Consultas  y  controles  programa de la mujer  nivel  primario..................</t>
  </si>
  <si>
    <t>Consultas  y  controles  programa adulto nivel primario...........................</t>
  </si>
  <si>
    <t>Consultas  y  controles  programa adulto Mayor  nivel primario..........................</t>
  </si>
  <si>
    <t>Consolidado nivel primario....................................................................</t>
  </si>
  <si>
    <t>Consultas  Psicólogo  nivel primario...................................</t>
  </si>
  <si>
    <t>17.</t>
  </si>
  <si>
    <t>Consultas  Médicas  nivel primario...................................</t>
  </si>
  <si>
    <t>18.</t>
  </si>
  <si>
    <t>Consultas   programa infantil  nivel  secundario....................</t>
  </si>
  <si>
    <t>19.</t>
  </si>
  <si>
    <t>Consultas   programa adolescente nivel secundario..............</t>
  </si>
  <si>
    <t>20.</t>
  </si>
  <si>
    <t>Consultas   programa adulto nivel secundario........................</t>
  </si>
  <si>
    <t>21.</t>
  </si>
  <si>
    <t>Consultas   programa adulto Mayor  nivel secundario..........................</t>
  </si>
  <si>
    <t>22.</t>
  </si>
  <si>
    <t>Consolidado nivel  secundario..............................................................</t>
  </si>
  <si>
    <t>23.</t>
  </si>
  <si>
    <t>Interconsultas Generadas  en Atención  Primaria…………………………..</t>
  </si>
  <si>
    <t>Interconsultas APS atendidas  en  el  nivel secundario………………………..</t>
  </si>
  <si>
    <t>24.</t>
  </si>
  <si>
    <t>Personas  atendidas  y  prestaciones  GES ………………………………..</t>
  </si>
  <si>
    <t>25.</t>
  </si>
  <si>
    <t>Cecof  Los  Andes</t>
  </si>
  <si>
    <t>Cecof  San Felipe</t>
  </si>
  <si>
    <t>Cecof  las Cadenas</t>
  </si>
  <si>
    <t>Registro  Atenciones  OIRS …………………………………………………..</t>
  </si>
  <si>
    <t>26.</t>
  </si>
  <si>
    <t>27.</t>
  </si>
  <si>
    <t xml:space="preserve"> CECOF San  Felipe</t>
  </si>
  <si>
    <t xml:space="preserve"> Hospital de Llay Llay</t>
  </si>
  <si>
    <t>28.</t>
  </si>
  <si>
    <t>29.</t>
  </si>
  <si>
    <t>Programa de Alimentación Complementaria..........................................</t>
  </si>
  <si>
    <t>30.</t>
  </si>
  <si>
    <t>Población  con  Empa  vigente  ………………………………………………</t>
  </si>
  <si>
    <t>31.</t>
  </si>
  <si>
    <t>32.</t>
  </si>
  <si>
    <t>Tasa de  prevención  odontológica.......................................................................</t>
  </si>
  <si>
    <t>Consultas  de Urgencia según  Establecimientos..................................</t>
  </si>
  <si>
    <t>34.</t>
  </si>
  <si>
    <t>35.</t>
  </si>
  <si>
    <t>36.</t>
  </si>
  <si>
    <t>Interv. Quir. Electivas y  Urgencia  según establecimientos..........................</t>
  </si>
  <si>
    <t>37.</t>
  </si>
  <si>
    <t>Perfil de intervenciones quirúrgicas .......................................................</t>
  </si>
  <si>
    <t>38.</t>
  </si>
  <si>
    <t>40.</t>
  </si>
  <si>
    <t xml:space="preserve"> CECOF  LOS  ANDES</t>
  </si>
  <si>
    <t xml:space="preserve"> CECOF STA.  MARIA</t>
  </si>
  <si>
    <t>41.</t>
  </si>
  <si>
    <t>42.</t>
  </si>
  <si>
    <t>44.</t>
  </si>
  <si>
    <t>45.</t>
  </si>
  <si>
    <t>46.</t>
  </si>
  <si>
    <t>47.</t>
  </si>
  <si>
    <t>48.</t>
  </si>
  <si>
    <t>49.</t>
  </si>
  <si>
    <t>43.</t>
  </si>
  <si>
    <t>DIRECCION</t>
  </si>
  <si>
    <t>PUTAENDO</t>
  </si>
  <si>
    <t>PSIQUIATRICO</t>
  </si>
  <si>
    <t xml:space="preserve">   ADMINISTRATIVOS</t>
  </si>
  <si>
    <t xml:space="preserve">   AUXILIARES</t>
  </si>
  <si>
    <t xml:space="preserve">   MEDICOS</t>
  </si>
  <si>
    <t xml:space="preserve">   DENTISTAS</t>
  </si>
  <si>
    <t xml:space="preserve">    T O T A L </t>
  </si>
  <si>
    <t>DISTANCIA  EN  KM  DESDE  ESTABLECIMIENTOS  PRIMARIOS  A  CENTROS</t>
  </si>
  <si>
    <t>DE  MAYOR  COMPLEJIDAD  SERV.  DE  SALUD  ACONCAGUA</t>
  </si>
  <si>
    <t>POSTAS</t>
  </si>
  <si>
    <t>HOSP. TIPO  4</t>
  </si>
  <si>
    <t>HOSP. TIPO  2 y 3</t>
  </si>
  <si>
    <t>VIÑA O VALPARAISO</t>
  </si>
  <si>
    <t>PIGUCHEN</t>
  </si>
  <si>
    <t>GUZMANES</t>
  </si>
  <si>
    <t>ORILLA</t>
  </si>
  <si>
    <t>QUEB. HERRERA</t>
  </si>
  <si>
    <t>STA. FILOMENA</t>
  </si>
  <si>
    <t>STA. MARIA</t>
  </si>
  <si>
    <t>LAS CADENAS</t>
  </si>
  <si>
    <t>CURIMON</t>
  </si>
  <si>
    <t>SAN FELIPE</t>
  </si>
  <si>
    <t>HOSP. TIPO  1</t>
  </si>
  <si>
    <t>PANQUEHUE</t>
  </si>
  <si>
    <t>CERRILLOS</t>
  </si>
  <si>
    <t>CATEMU</t>
  </si>
  <si>
    <t>LLAY  LLAY</t>
  </si>
  <si>
    <t>RIO  BLANCO</t>
  </si>
  <si>
    <t>SAN VICENTE</t>
  </si>
  <si>
    <t>CALLE  LARGA</t>
  </si>
  <si>
    <t>LO CALVO</t>
  </si>
  <si>
    <t>LOS  ANDES</t>
  </si>
  <si>
    <t>C. BOTADO</t>
  </si>
  <si>
    <t>SAN ESTEBAN</t>
  </si>
  <si>
    <t>C. AHUMADA</t>
  </si>
  <si>
    <t>RIO COLORADO</t>
  </si>
  <si>
    <t>RINCONADA</t>
  </si>
  <si>
    <t>DISTANCIA  EN KILOMETROS  ENTRE ESTABLECIMIENTOS  DEL SERVICIO DE SALUD ACONCAGUA</t>
  </si>
  <si>
    <t>DISTANCIA 
APROXIMADA
EN KILOMETROS</t>
  </si>
  <si>
    <t>H.LOS  ANDES</t>
  </si>
  <si>
    <t>H.SAN FELIPE</t>
  </si>
  <si>
    <t>C.SAN FELIPE</t>
  </si>
  <si>
    <t>H.PUTAENDO</t>
  </si>
  <si>
    <t>C.PUTAENDO</t>
  </si>
  <si>
    <t>H.LLAY  LLAY</t>
  </si>
  <si>
    <t>C.LLAY  LLAY</t>
  </si>
  <si>
    <t>VIÑA O VALPSO</t>
  </si>
  <si>
    <t>Q. HERRERA</t>
  </si>
  <si>
    <t xml:space="preserve">  ESTA
MENTOS</t>
  </si>
  <si>
    <t>PLANTA</t>
  </si>
  <si>
    <t>LEY</t>
  </si>
  <si>
    <t xml:space="preserve">  SUBTOTAL</t>
  </si>
  <si>
    <t xml:space="preserve"> LEY</t>
  </si>
  <si>
    <t xml:space="preserve">  DIRECTIVOS</t>
  </si>
  <si>
    <t>HOSP. SAN
CAMILO</t>
  </si>
  <si>
    <t xml:space="preserve">HOSP. LOS
ANDES </t>
  </si>
  <si>
    <t>HOSP.
LLAY LLAY</t>
  </si>
  <si>
    <t>HOSP.
PUTAENDO</t>
  </si>
  <si>
    <t xml:space="preserve">HOSP.
PSIQUIATRICO </t>
  </si>
  <si>
    <t>CONS. GRAL.
SAN FELIPE</t>
  </si>
  <si>
    <t>TOTAL
DOTACION</t>
  </si>
  <si>
    <t xml:space="preserve">  DENTISTA</t>
  </si>
  <si>
    <t xml:space="preserve">   DIRECTIVOS</t>
  </si>
  <si>
    <t xml:space="preserve">   PROFESIONAL</t>
  </si>
  <si>
    <t xml:space="preserve">  TECNICOS</t>
  </si>
  <si>
    <t xml:space="preserve">  MEDICO</t>
  </si>
  <si>
    <t xml:space="preserve">  Q. FARMACEUTICO</t>
  </si>
  <si>
    <t xml:space="preserve">  BIOQUIMICOS</t>
  </si>
  <si>
    <t>DOTACION   SERVICIO  DE  SALUD  ACONCAGUA  POR  ESTABLECIMIENTOS</t>
  </si>
  <si>
    <t>DOTACION   DE  FUNCIONARIOS  DE  ESTABLECIMIENTOS  DE  LA  SALUD  MUNICIPAL</t>
  </si>
  <si>
    <t>Cecof Lo Calvo</t>
  </si>
  <si>
    <t xml:space="preserve">   ODONTOLOGOS</t>
  </si>
  <si>
    <t xml:space="preserve">   PSICOLOGO/A</t>
  </si>
  <si>
    <t xml:space="preserve">   MATRON/A</t>
  </si>
  <si>
    <t xml:space="preserve">   ENFERMERA/O</t>
  </si>
  <si>
    <t xml:space="preserve">   ASISTENTE  SOCIAL</t>
  </si>
  <si>
    <t xml:space="preserve">   NUTRICIONISTA</t>
  </si>
  <si>
    <t xml:space="preserve">   KINESIOLOGOS</t>
  </si>
  <si>
    <t xml:space="preserve">   OTROS CAT. B</t>
  </si>
  <si>
    <t xml:space="preserve">  TOTAL CAT. C</t>
  </si>
  <si>
    <t xml:space="preserve">  TOTAL CAT. D</t>
  </si>
  <si>
    <t xml:space="preserve">  TOTAL CAT. E</t>
  </si>
  <si>
    <t xml:space="preserve">  TOTAL CAT. F</t>
  </si>
  <si>
    <t>SAN 
ESTEBAN</t>
  </si>
  <si>
    <t>CALLE
LARGA</t>
  </si>
  <si>
    <t>SAN 
FELIPE</t>
  </si>
  <si>
    <t>SANTA
MARIA</t>
  </si>
  <si>
    <t xml:space="preserve">  CATEGORIAS</t>
  </si>
  <si>
    <t>OTRAS</t>
  </si>
  <si>
    <t>CATEGORIAS</t>
  </si>
  <si>
    <t>CATEGORIA</t>
  </si>
  <si>
    <t>A</t>
  </si>
  <si>
    <t>B</t>
  </si>
  <si>
    <t xml:space="preserve">   PLANTA</t>
  </si>
  <si>
    <t>Servicios de Salud 
y Comunas</t>
  </si>
  <si>
    <t>Sexo</t>
  </si>
  <si>
    <t>Hombres</t>
  </si>
  <si>
    <t>Mujeres</t>
  </si>
  <si>
    <t>Total</t>
  </si>
  <si>
    <t>0-4</t>
  </si>
  <si>
    <t>5-9</t>
  </si>
  <si>
    <t>10-14</t>
  </si>
  <si>
    <t>15-19</t>
  </si>
  <si>
    <t>20-24</t>
  </si>
  <si>
    <t>25-29</t>
  </si>
  <si>
    <t>30-34</t>
  </si>
  <si>
    <t>35-39</t>
  </si>
  <si>
    <t>40-44</t>
  </si>
  <si>
    <t>45-49</t>
  </si>
  <si>
    <t>50-54</t>
  </si>
  <si>
    <t>55-59</t>
  </si>
  <si>
    <t>60-64</t>
  </si>
  <si>
    <t>65-69</t>
  </si>
  <si>
    <t>70-74</t>
  </si>
  <si>
    <t>75-79</t>
  </si>
  <si>
    <t>80 y +</t>
  </si>
  <si>
    <t>POBLACION URBANA , RURAL , SUPERFICIE Y DENSIDAD SEGUN  COMUNA</t>
  </si>
  <si>
    <t>P O B L A C I O N</t>
  </si>
  <si>
    <t>%</t>
  </si>
  <si>
    <t>SUPERFICIE</t>
  </si>
  <si>
    <t>DENSIDAD</t>
  </si>
  <si>
    <t xml:space="preserve">   COMUNAS</t>
  </si>
  <si>
    <t>URBANA</t>
  </si>
  <si>
    <t>RURAL</t>
  </si>
  <si>
    <t>TOTAL</t>
  </si>
  <si>
    <t>RURALIDAD</t>
  </si>
  <si>
    <t>KM</t>
  </si>
  <si>
    <t>(hab. / Km)</t>
  </si>
  <si>
    <t xml:space="preserve">  LOS ANDES</t>
  </si>
  <si>
    <t xml:space="preserve">  SAN ESTEBAN</t>
  </si>
  <si>
    <t xml:space="preserve">  CALLE LARGA</t>
  </si>
  <si>
    <t xml:space="preserve">  RINCONADA</t>
  </si>
  <si>
    <t xml:space="preserve">  PROV. LOS  ANDES</t>
  </si>
  <si>
    <t xml:space="preserve">  SAN FELIPE</t>
  </si>
  <si>
    <t xml:space="preserve">  PUTAENDO</t>
  </si>
  <si>
    <t xml:space="preserve">  STA.  MARIA</t>
  </si>
  <si>
    <t xml:space="preserve">  PANQUEHUE</t>
  </si>
  <si>
    <t xml:space="preserve">  LLAY - LLAY</t>
  </si>
  <si>
    <t xml:space="preserve">  CATEMU</t>
  </si>
  <si>
    <t xml:space="preserve"> CECOF SAN FELIPE</t>
  </si>
  <si>
    <t xml:space="preserve">  PROV. SAN  FELIPE</t>
  </si>
  <si>
    <t xml:space="preserve">  T O T A L </t>
  </si>
  <si>
    <t>POBLACION  TOTAL  SERVICIO DE SALUD</t>
  </si>
  <si>
    <t>COMUNAS</t>
  </si>
  <si>
    <t>-1a.</t>
  </si>
  <si>
    <t>12 - 23 m.</t>
  </si>
  <si>
    <t>2 - 5 a.</t>
  </si>
  <si>
    <t>6 - 9 a.</t>
  </si>
  <si>
    <t>10 - 14 a.</t>
  </si>
  <si>
    <t>15 - 19 a.</t>
  </si>
  <si>
    <t>20 - 44 a.</t>
  </si>
  <si>
    <t>45 - 64 a.</t>
  </si>
  <si>
    <t>65 y + a.</t>
  </si>
  <si>
    <t>C. LOS ANDES</t>
  </si>
  <si>
    <t>*</t>
  </si>
  <si>
    <t>Río Blanco</t>
  </si>
  <si>
    <t>V. O'Higgins</t>
  </si>
  <si>
    <t>Saladillo</t>
  </si>
  <si>
    <t>C. SAN ESTEBAN</t>
  </si>
  <si>
    <t>San Esteban</t>
  </si>
  <si>
    <t>Cariño botado</t>
  </si>
  <si>
    <t>Río Colorado</t>
  </si>
  <si>
    <t>C. Ahumada</t>
  </si>
  <si>
    <t>San Francisco</t>
  </si>
  <si>
    <t>C. CALLE LARGA</t>
  </si>
  <si>
    <t>Calle Larga</t>
  </si>
  <si>
    <t>San Vicente</t>
  </si>
  <si>
    <t>C. RINCONADA</t>
  </si>
  <si>
    <t>Rinconada</t>
  </si>
  <si>
    <t>Casuto</t>
  </si>
  <si>
    <t>Auco</t>
  </si>
  <si>
    <t>PROV. LOS ANDES</t>
  </si>
  <si>
    <t>San Felipe</t>
  </si>
  <si>
    <t>Curimón</t>
  </si>
  <si>
    <t>C. PUTAENDO</t>
  </si>
  <si>
    <t>Putaendo</t>
  </si>
  <si>
    <t>Queb. Herrera</t>
  </si>
  <si>
    <t>Las Coimas</t>
  </si>
  <si>
    <t>Rinc. de Silva</t>
  </si>
  <si>
    <t xml:space="preserve">La Orilla </t>
  </si>
  <si>
    <t>Granallas</t>
  </si>
  <si>
    <t>Guzmanes</t>
  </si>
  <si>
    <t xml:space="preserve">Piguchen </t>
  </si>
  <si>
    <t>Lo Vicuña</t>
  </si>
  <si>
    <t>Casablanca</t>
  </si>
  <si>
    <t>Los Patos</t>
  </si>
  <si>
    <t>C. STA MARIA</t>
  </si>
  <si>
    <t>Sta. María</t>
  </si>
  <si>
    <t>Sta. Filom.-Jahuel</t>
  </si>
  <si>
    <t>C. PANQUEHUE</t>
  </si>
  <si>
    <t>Panquehue</t>
  </si>
  <si>
    <t>Esc. Palomar</t>
  </si>
  <si>
    <t>Viña Errazuriz</t>
  </si>
  <si>
    <t>Lo Campo</t>
  </si>
  <si>
    <t>C. LLAY LLAY</t>
  </si>
  <si>
    <t>Llay  Llay</t>
  </si>
  <si>
    <t>E. Meiggs</t>
  </si>
  <si>
    <t xml:space="preserve">Los Loros </t>
  </si>
  <si>
    <t>Las Vegas</t>
  </si>
  <si>
    <t>C. CATEMU</t>
  </si>
  <si>
    <t>Catemu</t>
  </si>
  <si>
    <t xml:space="preserve">Ñilhue </t>
  </si>
  <si>
    <t>Compuertas</t>
  </si>
  <si>
    <t>San José</t>
  </si>
  <si>
    <t>Reinoso</t>
  </si>
  <si>
    <t>Sta. Isabel</t>
  </si>
  <si>
    <t>Sta. Margarita</t>
  </si>
  <si>
    <t xml:space="preserve">El Cobre </t>
  </si>
  <si>
    <t>El Seco</t>
  </si>
  <si>
    <t>PROV. SAN FELIPE</t>
  </si>
  <si>
    <t>T O T A L</t>
  </si>
  <si>
    <t>POBLACION  TOTAL  FEMENINA SERVICIO DE SALUD</t>
  </si>
  <si>
    <t>-10a.</t>
  </si>
  <si>
    <t>45 - 49 a.</t>
  </si>
  <si>
    <t>50 - 64 a.</t>
  </si>
  <si>
    <t>EMBARA-
ZADA</t>
  </si>
  <si>
    <t xml:space="preserve">ÍNDICE DE VEJEZ  POR COMUNAS </t>
  </si>
  <si>
    <t xml:space="preserve">SERVICIO DE SALUD   ACONCAGUA  </t>
  </si>
  <si>
    <t>TASA DE FECUNDIDAD SEGUN COMUNAS</t>
  </si>
  <si>
    <t>POB. FEM.
TOTAL</t>
  </si>
  <si>
    <t>% DE MUJERES 
EN EDAD FERTIL</t>
  </si>
  <si>
    <t>MUJERES
15 - 49 AÑOS</t>
  </si>
  <si>
    <t xml:space="preserve">  TASA
FECUNDIDAD
  %o</t>
  </si>
  <si>
    <t xml:space="preserve"> LOS ANDES</t>
  </si>
  <si>
    <t xml:space="preserve"> SAN ESTEBAN</t>
  </si>
  <si>
    <t xml:space="preserve"> RINCONADA</t>
  </si>
  <si>
    <t xml:space="preserve"> SAN FELIPE</t>
  </si>
  <si>
    <t xml:space="preserve"> PUTAENDO</t>
  </si>
  <si>
    <t xml:space="preserve"> STA. MARIA</t>
  </si>
  <si>
    <t xml:space="preserve"> PANQUEHUE</t>
  </si>
  <si>
    <t xml:space="preserve"> LLAY  LLAY</t>
  </si>
  <si>
    <t xml:space="preserve"> CATEMU</t>
  </si>
  <si>
    <t xml:space="preserve"> T O T A L </t>
  </si>
  <si>
    <t>CRECIMIENTO   VEGETATIVO  POR  PROVINCIAS,   COMUNAS  Y  AÑOS</t>
  </si>
  <si>
    <t xml:space="preserve">SERVICIO DE SALUD   ACONCAGUA   </t>
  </si>
  <si>
    <t xml:space="preserve"> CESFAM. LLAY  LLAY</t>
  </si>
  <si>
    <t xml:space="preserve"> CESFAM  STA. MARIA</t>
  </si>
  <si>
    <t>LOS ANDES</t>
  </si>
  <si>
    <t>SAN  ESTEBAN</t>
  </si>
  <si>
    <t>PROV. LOS  ANDES</t>
  </si>
  <si>
    <t>SAN  FELIPE</t>
  </si>
  <si>
    <t>STA.  MARIA</t>
  </si>
  <si>
    <t xml:space="preserve">LLAY  LLAY  </t>
  </si>
  <si>
    <t>PROV.  SAN  FELIPE</t>
  </si>
  <si>
    <t xml:space="preserve">T O T A L </t>
  </si>
  <si>
    <t>POBLACION  SEGUN  PAIS REGION  SERV. DE SALUD  Y COMUNAS</t>
  </si>
  <si>
    <t xml:space="preserve"> P R O V I N C I A S   Y   C O M U N A S</t>
  </si>
  <si>
    <t>AÑOS</t>
  </si>
  <si>
    <t>CECOF LO  CALVO</t>
  </si>
  <si>
    <t>CECOF LOS ANDES</t>
  </si>
  <si>
    <t>CECOF  LAS  CADENAS</t>
  </si>
  <si>
    <t>CECOF  CERRILLOS</t>
  </si>
  <si>
    <t>PAIS</t>
  </si>
  <si>
    <t>REGION</t>
  </si>
  <si>
    <t>SERV. SALUD</t>
  </si>
  <si>
    <t>PROV.</t>
  </si>
  <si>
    <t>ACONCAGUA</t>
  </si>
  <si>
    <t>SAN ESTEB.</t>
  </si>
  <si>
    <t>CALLE LAR.</t>
  </si>
  <si>
    <t xml:space="preserve">SAN FELIPE </t>
  </si>
  <si>
    <t>LLAY LLAY</t>
  </si>
  <si>
    <t xml:space="preserve">  SAN EST.</t>
  </si>
  <si>
    <t xml:space="preserve">  CALLE L.</t>
  </si>
  <si>
    <t xml:space="preserve">  RINCO.</t>
  </si>
  <si>
    <t xml:space="preserve">  PANQ.</t>
  </si>
  <si>
    <t>CECOF</t>
  </si>
  <si>
    <t>San Felipe  N°  2</t>
  </si>
  <si>
    <t>NATALIDAD SEGUN PAIS REGION  SERV. DE SALUD  Y COMUNAS</t>
  </si>
  <si>
    <t>Nº</t>
  </si>
  <si>
    <t>TASA</t>
  </si>
  <si>
    <t>MORTALIDAD  FETAL  TARDIA SEGUN PAIS REGION  SERV. DE SALUD  Y COMUNAS</t>
  </si>
  <si>
    <t xml:space="preserve">           TASA        POR  1.000   Nacidos vivos</t>
  </si>
  <si>
    <t>MORTALIDAD  PERINATAL  SEGUN PAIS REGION  SERV. DE SALUD  Y COMUNAS</t>
  </si>
  <si>
    <t xml:space="preserve">NACIDOS 
VIVOS  </t>
  </si>
  <si>
    <t xml:space="preserve">           TASA        POR  1.000  Nacidos vivos</t>
  </si>
  <si>
    <t>MORTALIDAD  NEONATAL PRECOZ  SEGUN PAIS REGION  SERV. DE SALUD  Y COMUNAS</t>
  </si>
  <si>
    <t xml:space="preserve">        TASA        POR  1.000  Nacidos vivos</t>
  </si>
  <si>
    <t>MORTALIDAD  NEONATAL   SEGUN PAIS REGION  SERV. DE SALUD  Y COMUNAS</t>
  </si>
  <si>
    <t xml:space="preserve">          TASA        POR  1.000   Nacidos vivos</t>
  </si>
  <si>
    <t>MORTALIDAD  INFANTIL TARDIA   SEGUN  PAIS REGION  SERV. DE SALUD  Y COMUNAS</t>
  </si>
  <si>
    <t>MORTALIDAD  INFANTIL    SEGUN  PAIS REGION  SERV. DE SALUD  Y COMUNAS</t>
  </si>
  <si>
    <t xml:space="preserve">             TASA        POR  1.000   Nacidos vivos</t>
  </si>
  <si>
    <t>MORTALIDAD  MATERNA   SEGUN  PAIS REGION  SERV. DE SALUD  Y COMUNAS</t>
  </si>
  <si>
    <t xml:space="preserve">           TASA        POR  10.000   Nacidos vivos</t>
  </si>
  <si>
    <t>MORTALIDAD  GENERAL   SEGUN  PAIS REGION  SERV. DE SALUD  Y COMUNAS</t>
  </si>
  <si>
    <t xml:space="preserve">           TASA        POR  1.000  hab.</t>
  </si>
  <si>
    <t>( CIE  10 )</t>
  </si>
  <si>
    <t xml:space="preserve">   CODIGO</t>
  </si>
  <si>
    <t>P R O V I N C I A S     Y    C O M U N A S</t>
  </si>
  <si>
    <t xml:space="preserve">   INTERNA-
   CIONAL</t>
  </si>
  <si>
    <t xml:space="preserve"> GRUPO  DE CAUSAS</t>
  </si>
  <si>
    <t>PROV.
LOS ANDES</t>
  </si>
  <si>
    <t>S. ESTEBAN</t>
  </si>
  <si>
    <t>C. LARGA</t>
  </si>
  <si>
    <t>PROV.
SAN FELIPE</t>
  </si>
  <si>
    <t>S. FELIPE</t>
  </si>
  <si>
    <t>LLAY-LLAY</t>
  </si>
  <si>
    <t>OTROS</t>
  </si>
  <si>
    <t>I 00 - I 99</t>
  </si>
  <si>
    <t xml:space="preserve"> ENF. APARATO CIRCULATORIO</t>
  </si>
  <si>
    <t>C00 - D48</t>
  </si>
  <si>
    <t xml:space="preserve"> TUMORES</t>
  </si>
  <si>
    <t>J00 - J99</t>
  </si>
  <si>
    <t xml:space="preserve"> ENF. APARATO RESPIRATORIO</t>
  </si>
  <si>
    <t>*  Cesfam  Llay llay, San  Felipe y  Los  Andes</t>
  </si>
  <si>
    <t>66.-ATENCIÓN ODONTOLOGICA INTEGRAL DE LA EMBARAZADA</t>
  </si>
  <si>
    <t>67.-ESCLEROSIS MULTIPLE REMITENTE RECURRENTE</t>
  </si>
  <si>
    <t xml:space="preserve">68.-HEPATITIS B </t>
  </si>
  <si>
    <t>69.-HEPATITIS C</t>
  </si>
  <si>
    <t>60.-EPILEPSIA NO REFRACTARIA 15 AÑOS Y MAS</t>
  </si>
  <si>
    <t>61.-ASMA BRONQUIAL 15 AÑOS Y MAS</t>
  </si>
  <si>
    <t>62.-ENFERMEDAD DE PARKINSON</t>
  </si>
  <si>
    <t>63.-ARTRITIS REUMATOIDEA JUVENIL</t>
  </si>
  <si>
    <t>64.-PREVENCIÓN SECUNDARIA EN PACIENTES CON IRC</t>
  </si>
  <si>
    <t>65.-DISPLASIA LUXANTE DE CADERAS</t>
  </si>
  <si>
    <t>58.-DISPLASIA  BRONCOPULMUNAR  DEL  PREMATURO</t>
  </si>
  <si>
    <t>59.- HIPOACUSIA BILATERAL DEL  PREMATURO</t>
  </si>
  <si>
    <t>S00 - Z99</t>
  </si>
  <si>
    <t xml:space="preserve"> TRAUMAT. Y  ENVENENAMIENTO</t>
  </si>
  <si>
    <t>K00 - K99</t>
  </si>
  <si>
    <t xml:space="preserve"> ENF. APARATO DIGESTIVO</t>
  </si>
  <si>
    <t>N00 - N99</t>
  </si>
  <si>
    <t xml:space="preserve"> ENF. APARATO GENITOURINARIO</t>
  </si>
  <si>
    <t>A00 - B99</t>
  </si>
  <si>
    <t xml:space="preserve"> INFECC.  Y PARASITARIAS</t>
  </si>
  <si>
    <t>R00 - R99</t>
  </si>
  <si>
    <t>SIGNOS, ENF. MAL DEFINIDAS</t>
  </si>
  <si>
    <t>E00 - E99</t>
  </si>
  <si>
    <t xml:space="preserve"> ENF. GLANDULAS ENDOCRINAS</t>
  </si>
  <si>
    <t>P00 - P99</t>
  </si>
  <si>
    <t xml:space="preserve"> AFEC. PERIODO PERINATAL</t>
  </si>
  <si>
    <t>Q00 - Q99</t>
  </si>
  <si>
    <t xml:space="preserve"> ANOMALIAS  CONGENITAS</t>
  </si>
  <si>
    <t xml:space="preserve">G R U P O S       E T A R E O S </t>
  </si>
  <si>
    <t>N.M</t>
  </si>
  <si>
    <t>0 - 7d</t>
  </si>
  <si>
    <t>7-27 d</t>
  </si>
  <si>
    <t>1 - 11 m</t>
  </si>
  <si>
    <t>1 - 4 a</t>
  </si>
  <si>
    <t>5 - 9 a</t>
  </si>
  <si>
    <t>10 - 14 a</t>
  </si>
  <si>
    <t>15 -19 a</t>
  </si>
  <si>
    <t>20 - 44 a</t>
  </si>
  <si>
    <t>45 - 64 a</t>
  </si>
  <si>
    <t>65 y + a</t>
  </si>
  <si>
    <t xml:space="preserve"> SIGNOS, ENF. MAL DEFINIDAS</t>
  </si>
  <si>
    <t xml:space="preserve"> OTRAS</t>
  </si>
  <si>
    <t xml:space="preserve"> TOTAL</t>
  </si>
  <si>
    <t>pais</t>
  </si>
  <si>
    <t>Paìs</t>
  </si>
  <si>
    <t>SS</t>
  </si>
  <si>
    <t>AÑOS  DE  VIDA POTENCIALMENTE   PERDIDOS  (AVPP) SEGÚN  GRUPO  DE  CAUSAS Y  QUINQUENIOS</t>
  </si>
  <si>
    <t>1 - 4</t>
  </si>
  <si>
    <t>5 - 9</t>
  </si>
  <si>
    <t>10 - 14</t>
  </si>
  <si>
    <t>15 - 19</t>
  </si>
  <si>
    <t>20 - 24</t>
  </si>
  <si>
    <t>25 - 29</t>
  </si>
  <si>
    <t>30 - 34</t>
  </si>
  <si>
    <t>35 - 39</t>
  </si>
  <si>
    <t>40 - 44</t>
  </si>
  <si>
    <t>45 - 49</t>
  </si>
  <si>
    <t>50 - 54</t>
  </si>
  <si>
    <t>55 - 59</t>
  </si>
  <si>
    <t>60 - 64</t>
  </si>
  <si>
    <t>65 - 69</t>
  </si>
  <si>
    <t>70 - 74</t>
  </si>
  <si>
    <t>75 - 79</t>
  </si>
  <si>
    <t>80 Y +</t>
  </si>
  <si>
    <t xml:space="preserve">Nota :  Se  consideraron   de  1  a  79   años  </t>
  </si>
  <si>
    <t>Nota:  no  incluye  los  menores  de  1  año  en  el  total</t>
  </si>
  <si>
    <t xml:space="preserve"> U.T.I.  NEONATAL</t>
  </si>
  <si>
    <t>CECOF  Q. HERRERA</t>
  </si>
  <si>
    <t xml:space="preserve">NOTIFICACIONES  DE LAS  PRINCIPALES  </t>
  </si>
  <si>
    <t>ENFERMEDADES  TRANSMISIBLES</t>
  </si>
  <si>
    <t xml:space="preserve">PAIS  </t>
  </si>
  <si>
    <t>S.S.ACONCAGUA</t>
  </si>
  <si>
    <t>ENFERMEDADES</t>
  </si>
  <si>
    <t xml:space="preserve">CASOS </t>
  </si>
  <si>
    <t>DIFTERIA</t>
  </si>
  <si>
    <t>TOS FERINA</t>
  </si>
  <si>
    <t>TETANO NEOT</t>
  </si>
  <si>
    <t>RESTO TETANO</t>
  </si>
  <si>
    <t>RUBEOLA</t>
  </si>
  <si>
    <t>TIFOIDEA  Y PARAT.</t>
  </si>
  <si>
    <t>HEPATITIS A</t>
  </si>
  <si>
    <t>HEPATITIS B</t>
  </si>
  <si>
    <t>RESTOS DE HEPATIT.</t>
  </si>
  <si>
    <t>TUBERCULOSIS</t>
  </si>
  <si>
    <t>CARBUNCO</t>
  </si>
  <si>
    <t>BRUCELOSIS</t>
  </si>
  <si>
    <t xml:space="preserve"> VIH/SIDA</t>
  </si>
  <si>
    <t>SIFILIS</t>
  </si>
  <si>
    <t>GONORREA</t>
  </si>
  <si>
    <t>PAROTIDITIS</t>
  </si>
  <si>
    <t>MALARIA</t>
  </si>
  <si>
    <t>HIDATIDOSIS</t>
  </si>
  <si>
    <t>TRIQUINOISIS</t>
  </si>
  <si>
    <t>HANTAVIRUS</t>
  </si>
  <si>
    <t>DENGUE</t>
  </si>
  <si>
    <t>Tasas   por  100.000  hab.</t>
  </si>
  <si>
    <t>QUE  PRESENTAN  DESVIACIONES  EN  SU CALIFICACION  NUTRICIONAL</t>
  </si>
  <si>
    <t xml:space="preserve"> POB.  BAJO</t>
  </si>
  <si>
    <t xml:space="preserve"> COMUNA</t>
  </si>
  <si>
    <t xml:space="preserve"> LOCALIDAD</t>
  </si>
  <si>
    <t xml:space="preserve"> CONTROL</t>
  </si>
  <si>
    <t>PESO / EDAD</t>
  </si>
  <si>
    <t>PESO / TALLA</t>
  </si>
  <si>
    <t>TALLA / EDAD</t>
  </si>
  <si>
    <t xml:space="preserve"> CESFAM L.A. Nº 1 (M)</t>
  </si>
  <si>
    <t xml:space="preserve"> CESFAM L.A. Nº 2</t>
  </si>
  <si>
    <t xml:space="preserve"> CECOF L. ANDES</t>
  </si>
  <si>
    <t xml:space="preserve"> CESFAM S. ESTEBAN</t>
  </si>
  <si>
    <t xml:space="preserve"> CALLE  LARGA</t>
  </si>
  <si>
    <t xml:space="preserve"> CESFAM CALLE LARGA</t>
  </si>
  <si>
    <t xml:space="preserve"> CESFAM  RINCONADA</t>
  </si>
  <si>
    <t xml:space="preserve"> PROV.</t>
  </si>
  <si>
    <t xml:space="preserve"> CONS. S. FELIPE</t>
  </si>
  <si>
    <t xml:space="preserve"> CESFAM  S. FELIPE N° 2</t>
  </si>
  <si>
    <t xml:space="preserve"> CONS. CURIMON</t>
  </si>
  <si>
    <t xml:space="preserve"> CESFAM  PUTAENDO</t>
  </si>
  <si>
    <t xml:space="preserve"> CESDFAM  STA. MARIA</t>
  </si>
  <si>
    <t xml:space="preserve"> CECOF STA. MARIA</t>
  </si>
  <si>
    <t xml:space="preserve"> CESFAM PANQUEHUE</t>
  </si>
  <si>
    <t xml:space="preserve"> CONS. LLAY  LLAY</t>
  </si>
  <si>
    <t xml:space="preserve"> CESFAM  CATEMU</t>
  </si>
  <si>
    <t>COMUNA   Y  CALIFICACION   NUTRICIONAL</t>
  </si>
  <si>
    <t>DESNUTRIDO</t>
  </si>
  <si>
    <t>SOBRE  PESO</t>
  </si>
  <si>
    <t>OBESO</t>
  </si>
  <si>
    <t>NORMAL</t>
  </si>
  <si>
    <t>LOCALIDAD</t>
  </si>
  <si>
    <t>ESTADO  NUTRICIONAL  DE   EMBARAZADAS  USUARIAS  BAJO  CONTROL  SEGUN  COMUNAS</t>
  </si>
  <si>
    <t>OBESA</t>
  </si>
  <si>
    <t>BAJO  PESO</t>
  </si>
  <si>
    <t xml:space="preserve"> CALLE LARGA</t>
  </si>
  <si>
    <t xml:space="preserve"> SAN FELIPE </t>
  </si>
  <si>
    <t xml:space="preserve"> STA.  MARIA</t>
  </si>
  <si>
    <t xml:space="preserve"> LLAY   LLAY</t>
  </si>
  <si>
    <t xml:space="preserve"> T O T A L</t>
  </si>
  <si>
    <t>NACIMIENTOS Y PARTOS POR ESTABLECIMIENTOS</t>
  </si>
  <si>
    <t>SERVICIO DE  SALUD  ACONCAGUA</t>
  </si>
  <si>
    <t>ESTABLECIMIENTOS</t>
  </si>
  <si>
    <t xml:space="preserve"> NACIDOS</t>
  </si>
  <si>
    <t>HOSP.SAN  FELIPE</t>
  </si>
  <si>
    <t>HOSP.LOS ANDES</t>
  </si>
  <si>
    <t>HOSP. LLAY-LLAY</t>
  </si>
  <si>
    <t>SALADILLO</t>
  </si>
  <si>
    <t xml:space="preserve"> VIVOS Y MUERTOS</t>
  </si>
  <si>
    <t>N.V.</t>
  </si>
  <si>
    <t>N.M.</t>
  </si>
  <si>
    <t xml:space="preserve">   999 gr.</t>
  </si>
  <si>
    <t xml:space="preserve"> 1000 - 1499 gr.</t>
  </si>
  <si>
    <t xml:space="preserve"> 1500 - 1999 gr.</t>
  </si>
  <si>
    <t xml:space="preserve"> 2000 - 2400 gr</t>
  </si>
  <si>
    <t xml:space="preserve"> 2500 - 2999 gr</t>
  </si>
  <si>
    <t xml:space="preserve"> 3000 - 3499 gr</t>
  </si>
  <si>
    <t xml:space="preserve"> 3500 - 3999 gr.</t>
  </si>
  <si>
    <t xml:space="preserve"> 4000 - 4499</t>
  </si>
  <si>
    <t xml:space="preserve"> 4500 - y + gr.</t>
  </si>
  <si>
    <t>PARTOS SEGUN OCURRENCIA TIPO Y ATENCION</t>
  </si>
  <si>
    <t xml:space="preserve"> OCURRENCIA</t>
  </si>
  <si>
    <t xml:space="preserve">                      </t>
  </si>
  <si>
    <t xml:space="preserve"> DISTOCICO</t>
  </si>
  <si>
    <t xml:space="preserve"> GEMELAR </t>
  </si>
  <si>
    <t xml:space="preserve"> EUTOCICO</t>
  </si>
  <si>
    <t xml:space="preserve">                     </t>
  </si>
  <si>
    <t xml:space="preserve"> TIPO DE PARTOS</t>
  </si>
  <si>
    <t xml:space="preserve"> TERMINO</t>
  </si>
  <si>
    <t xml:space="preserve"> PREMATURO</t>
  </si>
  <si>
    <t xml:space="preserve"> ATENCION DEL PARTO</t>
  </si>
  <si>
    <t xml:space="preserve"> MEDICO</t>
  </si>
  <si>
    <t xml:space="preserve"> MATRONA </t>
  </si>
  <si>
    <t xml:space="preserve"> PARTOS</t>
  </si>
  <si>
    <t xml:space="preserve"> NORMALES</t>
  </si>
  <si>
    <t xml:space="preserve"> DIST.VAGINAL</t>
  </si>
  <si>
    <t xml:space="preserve"> CESAREA</t>
  </si>
  <si>
    <t>PARTOS  SEGUN EDAD DE LA MADRE</t>
  </si>
  <si>
    <t>45 Y +</t>
  </si>
  <si>
    <t>HOSP. SAN   FELIPE</t>
  </si>
  <si>
    <t>HOSP. LOS ANDES</t>
  </si>
  <si>
    <t>HOSP. LLAY LLAY</t>
  </si>
  <si>
    <t>ISAPRE RIO BLANCO</t>
  </si>
  <si>
    <t>ABORTOS SEGUN EDAD DE LA MUJER</t>
  </si>
  <si>
    <t>HOSP. SAN  CAMILO</t>
  </si>
  <si>
    <t xml:space="preserve">  GRAFICOS DE PARTOS  Y  ABORTOS SEGÚN EDAD DE LA MADRE</t>
  </si>
  <si>
    <t>SERVICIO  DE SALUD  ACONCAGUA</t>
  </si>
  <si>
    <t>PORCENTAJE DE PARTOS  SEGUN EDAD DE LA MADRE</t>
  </si>
  <si>
    <t>PORCENTAJE  DE  ABORTOS SEGUN EDAD DE LA MUJER</t>
  </si>
  <si>
    <t xml:space="preserve">PORCENTAJE  DE CESAREAS  / TOTAL DE PARTOS 
TOTAL  Y  BENEFICIARIOS  POR ESTABLECIMIENTOS </t>
  </si>
  <si>
    <t>TOTAL  beneficiarios</t>
  </si>
  <si>
    <t xml:space="preserve"> HOSP. SAN  CAMILO</t>
  </si>
  <si>
    <t xml:space="preserve"> HOSP. LOS ANDES</t>
  </si>
  <si>
    <t xml:space="preserve"> HOSP. LLAY LLAY</t>
  </si>
  <si>
    <t>Benef.</t>
  </si>
  <si>
    <t>cesareas  beneficiarios</t>
  </si>
  <si>
    <t xml:space="preserve"> HOSP. SAN   FELIPE</t>
  </si>
  <si>
    <t xml:space="preserve"> ISAPRE RIO BLANCO</t>
  </si>
  <si>
    <t>Porcentaje</t>
  </si>
  <si>
    <t xml:space="preserve"> </t>
  </si>
  <si>
    <t>RECIEN  NACIDOS VIVOS  Y MUERTOS  POR COMUNA DE RESIDENCIA</t>
  </si>
  <si>
    <t xml:space="preserve">C O M U N A S </t>
  </si>
  <si>
    <t xml:space="preserve">  P E S O</t>
  </si>
  <si>
    <t>L. ANDES</t>
  </si>
  <si>
    <t>CALLE   L.</t>
  </si>
  <si>
    <t>LLAY - LLAY</t>
  </si>
  <si>
    <t>V</t>
  </si>
  <si>
    <t>M</t>
  </si>
  <si>
    <t xml:space="preserve"> CECOF SAN  FELIPE</t>
  </si>
  <si>
    <t xml:space="preserve">         - 900 grs</t>
  </si>
  <si>
    <t>1000 - 1499 grs</t>
  </si>
  <si>
    <t>1500 - 1999 grs</t>
  </si>
  <si>
    <t>2000 - 2499 grs</t>
  </si>
  <si>
    <t>2500 - 2999 grs</t>
  </si>
  <si>
    <t xml:space="preserve">       Sub-total</t>
  </si>
  <si>
    <t>3000 - 3499 grs</t>
  </si>
  <si>
    <t>3500 - 3999 grs</t>
  </si>
  <si>
    <t>4000  y  +  grs</t>
  </si>
  <si>
    <t xml:space="preserve"> PROF. DEL  PARTO</t>
  </si>
  <si>
    <t>PERFIL  ESTERILIZACION  FEMENINA  y MASCULINA  POR ESTABLECIMIENTOS  Y GRUPOS  DE EDAD</t>
  </si>
  <si>
    <t xml:space="preserve">SERVICIO DE SALUD  ACONCAGUA    </t>
  </si>
  <si>
    <t>HOSPITAL  SAN   FELIPE</t>
  </si>
  <si>
    <t>HOSPITAL  LOS ANDES</t>
  </si>
  <si>
    <t>HOSPITAL  LLAY  -  LLAY</t>
  </si>
  <si>
    <t>GRUPOS   DE  EDAD</t>
  </si>
  <si>
    <t>- 19  AÑOS</t>
  </si>
  <si>
    <t>20 - 34  AÑOS</t>
  </si>
  <si>
    <t>35 y +  AÑOS</t>
  </si>
  <si>
    <t>TOTAL  MASCULINA</t>
  </si>
  <si>
    <t xml:space="preserve"> CONSULTAS   Y  CONTROLES  POR  ESTABLECIMIENTOS Y PROFESIONALES</t>
  </si>
  <si>
    <t>PROGRAMA  INFANTIL  NIVEL  PRIMARIO</t>
  </si>
  <si>
    <t>MEDICO</t>
  </si>
  <si>
    <t>ENFERMERA</t>
  </si>
  <si>
    <t>MATRONA</t>
  </si>
  <si>
    <t>NUTRICIONISTA</t>
  </si>
  <si>
    <t>ASISTENTE SOCIAL</t>
  </si>
  <si>
    <t xml:space="preserve">  LOS  ANDES</t>
  </si>
  <si>
    <t xml:space="preserve">  CALLE  LARGA</t>
  </si>
  <si>
    <t xml:space="preserve">  PROVINCIA    DE LOS   ANDES</t>
  </si>
  <si>
    <t xml:space="preserve">  SAN  FELIPE</t>
  </si>
  <si>
    <t xml:space="preserve"> HOSP. PSIQUIATRICO</t>
  </si>
  <si>
    <t xml:space="preserve">  LLAY  LLAY</t>
  </si>
  <si>
    <t xml:space="preserve">  PROVINCIA    DE  SAN  FELIPE</t>
  </si>
  <si>
    <t>PROGRAMA    ADOLESCENTE  NIVEL  PRIMARIO</t>
  </si>
  <si>
    <t>PROGRAMA    DE  LA  MUJER   NIVEL  PRIMARIO</t>
  </si>
  <si>
    <t>PROGRAMA    DEL  ADULTO   NIVEL  PRIMARIO</t>
  </si>
  <si>
    <t>PROGRAMA    DEL  ADULTO  MAYOR   NIVEL  PRIMARIO</t>
  </si>
  <si>
    <t>CONSOLIDADO   NIVEL  PRIMARIO</t>
  </si>
  <si>
    <t xml:space="preserve"> CONSULTAS   DE  PSICOLOGO   EN  EL  NIVEL  PRIMARIO  Y  SECUNDARIO
 SALUD  MENTAL      PSICODIAGNOSTICO Y  PSICOTERAPIA</t>
  </si>
  <si>
    <t>INFANTIL</t>
  </si>
  <si>
    <t>ADOLESCENTE</t>
  </si>
  <si>
    <t>ADULTO</t>
  </si>
  <si>
    <t>ADULTO MAYOR</t>
  </si>
  <si>
    <t xml:space="preserve"> HOSP. LOS  ANDES</t>
  </si>
  <si>
    <t xml:space="preserve"> CONSULTAS   MEDICAS  NIVEL  PRIMARIO   POR  PROGRAMA</t>
  </si>
  <si>
    <t>MATERNAL</t>
  </si>
  <si>
    <t>ADULTO  MAYOR</t>
  </si>
  <si>
    <t>SALUD  MENTAL</t>
  </si>
  <si>
    <t>CONS. IRA</t>
  </si>
  <si>
    <t xml:space="preserve"> CONS. Nº 1  (M)</t>
  </si>
  <si>
    <t xml:space="preserve"> CONS. Nº 2</t>
  </si>
  <si>
    <t xml:space="preserve"> CONS. S. ESTEBAN</t>
  </si>
  <si>
    <t xml:space="preserve"> CONS. CALLE  LARGA</t>
  </si>
  <si>
    <t xml:space="preserve"> CONS. RINCONADA</t>
  </si>
  <si>
    <t xml:space="preserve"> CONS. SAN FELIPE</t>
  </si>
  <si>
    <t xml:space="preserve"> CONS. SAN FELIPE N° 2</t>
  </si>
  <si>
    <t xml:space="preserve"> CONS. PUTAENDO</t>
  </si>
  <si>
    <t xml:space="preserve"> CONS. STA. MARIA</t>
  </si>
  <si>
    <t xml:space="preserve"> CONS. PANQUEHUE</t>
  </si>
  <si>
    <t xml:space="preserve"> CONS.  CATEMU</t>
  </si>
  <si>
    <t>PROGRAMA  INFANTIL  NIVEL  SECUNDARIO</t>
  </si>
  <si>
    <t xml:space="preserve"> CONSULTAS  MEDICAS</t>
  </si>
  <si>
    <t xml:space="preserve"> ESPECIALIDAD</t>
  </si>
  <si>
    <t xml:space="preserve"> HOSP. SAN  FELIPE</t>
  </si>
  <si>
    <t xml:space="preserve"> HOSP. LLAY  LLAY</t>
  </si>
  <si>
    <t xml:space="preserve"> PEDIATRIA</t>
  </si>
  <si>
    <t xml:space="preserve"> MEDICINA INTERNA  </t>
  </si>
  <si>
    <t xml:space="preserve"> NEONATOLOGIA</t>
  </si>
  <si>
    <t xml:space="preserve"> BRONCOPULMONAR</t>
  </si>
  <si>
    <t xml:space="preserve"> CARDIOLOGIA</t>
  </si>
  <si>
    <t xml:space="preserve"> ENDOCRINOLOGIA</t>
  </si>
  <si>
    <t xml:space="preserve"> GASTROENTEROLOGIA</t>
  </si>
  <si>
    <t xml:space="preserve"> HEMATOLOGIA</t>
  </si>
  <si>
    <t xml:space="preserve"> NEFROLOGIA</t>
  </si>
  <si>
    <t xml:space="preserve"> REUMATOLOGIA</t>
  </si>
  <si>
    <t xml:space="preserve"> DERMATOLOGIA</t>
  </si>
  <si>
    <t xml:space="preserve"> ENFER. TRANS. SEXUAL</t>
  </si>
  <si>
    <t xml:space="preserve"> NEUROLOGIA</t>
  </si>
  <si>
    <t xml:space="preserve"> PSIQUIATRIA</t>
  </si>
  <si>
    <t xml:space="preserve"> CIRUGIA</t>
  </si>
  <si>
    <t xml:space="preserve"> CIRUGIA  MAMA</t>
  </si>
  <si>
    <t xml:space="preserve"> CIRUGIA  PLASTICA</t>
  </si>
  <si>
    <t xml:space="preserve"> NEUROCIRUGIA</t>
  </si>
  <si>
    <t xml:space="preserve"> OBSTETRICIA</t>
  </si>
  <si>
    <t xml:space="preserve"> GINECOLOGIA</t>
  </si>
  <si>
    <t xml:space="preserve"> OFTALMOLOGIA</t>
  </si>
  <si>
    <t xml:space="preserve"> OTORRINOLARINGOLOGIA</t>
  </si>
  <si>
    <t xml:space="preserve"> TRAUMATOLOGIA</t>
  </si>
  <si>
    <t xml:space="preserve"> UROLOGIA</t>
  </si>
  <si>
    <t xml:space="preserve"> MEDICINA FISICA Y REHABILITA.</t>
  </si>
  <si>
    <t xml:space="preserve">  OTRAS ATENCIONES  PROFESIONALES</t>
  </si>
  <si>
    <t xml:space="preserve">  ENFERMERA</t>
  </si>
  <si>
    <t xml:space="preserve">  MATRONA</t>
  </si>
  <si>
    <t xml:space="preserve">  NUTRICIONISTA</t>
  </si>
  <si>
    <t xml:space="preserve">  PSICOLOGOS</t>
  </si>
  <si>
    <t xml:space="preserve">  FONOAUDIOLOGO</t>
  </si>
  <si>
    <t xml:space="preserve">  KINESIOLOGO</t>
  </si>
  <si>
    <t xml:space="preserve"> TERAPEUTA OCUPACIONAL</t>
  </si>
  <si>
    <t xml:space="preserve"> TECNOLOGO  MEDICO</t>
  </si>
  <si>
    <t xml:space="preserve">  ASISTENTE  SOCIAL</t>
  </si>
  <si>
    <t>PROGRAMA  ADOLESCENTE  NIVEL  SECUNDARIO</t>
  </si>
  <si>
    <t>CARDIOLOGIA</t>
  </si>
  <si>
    <t>PROGRAMA  ADULTO  NIVEL  SECUNDARIO</t>
  </si>
  <si>
    <t>PROGRAMA  ADULTO  MAYOR  NIVEL  SECUNDARIO</t>
  </si>
  <si>
    <t>CONSOLIDADO  NIVEL  SECUNDARIO</t>
  </si>
  <si>
    <t>ESPECIALIDAD</t>
  </si>
  <si>
    <t>Nº 1</t>
  </si>
  <si>
    <t>Nº 2</t>
  </si>
  <si>
    <t xml:space="preserve"> CURIMON</t>
  </si>
  <si>
    <t xml:space="preserve"> SAN FELIPE N° 2</t>
  </si>
  <si>
    <t xml:space="preserve"> LLAILLAY</t>
  </si>
  <si>
    <t xml:space="preserve"> SANTA MARIA</t>
  </si>
  <si>
    <t>&lt; 15  años</t>
  </si>
  <si>
    <t>&gt; 15  años</t>
  </si>
  <si>
    <t>Intercon
sultas APS</t>
  </si>
  <si>
    <t>TOTAL 
CONSULTAS</t>
  </si>
  <si>
    <t>PORCENTAJE  DE 
 COBERTURA</t>
  </si>
  <si>
    <t>APS</t>
  </si>
  <si>
    <t>CAE/CDT</t>
  </si>
  <si>
    <t>URGENCIA</t>
  </si>
  <si>
    <t>SERVICIO  DE  SALUD  ACONCAGUA</t>
  </si>
  <si>
    <t>PRESTACIONES</t>
  </si>
  <si>
    <t xml:space="preserve">PATOLOGIAS   GES </t>
  </si>
  <si>
    <t>PERSONAS
ATENDIDAS</t>
  </si>
  <si>
    <t>HOSP. 
SAN  CAMILO</t>
  </si>
  <si>
    <t>HOSP. 
LOS  ANDES</t>
  </si>
  <si>
    <t>HOSP. 
LLAY LLAY</t>
  </si>
  <si>
    <t>HOSP. 
PSIQUIATRICO</t>
  </si>
  <si>
    <t>HOSP. 
PUTAENDO</t>
  </si>
  <si>
    <t>01.- INSUFICIENCIA RENAL CRONICA TERMINAL</t>
  </si>
  <si>
    <t>02.- CARDIOPATÍAS CONGÉNITAS OPERABLES en menores de 15 años</t>
  </si>
  <si>
    <t>03.- CANCER CERVICOUTERINO</t>
  </si>
  <si>
    <t>04.- CUIDADOS PALIATIVOS CÁNCER TERMINAL</t>
  </si>
  <si>
    <t>05.- INFARTO AGUDO DEL MIOCARDIO IAM</t>
  </si>
  <si>
    <t>06.- DIABETES MELLITUS TIPO 1</t>
  </si>
  <si>
    <t>07.- DIABETES MELLITUS TIPO 2</t>
  </si>
  <si>
    <t>08.- CÁNCER DE MAMA en personas de 15 años y más</t>
  </si>
  <si>
    <t>09.- DISRAFIAS ESPINALES</t>
  </si>
  <si>
    <t>10.- ESCOLIOSIS (trat. quirúrgico en menores de 25 años)</t>
  </si>
  <si>
    <t>11.- CATARATAS que requieren trat. Quirúrgico</t>
  </si>
  <si>
    <t>12.- PROBLEMAS DE SALUD QUE REQUIEREN PRÓTESIS DE CADERA TOTAL</t>
  </si>
  <si>
    <t>13.- FISURA LABIOPALATINA</t>
  </si>
  <si>
    <t>14.- CÁNCER en menores de 15 años</t>
  </si>
  <si>
    <t>15.- ESQUIZOFRENIA</t>
  </si>
  <si>
    <t>16.- CANCER TESTÍCULO en personas de 15 años y más</t>
  </si>
  <si>
    <t>17.- LINFOMAS en personas de 15 años y más</t>
  </si>
  <si>
    <t>18.- VIH (Tratamiento triterapia)</t>
  </si>
  <si>
    <t>19.- INFECCIÓN RESPIRATORIA  AGUDA</t>
  </si>
  <si>
    <t>20.- NEUMONIA</t>
  </si>
  <si>
    <t>21.- HIPERTENSIÓN ARTERIAL ESENCIAL</t>
  </si>
  <si>
    <t>22.- EPILEPSIA  NO  REFRACTARIA</t>
  </si>
  <si>
    <t>23.- SALUD  ORAL</t>
  </si>
  <si>
    <t xml:space="preserve">24.- PREMATUREZ (Displasia Broncopulmonar) </t>
  </si>
  <si>
    <t xml:space="preserve">24.- PREMATUREZ (Hipoacusia) </t>
  </si>
  <si>
    <t xml:space="preserve">24.- PREMATUREZ (Prevención parto prematuro) </t>
  </si>
  <si>
    <t xml:space="preserve">24.- PREMATUREZ (Retinopatía) </t>
  </si>
  <si>
    <t>25.- TRASTORNOS DE CONDUCCIÓN: MARCAPASO en personas 15ay más</t>
  </si>
  <si>
    <t>26.- COLECISTECTOMIA PREVENTIVA CANCER VESICULA (35 a 49 años sintomáticos)</t>
  </si>
  <si>
    <t>27.- CANCER GÁSTRICO</t>
  </si>
  <si>
    <t>28.- CANCER DE PRÓSTATA en personas de 15 años y más</t>
  </si>
  <si>
    <t>29.- VICIOS DE REFRACCION en personas de 65 años y más</t>
  </si>
  <si>
    <t>30.- ESTRABISMO en menores de 9 años</t>
  </si>
  <si>
    <t>31.- RETINOPATIA DIABETICA</t>
  </si>
  <si>
    <t>32.- DESPRENDIMIENTO DE RETINA REGMATOGENO NO TRAUMATICO</t>
  </si>
  <si>
    <t>33.- HEMOFILIA</t>
  </si>
  <si>
    <t>34.- DEPRESION en personas de 15 años y más</t>
  </si>
  <si>
    <t>35.- TTO. QUIRURGICO DE LA HIPERPLASIA BENIGNA  PROSTATA en personas sintomáticas</t>
  </si>
  <si>
    <t>36.- ORTESIS para personas de 65 años y más</t>
  </si>
  <si>
    <t>37.- ACCIDENTE CEREBROVASCULAR ISQUEMICO  (15 años y más)</t>
  </si>
  <si>
    <t>38.- ENF. PULMONAR OBSTRUCTIVA CRONICA DE TRAT. AMBULATORIO</t>
  </si>
  <si>
    <t>39.- ASMA BRONQUIAL MODERADA Y SEVERA en menores de 15 años</t>
  </si>
  <si>
    <t>40.- SINDROME DIFICULTAD RESPIRATORIA EN EL RECIEN NACIDO</t>
  </si>
  <si>
    <t>41.- TRAT.MÉDICO EN PERSONAS DE 55 AÑOS Y MÁS CON ARTROSIS DE
       CADERA Y/O RODILLA, LEVE O MODERADA</t>
  </si>
  <si>
    <t>42.- HEMORRAGIA SUBARACNOIDEA SECUNDARIA A RUPTURA DE 
       ANEURISMAS CEREBRALES</t>
  </si>
  <si>
    <t>43.- TRATAMIENTO QUIRURGICO TUMORES PRIMARIOS DEL SISTEMA
       NERVIOSO CENTRAL EN PERSONAS DE 15 AÑOS Y MÁS</t>
  </si>
  <si>
    <t>44.- HERNIA NUCLEO PULPOSO LUMBAR</t>
  </si>
  <si>
    <t>45.- LEUCEMIA EN PERSONAS DE 15 AÑOS Y MÁS</t>
  </si>
  <si>
    <t>46.- URGENCIAS ODONTOLÓGICOS AMBULATORIAS</t>
  </si>
  <si>
    <t>47.- ATENCIÓN ODONTOLÓGICA EN PERSONAS DE 60 AÑOS</t>
  </si>
  <si>
    <t>48.- POLITRAUMATIZADO GRAVE CON LESION MEDULAR</t>
  </si>
  <si>
    <t>48.- POLITRAUMATIZADO GRAVE SIN LESION MEDULAR</t>
  </si>
  <si>
    <t>49.- ATENCIÓN DE URGENCIA DEL TRAUMATISMO CRÁNEO ENCEFÁLICO 
       MODERADO O GRAVE</t>
  </si>
  <si>
    <t>50.- TRAUMA OCULAR GRAVE</t>
  </si>
  <si>
    <t>51.- FIBROSIS QUÍSTICA</t>
  </si>
  <si>
    <t>52.- ARTRITIS REUMATOIDEA</t>
  </si>
  <si>
    <t>53.- CONSUMO PERJUDICIAL Y DEPENDENCIA DE ALCOHOL Y DROGAS EN
       MENORES DE 20 AÑOS</t>
  </si>
  <si>
    <t>54.- ANALGESIA DEL PARTO</t>
  </si>
  <si>
    <t>55.- GRAN QUEMADO</t>
  </si>
  <si>
    <t>56.- HIPOACUSIA BILATERAL EN PERSONAS DE 65 AÑOS Y MÁS QUE
       REQUIEREN USO DE AUDÍFONO</t>
  </si>
  <si>
    <t xml:space="preserve">  ESTABLECIMIENTOS</t>
  </si>
  <si>
    <t>RECLAMOS
RECIBIDOS</t>
  </si>
  <si>
    <t>SUGERENCIAS
RECIBIDAS</t>
  </si>
  <si>
    <t>FELICITACIONES
RECIBIDAS</t>
  </si>
  <si>
    <t>RECLAMOS
RESPONDIDOS  N° y  %</t>
  </si>
  <si>
    <t xml:space="preserve"> Hospital Los Andes</t>
  </si>
  <si>
    <t xml:space="preserve"> CES Cordillera</t>
  </si>
  <si>
    <t xml:space="preserve"> CES Centenario</t>
  </si>
  <si>
    <t xml:space="preserve"> Hospital San Camilo</t>
  </si>
  <si>
    <t xml:space="preserve"> Hospital Putaendo</t>
  </si>
  <si>
    <t xml:space="preserve"> Hospital PSiquiatrico</t>
  </si>
  <si>
    <t xml:space="preserve"> CONSULTAS   MEDICAS  NIVEL PRIMARIO  POR  ESTABLECIMIENTOS</t>
  </si>
  <si>
    <t>Población</t>
  </si>
  <si>
    <t>Ssalud</t>
  </si>
  <si>
    <t>Los  Andes</t>
  </si>
  <si>
    <t>san  esteban</t>
  </si>
  <si>
    <t>Calle  larga</t>
  </si>
  <si>
    <t>Prov.Los  andes</t>
  </si>
  <si>
    <t xml:space="preserve"> CONS. L.A. Nº 1  (M)</t>
  </si>
  <si>
    <t>san Felipe</t>
  </si>
  <si>
    <t xml:space="preserve"> CONS. L.A. Nº 2</t>
  </si>
  <si>
    <t>Sta. Maria</t>
  </si>
  <si>
    <t xml:space="preserve"> CONS. CALLE  LAR.</t>
  </si>
  <si>
    <t>llay llay</t>
  </si>
  <si>
    <t>catemu</t>
  </si>
  <si>
    <t>Prov.San felipe</t>
  </si>
  <si>
    <t xml:space="preserve">  PROVINCIA    DE SAN  FELIPE</t>
  </si>
  <si>
    <t>TASA  CONSULTA   MEDICO  HABITANTE  AÑO NIVEL PRIMARIO</t>
  </si>
  <si>
    <t>SEGÚN  COMUNA</t>
  </si>
  <si>
    <t xml:space="preserve"> PROGRAMA NACIONAL DE ALIMENTACION COMPLEMENTARIA</t>
  </si>
  <si>
    <t xml:space="preserve"> DISTRIBUCION  DE ALIMENTOS</t>
  </si>
  <si>
    <t>SUB-PROGRAMA</t>
  </si>
  <si>
    <t>ALIMENTOS</t>
  </si>
  <si>
    <t xml:space="preserve">  LECHE 26%</t>
  </si>
  <si>
    <t xml:space="preserve">   BASICO</t>
  </si>
  <si>
    <t xml:space="preserve">  L. CEREAL</t>
  </si>
  <si>
    <t xml:space="preserve"> PURITA MAMA</t>
  </si>
  <si>
    <t xml:space="preserve"> SUB-TOTAL</t>
  </si>
  <si>
    <t xml:space="preserve">   REFUERZO </t>
  </si>
  <si>
    <t xml:space="preserve">  MI  SOPITA</t>
  </si>
  <si>
    <t xml:space="preserve">  SUB-TOTAL</t>
  </si>
  <si>
    <t xml:space="preserve">  TOTAL</t>
  </si>
  <si>
    <t>POBLACION</t>
  </si>
  <si>
    <t>PACAM</t>
  </si>
  <si>
    <t>LEPTOSPIROSIS</t>
  </si>
  <si>
    <t xml:space="preserve"> ECOGRAFIAS OBSTETRICAS</t>
  </si>
  <si>
    <t xml:space="preserve"> ECOTOMOGRAFIAS  ABDOMINAL</t>
  </si>
  <si>
    <t xml:space="preserve"> TOTAL  EMPA  TOMADOS   POR  SEXO   COMUNAS  Y  ESTABLECIMIENTOS</t>
  </si>
  <si>
    <t xml:space="preserve">  COMUNAS</t>
  </si>
  <si>
    <t xml:space="preserve">CONSULTORIO </t>
  </si>
  <si>
    <t xml:space="preserve">Total  Empa
</t>
  </si>
  <si>
    <t xml:space="preserve">Pob.  Usuaria
</t>
  </si>
  <si>
    <t>Cobertura 
Pob.  Usuaria</t>
  </si>
  <si>
    <t>HOMBRES</t>
  </si>
  <si>
    <t>MUJERES</t>
  </si>
  <si>
    <t>VIGENTES</t>
  </si>
  <si>
    <t>20 - 64 AÑOS</t>
  </si>
  <si>
    <t xml:space="preserve"> PACIENTES    BAJO  CONTROL  SEGÚN  PATOLOGIA  DE  SALUD  MENTAL  </t>
  </si>
  <si>
    <t xml:space="preserve"> PATOLOGIA</t>
  </si>
  <si>
    <t>CONSULTORIOS</t>
  </si>
  <si>
    <t xml:space="preserve">SAN 
ESTEBAN </t>
  </si>
  <si>
    <t xml:space="preserve">CALLE 
LARGA </t>
  </si>
  <si>
    <t>ABUSO SEXUAL</t>
  </si>
  <si>
    <t>DEPRESIÓN POST PARTO</t>
  </si>
  <si>
    <t>TRASTORNO BIPOLAR</t>
  </si>
  <si>
    <t>DEPRESIÓN LEVE</t>
  </si>
  <si>
    <t>DEPRESIÓN MODERADA</t>
  </si>
  <si>
    <t>DEPRESIÓN GRAVE</t>
  </si>
  <si>
    <t>NÚMERO DE PACIENTES EN CONTROL
 EN EL PROGRAMA</t>
  </si>
  <si>
    <t>CECOF
SAN.FELIPE</t>
  </si>
  <si>
    <t xml:space="preserve"> CESFAM  LLAY  LLAY</t>
  </si>
  <si>
    <t>INTERCONSULTAS</t>
  </si>
  <si>
    <t>RESOLUTIVIDAD</t>
  </si>
  <si>
    <t>ODONTOLOGO</t>
  </si>
  <si>
    <t>CONSULTAS</t>
  </si>
  <si>
    <t>CONSULTAS *</t>
  </si>
  <si>
    <t>Nota: Consultas * =  Primeras consultas  mas consultas  urgencia</t>
  </si>
  <si>
    <t>CONSULTAS NUEVAS/TOTAL CONS.</t>
  </si>
  <si>
    <t xml:space="preserve"> CECOF  S. ESTEBAN</t>
  </si>
  <si>
    <t xml:space="preserve"> CECOF  CATEMU</t>
  </si>
  <si>
    <t xml:space="preserve">Número de mujeres fallecidas ,ocurrida después  de los  42 días  pero antes  de  
un  año de  la  terminación  del embarazo    por cada  1.000 nacidos  vivos.  </t>
  </si>
  <si>
    <t xml:space="preserve">RESONANCIA MAGNÉTICA </t>
  </si>
  <si>
    <t>QUIMICO FARMACEUTICO</t>
  </si>
  <si>
    <t>FETO Y RN ENF. INFEC. Y PAR  MADRE</t>
  </si>
  <si>
    <t xml:space="preserve"> CECOF LO  CALVO</t>
  </si>
  <si>
    <t xml:space="preserve"> CECOF CATEMU</t>
  </si>
  <si>
    <t xml:space="preserve"> KINESIOLOGO</t>
  </si>
  <si>
    <t xml:space="preserve"> POSTAS S. ESTEBAN</t>
  </si>
  <si>
    <t xml:space="preserve"> POSTAS  L.A. Nº 1 (M)</t>
  </si>
  <si>
    <t xml:space="preserve"> POSTA CALLE LARGA</t>
  </si>
  <si>
    <t xml:space="preserve"> POSTAS  PUTAENDO</t>
  </si>
  <si>
    <t xml:space="preserve"> POSTAS  STA. MARIA</t>
  </si>
  <si>
    <t>Número de partos dividido por población femenina de 15 a 49 años</t>
  </si>
  <si>
    <t xml:space="preserve">CECOF
ESTEBAN </t>
  </si>
  <si>
    <t>SOLICITUDES</t>
  </si>
  <si>
    <t>SOLICITUDES
LEY 20285</t>
  </si>
  <si>
    <t xml:space="preserve"> POSTA RIO BLANCO</t>
  </si>
  <si>
    <t xml:space="preserve"> CECOF. ESTEBAN</t>
  </si>
  <si>
    <t xml:space="preserve"> POSTAS  S. ESTEBAN</t>
  </si>
  <si>
    <t xml:space="preserve"> PRAIS</t>
  </si>
  <si>
    <t xml:space="preserve"> POSTAS  CALLE LARGA</t>
  </si>
  <si>
    <t xml:space="preserve"> CECOF S. ESTEBAN</t>
  </si>
  <si>
    <t>PRAIS</t>
  </si>
  <si>
    <t xml:space="preserve">        TASA        POR  1.000  hab.</t>
  </si>
  <si>
    <t>Endodoncia</t>
  </si>
  <si>
    <t>Rehabilitación Oral</t>
  </si>
  <si>
    <t>Rehabilitación Oral  Fija</t>
  </si>
  <si>
    <t>Cirugía Bucal y Traumatología Máxilo Facial</t>
  </si>
  <si>
    <t>Odontopediatría</t>
  </si>
  <si>
    <t>Ortodoncia</t>
  </si>
  <si>
    <t>Periodoncia</t>
  </si>
  <si>
    <t>Trastornos Temporo mandibulares</t>
  </si>
  <si>
    <t>ODONTOLOGIA</t>
  </si>
  <si>
    <t xml:space="preserve"> CECOF S. FELIPE </t>
  </si>
  <si>
    <t>70.- Cáncer de colon o colorectal en personas de 15 años y más</t>
  </si>
  <si>
    <t>71.- Cancer de ovario epitelial en personas de 15 años y más</t>
  </si>
  <si>
    <t>73.- Osteosarcoma en personas de 15 años y más</t>
  </si>
  <si>
    <t>75.- Trastorno bipolar en personas de 15 años y más</t>
  </si>
  <si>
    <t>76.- Hipotiroidismo mayores de 15 años</t>
  </si>
  <si>
    <t>Depto. de Salud de la Municipalidad de san felipe</t>
  </si>
  <si>
    <t>CECOF
LOS ANDES</t>
  </si>
  <si>
    <t>CECOF
CATEMU</t>
  </si>
  <si>
    <t>CATEGORIZACION</t>
  </si>
  <si>
    <t>C1</t>
  </si>
  <si>
    <t>C2</t>
  </si>
  <si>
    <t>C3</t>
  </si>
  <si>
    <t>C4</t>
  </si>
  <si>
    <t>C5</t>
  </si>
  <si>
    <t>SIN CATEG.</t>
  </si>
  <si>
    <t>CONS. SUR
MUNICIPALES</t>
  </si>
  <si>
    <t>BEBIDA LACTEA</t>
  </si>
  <si>
    <t xml:space="preserve"> PROGRAMA ADULTO  MAYOR  KILOS  DISTRIBUIDOS</t>
  </si>
  <si>
    <t>S.  REHABILITACION</t>
  </si>
  <si>
    <t>Imagenología Oral y Maxilofacial</t>
  </si>
  <si>
    <t>Patología Oral</t>
  </si>
  <si>
    <t>Implantología Buco Maxilofacial</t>
  </si>
  <si>
    <t>CONSULTAS NUEVAS APS/TOTAL CONS.</t>
  </si>
  <si>
    <t>SERVICIO  DE SALUD   ACONCAGUA</t>
  </si>
  <si>
    <t xml:space="preserve"> U.T.I. PEDIATRIA</t>
  </si>
  <si>
    <t>CODIGO</t>
  </si>
  <si>
    <t>AREAS</t>
  </si>
  <si>
    <t xml:space="preserve"> AREA MED.Q-BASICA</t>
  </si>
  <si>
    <t xml:space="preserve"> AREA MED. QUIR. MED</t>
  </si>
  <si>
    <t xml:space="preserve"> PEDIATRIA BASICA</t>
  </si>
  <si>
    <t xml:space="preserve"> A.M.QUIR.PED. BAS.</t>
  </si>
  <si>
    <t xml:space="preserve"> HOSP. PUTAENDO</t>
  </si>
  <si>
    <t>Nota: 2010 Hospital redujo  camas  por  el  sismo</t>
  </si>
  <si>
    <t>Nota: Categorización  NO  incluye  urgencias  Obstetricas</t>
  </si>
  <si>
    <t xml:space="preserve">Tasa de Letalidad               = </t>
  </si>
  <si>
    <t>TENDENCIA   DEFUNCIONES POR GRUPO DE CAUSAS</t>
  </si>
  <si>
    <t>TASA   DEFUNCIONES POR GRUPO DE CAUSAS</t>
  </si>
  <si>
    <t>CATEG_A1</t>
  </si>
  <si>
    <t>CATEG_A2</t>
  </si>
  <si>
    <t>CATEG_A3</t>
  </si>
  <si>
    <t>CATEG_B1</t>
  </si>
  <si>
    <t>CATEG_B2</t>
  </si>
  <si>
    <t>CATEG_B3</t>
  </si>
  <si>
    <t>CATEG_C1</t>
  </si>
  <si>
    <t>CATEG_C2</t>
  </si>
  <si>
    <t>CATEG_C3</t>
  </si>
  <si>
    <t>CATEG_D1</t>
  </si>
  <si>
    <t>CATEG_D2</t>
  </si>
  <si>
    <t>CATEG_D3</t>
  </si>
  <si>
    <t> 403 - ÁREA MÉDICA QUIRURGICO</t>
  </si>
  <si>
    <t> 409 - PEDIATRÍA INDIFERENCIADA</t>
  </si>
  <si>
    <t> 413 - NEONATOLOGÍA CUNAS</t>
  </si>
  <si>
    <t> 416 - OBSTETRICIA Y GINECOLOGÍA</t>
  </si>
  <si>
    <t> 405 - UNIDAD DE CUIDADOS INTENSIVOS     (UCI) ADULTO</t>
  </si>
  <si>
    <t> 406 - UNIDAD DE TRATAMIENTO INTERMEDIO
              (UTI) INDIFERENCIADO</t>
  </si>
  <si>
    <t>415 - UNIDAD DE TRATAMIENTO INTERMEDIO
              (UTI) NEONATOLOGÍA</t>
  </si>
  <si>
    <t>412 - UNIDAD DE TRATAMIENTO INTERMEDIO (UTI)
          PEDIATRÍA</t>
  </si>
  <si>
    <t> 414 - UNIDAD DE CUIDADOS INTENSIVOS (UCI) 
           NEONATOLOGÍA</t>
  </si>
  <si>
    <t> 404 - ÁREA MÉDICA QUIRURGICA  MEDIOS</t>
  </si>
  <si>
    <t> 407 - PEDIATRÍA INDIFERENCIADA</t>
  </si>
  <si>
    <t> 413 - NEONATOLOGÍA INCUBADORA</t>
  </si>
  <si>
    <t>SERVICIOS  CLINICOS</t>
  </si>
  <si>
    <t>Es  la  proporción de personas que  mueren  por  una  enfermedad entre  los 
afectados por  la  misma en  un  periodo y  área determinada.</t>
  </si>
  <si>
    <t> 406 - UNIDAD DE TRATAMIENTO 
            INTERMEDIO (UTI) INDIFERENCIADO</t>
  </si>
  <si>
    <t>Categorizado</t>
  </si>
  <si>
    <t xml:space="preserve">Ocupado </t>
  </si>
  <si>
    <t>Categorizados  D2-D3</t>
  </si>
  <si>
    <t xml:space="preserve">Tasa de Mortalidad Materna  Tardia   =  </t>
  </si>
  <si>
    <r>
      <t xml:space="preserve">Tasa de Mortalidad Infantil Tardía   </t>
    </r>
    <r>
      <rPr>
        <sz val="10"/>
        <rFont val="Arial"/>
        <family val="2"/>
      </rPr>
      <t xml:space="preserve">  =  </t>
    </r>
  </si>
  <si>
    <t>SAN FELIPE EL REAL</t>
  </si>
  <si>
    <t>SEGISMUNDO ITURRA</t>
  </si>
  <si>
    <t>CORDILLERA ANDINA</t>
  </si>
  <si>
    <t>CENTENARIO</t>
  </si>
  <si>
    <t>C.SEGISMUNDO ITURRA</t>
  </si>
  <si>
    <t>C.SAN FELIPE EL  REAL</t>
  </si>
  <si>
    <t>CORDILLERA  ANDINA</t>
  </si>
  <si>
    <t xml:space="preserve"> CESFAM  CENTENARIO</t>
  </si>
  <si>
    <t xml:space="preserve"> CESFAM  C. ANDINA</t>
  </si>
  <si>
    <t>CESFAM CALLE  LARGA</t>
  </si>
  <si>
    <t>CESFAM RINCONADA</t>
  </si>
  <si>
    <t xml:space="preserve"> CESFAM CURIMON</t>
  </si>
  <si>
    <t xml:space="preserve"> CESFAM PUTAENDO</t>
  </si>
  <si>
    <t>CESFAM STA. MARIA</t>
  </si>
  <si>
    <t>CESFAM PANQUEHUE</t>
  </si>
  <si>
    <t xml:space="preserve"> CESFAM LLAY  LLAY</t>
  </si>
  <si>
    <t>CESFAM  CATEMU</t>
  </si>
  <si>
    <t>CESFAM S. ITURRA</t>
  </si>
  <si>
    <t xml:space="preserve"> CESFAM S. FELIPE EL REAL</t>
  </si>
  <si>
    <t>CESFAM S. ESTEBAN</t>
  </si>
  <si>
    <t>SGISMUNDO
ITURRA</t>
  </si>
  <si>
    <t>SAN FELIPE
EL REAL</t>
  </si>
  <si>
    <t>CESFAM
CENTENARIO</t>
  </si>
  <si>
    <t>OTROS TRASTORNOS DEL COMPORTAMIENTO Y DE LAS EMOCIONES DE COMIENZO HABITUAL EN LA INFANCIA Y ADOLESCENCIA</t>
  </si>
  <si>
    <t>TRASTORNO DE ANSIEDAD DE SEPARACIÓN EN LA INFANCIA</t>
  </si>
  <si>
    <t>TRASTORNO DISOCIAL DESAFIANTE Y OPOSICIONISTA</t>
  </si>
  <si>
    <t>TRASTORNO HIPERCINÉTICO</t>
  </si>
  <si>
    <t>CONSUMO PERJUDICIAL O DEPENDENCIA COMO DROGA PRINCIPAL</t>
  </si>
  <si>
    <t>CESFAM CENTENARIO</t>
  </si>
  <si>
    <t>CESFAM CORDILLERA</t>
  </si>
  <si>
    <t>15 a 19</t>
  </si>
  <si>
    <t>20 a 24</t>
  </si>
  <si>
    <t>25 a 29</t>
  </si>
  <si>
    <t>30 a 34</t>
  </si>
  <si>
    <t>35 a 39</t>
  </si>
  <si>
    <t>40 a 44</t>
  </si>
  <si>
    <t>45 a 49</t>
  </si>
  <si>
    <t>50 a 54</t>
  </si>
  <si>
    <t>55 a 59</t>
  </si>
  <si>
    <t>60 a 64</t>
  </si>
  <si>
    <t>65 a 69</t>
  </si>
  <si>
    <t>70 a 74</t>
  </si>
  <si>
    <t>75 a 79</t>
  </si>
  <si>
    <t>80 y más</t>
  </si>
  <si>
    <t xml:space="preserve"> CIRUGIA  INFANTIL</t>
  </si>
  <si>
    <t>Ginecología  Patología Cervical</t>
  </si>
  <si>
    <t xml:space="preserve"> HOSP.PSIQUIATRICO</t>
  </si>
  <si>
    <t xml:space="preserve"> CESFAM CENTENARIO</t>
  </si>
  <si>
    <t xml:space="preserve"> CESFAM C. ANDINA</t>
  </si>
  <si>
    <t xml:space="preserve"> CESFAM  S. ITURRA</t>
  </si>
  <si>
    <t xml:space="preserve"> CONS. S. FELIPE EL REAL</t>
  </si>
  <si>
    <t xml:space="preserve"> CESFAM CORDILLERA</t>
  </si>
  <si>
    <t>HIPERTENSOS</t>
  </si>
  <si>
    <t>DIABETICOS</t>
  </si>
  <si>
    <t>DISLIPIDEMICOS</t>
  </si>
  <si>
    <t>ANTECEDENTES DE INFARTO AGUDO AL MIOCARDIO (IAM)</t>
  </si>
  <si>
    <t xml:space="preserve">ANTECEDENTES DE ENF. CEREBRO VASCULAR </t>
  </si>
  <si>
    <t>NUMERO DE PERSONAS EN PSCV</t>
  </si>
  <si>
    <t>TABAQUISMO</t>
  </si>
  <si>
    <t>OBESIDAD</t>
  </si>
  <si>
    <t>s/i</t>
  </si>
  <si>
    <t>POBLACIÓN  15  AÑOS  Y  MAS</t>
  </si>
  <si>
    <t>SERVICIO  SALUD  ACONCAGUA</t>
  </si>
  <si>
    <t>-</t>
  </si>
  <si>
    <t>PORCENTAJE   DE  POBLACION  DE  15  AÑOS  Y  MAS  BAJO  CONTROL</t>
  </si>
  <si>
    <t>C.Larga.</t>
  </si>
  <si>
    <t>L.Andes</t>
  </si>
  <si>
    <t>S.Est.</t>
  </si>
  <si>
    <t>Rinc.</t>
  </si>
  <si>
    <t>S.Felipe</t>
  </si>
  <si>
    <t>Llay</t>
  </si>
  <si>
    <t>Panq.</t>
  </si>
  <si>
    <t>S.Maria</t>
  </si>
  <si>
    <t xml:space="preserve"> AREA MED. ADULTO  C.BASICO</t>
  </si>
  <si>
    <t>Prologo</t>
  </si>
  <si>
    <t>Tendencia   Enfermedades Transmisibles...............................................................</t>
  </si>
  <si>
    <t xml:space="preserve">Pobl. Inf. bajo  control según  Comunas y Localidad, calificación  N.C.H.S.     P/E,   P/T  y  T/E </t>
  </si>
  <si>
    <t>1.-</t>
  </si>
  <si>
    <t>Perfil de egresos hosp. índice ocupacional y promedio días estada Servicio Salud</t>
  </si>
  <si>
    <t>Perfil de egresos hosp. índice ocupacional y promedio días estada Hospital San Camilo</t>
  </si>
  <si>
    <t>Perfil de egresos hosp. índice ocupacional y promedio días estada Hospital Los  Andes</t>
  </si>
  <si>
    <t>Perfil de egresos hosp. índice ocupacional y promedio días estada Hospital Llay  llay</t>
  </si>
  <si>
    <t>Perfil de egresos hosp. índice ocupacional y promedio días estada Hospital Putaendo</t>
  </si>
  <si>
    <t>Perfil de egresos hosp. índice ocupacional y promedio días estada Hospital Psiquiatrico</t>
  </si>
  <si>
    <t>Censo Camas  consolidado  y Servicio  de  Salud....................................</t>
  </si>
  <si>
    <t>CONSOLIDADO      CATEGORIZACION    DIAS  DE  ESTADA</t>
  </si>
  <si>
    <t>CATEGORIZACION  DIAS  ESTADA  HOSPITAL      SAN   FELIPE</t>
  </si>
  <si>
    <t>CATEGORIZACION  DIAS  ESTADA  HOSPITAL    LOS  ANDES</t>
  </si>
  <si>
    <t>Consolidado categorización  dias  estada  Servicio  de  Salud....................................</t>
  </si>
  <si>
    <t>Censo Camas  consolidado  Hospital  San Camilo</t>
  </si>
  <si>
    <t>Consolidado categorización  dias  estada  Hospital  San  Camilo........................</t>
  </si>
  <si>
    <t>Censo Camas  consolidado  Hospital  Los  Andes</t>
  </si>
  <si>
    <t>Consolidado categorización  dias  estada  Hospital  Los  Andes</t>
  </si>
  <si>
    <t>Censo Camas  consolidado  Hospital  Llay  Llay</t>
  </si>
  <si>
    <t>Censo Camas  consolidado  Hospital  Putaendo</t>
  </si>
  <si>
    <t>Censo Camas  consolidado  Hospital  Psiquiatrico</t>
  </si>
  <si>
    <t>Mortalidad por grupo de causas según  Comunas..y  Grupos Etareos...........................</t>
  </si>
  <si>
    <t>Diagnóstico nutricional  integrado menores  de  6  años     Serv. Salud  y Comunas...................</t>
  </si>
  <si>
    <t>Nacimientos  y  Partos  por  Establecimientos y graficos según edad  de  la  madre..............................</t>
  </si>
  <si>
    <t>Consultas  de  especialidad  realizadas   por medicos  a  honorarios</t>
  </si>
  <si>
    <t>Resolutividad Atención  Odontologica nivel  Primario</t>
  </si>
  <si>
    <t>Pacientes  bajo control  en  Salud  mental nivel  primario y secundario………………</t>
  </si>
  <si>
    <t>Personas  bajo control  según  patologia y  factores  de  riesgo</t>
  </si>
  <si>
    <t xml:space="preserve"> EGRESOS HOSPITALARIOS POR GRUPO DE CAUSAS SEGUN ESTABLECIMIENTOS Y PORCENTAJE SEGÚN PATOLOGIA</t>
  </si>
  <si>
    <t>causa,  Comunas  y  grupos  etareos</t>
  </si>
  <si>
    <t>39.</t>
  </si>
  <si>
    <t>50.</t>
  </si>
  <si>
    <t>51.</t>
  </si>
  <si>
    <t>52.</t>
  </si>
  <si>
    <t>53.</t>
  </si>
  <si>
    <t>54.</t>
  </si>
  <si>
    <t>55.</t>
  </si>
  <si>
    <t>56.</t>
  </si>
  <si>
    <t>57.</t>
  </si>
  <si>
    <t>58.</t>
  </si>
  <si>
    <t>59.</t>
  </si>
  <si>
    <t>60.</t>
  </si>
  <si>
    <t>61.</t>
  </si>
  <si>
    <t>62.</t>
  </si>
  <si>
    <t>63.</t>
  </si>
  <si>
    <t>CONSULTAS  NUEVAS  ATENDIDAS</t>
  </si>
  <si>
    <t>74.- Tratamiento quirúrgico de lesiones de la válvula aórtica en
         personas de 15 años y más</t>
  </si>
  <si>
    <t>79.- Tratamiento quirúrgico de lesiones de las válvulas mitral
           y tricuspide en personas de 15 años y más</t>
  </si>
  <si>
    <t xml:space="preserve">77.- Tratamiento  de   Hipoacusia moderada en menorea
          de  2 años. </t>
  </si>
  <si>
    <t>78.- Lupus  eritematoso sistémico</t>
  </si>
  <si>
    <t>72.- Cancer  Vesical (caves) en  personas de  15 años  y  más</t>
  </si>
  <si>
    <t>80.- Tratamiento de  erradicación  del Helicobacter Pylori.</t>
  </si>
  <si>
    <t>Nota: Personas  atendidas, extraida de   base  de  datos  GES</t>
  </si>
  <si>
    <t>Pag.</t>
  </si>
  <si>
    <t>I  N  D  I  C  E</t>
  </si>
  <si>
    <r>
      <t xml:space="preserve">                                                                   </t>
    </r>
    <r>
      <rPr>
        <b/>
        <sz val="10"/>
        <rFont val="Arial"/>
        <family val="2"/>
      </rPr>
      <t>MATERIAS</t>
    </r>
  </si>
  <si>
    <t xml:space="preserve">   PROLOGO</t>
  </si>
  <si>
    <t xml:space="preserve">   CAPITULO  I  INFORMACION  BASICA</t>
  </si>
  <si>
    <t xml:space="preserve">  CAPITULO  II  INDICADORES   BIODEMOGRAFICOS</t>
  </si>
  <si>
    <t xml:space="preserve">  CAPITULO  III  ACTIVIDADES SOBRE  LAS  PERSONAS</t>
  </si>
  <si>
    <t>GLOSARIO</t>
  </si>
  <si>
    <t>Los Andes  Centenario</t>
  </si>
  <si>
    <t>Los Andes centenario</t>
  </si>
  <si>
    <t>L.A.</t>
  </si>
  <si>
    <t>S.E.</t>
  </si>
  <si>
    <t>C.L.</t>
  </si>
  <si>
    <t>RIN.</t>
  </si>
  <si>
    <t>S.F.</t>
  </si>
  <si>
    <t>PUT.</t>
  </si>
  <si>
    <t>S.M.</t>
  </si>
  <si>
    <t>PANQ.</t>
  </si>
  <si>
    <t>LL.</t>
  </si>
  <si>
    <t>CAT.</t>
  </si>
  <si>
    <t>MUNICIPAL</t>
  </si>
  <si>
    <t>D.A.P.
*</t>
  </si>
  <si>
    <t xml:space="preserve"> U.C.I. PEDIATRIA</t>
  </si>
  <si>
    <t>411.- ÁREA CUIDADOS INTENSIVOS PEDIATRICOS (UCI)</t>
  </si>
  <si>
    <t xml:space="preserve">TENDENCIA   DE LAS  PRINCIPALES  </t>
  </si>
  <si>
    <t>INTERCONSULTAS /
CONS. NUEVAS APS</t>
  </si>
  <si>
    <t>CONSUMO PERJUDICIAL O DEPENDENCIA DE ALCOHOL</t>
  </si>
  <si>
    <t>TECNICO  PARAMEDICO</t>
  </si>
  <si>
    <t>PORCENTAJE  DE  CATEGORIZACION   C4 Y C5  DEL  TOTAL  CATEGORIZADO</t>
  </si>
  <si>
    <t>PORCENTAJE</t>
  </si>
  <si>
    <t>LEY  Nº  19,378</t>
  </si>
  <si>
    <t>NUMERO  DE  CONSULTAS  ESPECIALIDAD   POR  ESTABLECIMIENTOS</t>
  </si>
  <si>
    <t>Años de Vida Potencial Perdidos, AVPP  =</t>
  </si>
  <si>
    <t>Ilustra sobre las perdida que sufre la sociedad como consecuencia de la muerte de personas jóvenes o de fallecimiento prematuro. Se considera una muerte prematura cuando ocurre antes de los 80 años.</t>
  </si>
  <si>
    <t xml:space="preserve"> ATENCION  *</t>
  </si>
  <si>
    <t>* Nota:  incluidos  en  cuadro  anterior</t>
  </si>
  <si>
    <t>LAS COIMAS</t>
  </si>
  <si>
    <t>CECOF  LAS  COIMAS</t>
  </si>
  <si>
    <t>|</t>
  </si>
  <si>
    <t>Cecof Las Coimas</t>
  </si>
  <si>
    <t>COSAM SAN FELIPE</t>
  </si>
  <si>
    <t>COSAM LOS ANDES</t>
  </si>
  <si>
    <t xml:space="preserve"> ELECTIVAS MAYORES  NO  AMBULATORIAS</t>
  </si>
  <si>
    <t xml:space="preserve"> ELECTIVAS MAYORES  AMBULATORIAS</t>
  </si>
  <si>
    <t>URGENCIAS  AMBULATORIAS</t>
  </si>
  <si>
    <t>URGENCIAS  NO  AMBULATORIAS</t>
  </si>
  <si>
    <t>CIRUGÍA VASCULAR PERIFÉRICA</t>
  </si>
  <si>
    <t>ANESTESIOLOGÍA</t>
  </si>
  <si>
    <t xml:space="preserve"> CONS. SALUD  FUNCIO.</t>
  </si>
  <si>
    <t>COSAM</t>
  </si>
  <si>
    <t>CECOF
PUTAENDO</t>
  </si>
  <si>
    <t xml:space="preserve"> COSAM  S.FELIPE</t>
  </si>
  <si>
    <t xml:space="preserve"> CECOF  PUTAENDO</t>
  </si>
  <si>
    <t xml:space="preserve"> CESFAM  S. ESTEBAN</t>
  </si>
  <si>
    <t xml:space="preserve"> CECOF PUTAENDO</t>
  </si>
  <si>
    <t>TETANO NEONATAL</t>
  </si>
  <si>
    <t>CONSULTORIO FUNCIONARIO</t>
  </si>
  <si>
    <t>COSAM  S.F.</t>
  </si>
  <si>
    <t>Hombre</t>
  </si>
  <si>
    <t>Mujer</t>
  </si>
  <si>
    <t xml:space="preserve">           -  Actividades Interceoptivas</t>
  </si>
  <si>
    <t xml:space="preserve">           -  Destartraje supragingival</t>
  </si>
  <si>
    <t>CESFAM S. FELIPE EL REAL</t>
  </si>
  <si>
    <t xml:space="preserve">CECOF S. FELIPE </t>
  </si>
  <si>
    <t>CESFAM CURIMON</t>
  </si>
  <si>
    <t>CESFAM PUTAENDO</t>
  </si>
  <si>
    <t>CECOF STA.  MARIA</t>
  </si>
  <si>
    <t>CESFAM LLAY  LLAY</t>
  </si>
  <si>
    <t>CECOF  CATEMU</t>
  </si>
  <si>
    <t>CECOF  S. ESTEBAN</t>
  </si>
  <si>
    <t>CESFAM  CENTENARIO</t>
  </si>
  <si>
    <t>CESFAM  C. ANDINA</t>
  </si>
  <si>
    <t>CECOF  LOS  ANDES</t>
  </si>
  <si>
    <t xml:space="preserve">           -  Examen de  salud  oral</t>
  </si>
  <si>
    <t xml:space="preserve"> CECOF PUITAENDO</t>
  </si>
  <si>
    <t xml:space="preserve"> CONS. FUNCIONARIOS</t>
  </si>
  <si>
    <t xml:space="preserve"> Consultorio de Santa Maria</t>
  </si>
  <si>
    <t xml:space="preserve"> Consultorio de Putaendo</t>
  </si>
  <si>
    <t xml:space="preserve"> Consultorio de Panquehue</t>
  </si>
  <si>
    <t xml:space="preserve"> Consultorio de Llay Llay</t>
  </si>
  <si>
    <t xml:space="preserve"> Consultorio de Catemu</t>
  </si>
  <si>
    <t xml:space="preserve"> Consultorio San Esteban</t>
  </si>
  <si>
    <t xml:space="preserve"> Consultorio Calle Larga</t>
  </si>
  <si>
    <t xml:space="preserve"> Consultorio Rinconada</t>
  </si>
  <si>
    <t xml:space="preserve"> Consultorio San Felipe</t>
  </si>
  <si>
    <t xml:space="preserve"> Consultorio San Felipe n° 2</t>
  </si>
  <si>
    <t xml:space="preserve"> Consultorio Curimon</t>
  </si>
  <si>
    <t>36.- Ortesis para personas &gt;de 45 años y &lt; de  65 años</t>
  </si>
  <si>
    <t>Fórmula de Prematuros (FP)</t>
  </si>
  <si>
    <t>Fórmula de Continuación (FC)</t>
  </si>
  <si>
    <t xml:space="preserve">
Extremos</t>
  </si>
  <si>
    <t xml:space="preserve">Prematuros 
</t>
  </si>
  <si>
    <t xml:space="preserve"> de la leche de vaca **</t>
  </si>
  <si>
    <t xml:space="preserve">Alergia a la proteína </t>
  </si>
  <si>
    <t>Fórmula Extensamente Hidrolizada (FEH)</t>
  </si>
  <si>
    <t>Fórmula Aminoacídica (FAA)</t>
  </si>
  <si>
    <t xml:space="preserve"> COSAM  SAN  FELIPE</t>
  </si>
  <si>
    <t xml:space="preserve"> CENTRO  SALUD  FUN.</t>
  </si>
  <si>
    <t>POBLACION  EN   CONTROL  PROGRAMA  SALUD  DEL  NIÑO  SEGÚN  COMUNA</t>
  </si>
  <si>
    <t>NIÑOS  MENORES  DE  UN  MES - 59 MESES</t>
  </si>
  <si>
    <t>NIÑOS DE  60 MESES - 9 AÑOS  11 MESES</t>
  </si>
  <si>
    <t>INDICADOR  IMC /EDAD</t>
  </si>
  <si>
    <t xml:space="preserve"> TALLA / EDAD</t>
  </si>
  <si>
    <t>RIESGO DE DESNUTRIR /
 DEFICIT PONDERAL</t>
  </si>
  <si>
    <t>SOBREPESO /
RIESGO OBESIDAD</t>
  </si>
  <si>
    <t>DESESNUTRICIÓN
  SECUNDARIA</t>
  </si>
  <si>
    <t>OBESO  SEVERO 
   60 MESES  A 9 AÑOS</t>
  </si>
  <si>
    <t>DIAGNOSTICO  NUTRICIONAL  INTEGRADO  DE   SALUD  DEL  NIÑO</t>
  </si>
  <si>
    <t>TOTAL  DEFUNCIONES POR GRUPO DE CAUSAS SEGUN GRUPOS ETAREOS Y  SEXO</t>
  </si>
  <si>
    <t>TOTAL  DEFUNCIONES POR GRUPO DE CAUSAS SEGUN COMUNAS Y SEXO</t>
  </si>
  <si>
    <t>COSAM LOS  ANDES</t>
  </si>
  <si>
    <t>PERSONAS BAJO CONTROL SEGÚN PATOLOGÍA Y FACTORES DE RIESGO (EXISTENCIA a diciembre)</t>
  </si>
  <si>
    <t>2013 - 2018</t>
  </si>
  <si>
    <t>COSAM
SAN FELIPE</t>
  </si>
  <si>
    <t>COSAM
LOS ANDES</t>
  </si>
  <si>
    <t>GENETICA</t>
  </si>
  <si>
    <t>PEDIATRÍA</t>
  </si>
  <si>
    <t>MEDICINA INTERNA</t>
  </si>
  <si>
    <t>NEONATOLOGÍA</t>
  </si>
  <si>
    <t>ENFERMEDAD RESPIRATORIA PEDIÁTRICA (BRONCOPULMONAR INFANTIL)</t>
  </si>
  <si>
    <t>ENFERMEDAD RESPIRATORIA DE ADULTO (BRONCOPULMONAR)</t>
  </si>
  <si>
    <t>CARDIOLOGÍA PEDIÁTRICA</t>
  </si>
  <si>
    <t>ENDOCRINOLOGÍA PEDIÁTRICA</t>
  </si>
  <si>
    <t>ENDOCRINOLOGÍA ADULTO</t>
  </si>
  <si>
    <t>GASTROENTEROLOGÍA PEDIÁTRICA</t>
  </si>
  <si>
    <t>GASTROENTEROLOGÍA ADULTO</t>
  </si>
  <si>
    <t>GENÉTICA CLÍNICA</t>
  </si>
  <si>
    <t>HEMATO-ONCOLOGÍA INFANTIL</t>
  </si>
  <si>
    <t>NEFROLOGÍA PEDIÁTRICA</t>
  </si>
  <si>
    <t>NEFROLOGÍA ADULTO</t>
  </si>
  <si>
    <t>NUTRIÓLOGO PEDIÁTRICO</t>
  </si>
  <si>
    <t>REUMATOLOGÍA PEDIÁTRICA</t>
  </si>
  <si>
    <t>DERMATOLOGÍA</t>
  </si>
  <si>
    <t>INFECTOLOGÍA PEDIÁTRICA</t>
  </si>
  <si>
    <t>INMUNOLOGÍA</t>
  </si>
  <si>
    <t>GERIATRÍA</t>
  </si>
  <si>
    <t>MEDICINA FÍSICA Y REHABILITACIÓN PEDIÁTRICA (FISIATRÍA PEDIÁTRICA)</t>
  </si>
  <si>
    <t>MEDICINA FÍSICA Y REHABILITACIÓN ADULTO (FISIATRÍA ADULTO)</t>
  </si>
  <si>
    <t>NEUROLOGÍA PEDIÁTRICA</t>
  </si>
  <si>
    <t>ONCOLOGÍA MÉDICA</t>
  </si>
  <si>
    <t>PSIQUIATRÍA PEDIÁTRICA Y DE LA ADOLESCENCIA</t>
  </si>
  <si>
    <t>CIRUGÍA PEDIÁTRICA</t>
  </si>
  <si>
    <t>CIRUGÍA DE CABEZA, CUELLO Y MAXILOFACIAL</t>
  </si>
  <si>
    <t>CIRUGÍA PLÁSTICA Y REPARADORA PEDIÁTRICA</t>
  </si>
  <si>
    <t>CIRUGÍA TÓRAX</t>
  </si>
  <si>
    <t>NEUROCIRUGÍA</t>
  </si>
  <si>
    <t>CIRUGÍA CARDIOVASCULAR</t>
  </si>
  <si>
    <t>OBSTETRICIA</t>
  </si>
  <si>
    <t>GINECOLOGÍA PEDIÁTRICA Y DE LA ADOLESCENCIA</t>
  </si>
  <si>
    <t>OFTALMOLOGÍA</t>
  </si>
  <si>
    <t>OTORRINOLARINGOLOGÍA</t>
  </si>
  <si>
    <t>TRAUMATOLOGÍA Y ORTOPEDIA PEDIÁTRICA</t>
  </si>
  <si>
    <t>UROLOGÍA PEDIÁTRICA</t>
  </si>
  <si>
    <t>MEDICINA FAMILIAR DEL NIÑO</t>
  </si>
  <si>
    <t>MEDICINA FAMILIAR</t>
  </si>
  <si>
    <t>DIABETOLOGÍA</t>
  </si>
  <si>
    <t>MEDICINA NUCLEAR (EXCLUYE INFORMES)</t>
  </si>
  <si>
    <t xml:space="preserve"> COSAM LOS  ANDES</t>
  </si>
  <si>
    <t xml:space="preserve"> COSAM  LOS  ANDES</t>
  </si>
  <si>
    <t xml:space="preserve"> CECOF de Catemu</t>
  </si>
  <si>
    <t>Prais</t>
  </si>
  <si>
    <t xml:space="preserve">PERSONAS CON DIAGNÓSTICOS DE TRASTORNOS MENTALES </t>
  </si>
  <si>
    <t>OTRAS DEMENCIAS (INCLUYE ALZHEIMER)  LEVE</t>
  </si>
  <si>
    <t>OTRAS DEMENCIAS (INCLUYE ALZHEIMER)  MODERADA</t>
  </si>
  <si>
    <t>OTRAS DEMENCIAS (INCLUYE ALZHEIMER)  AVANZADO</t>
  </si>
  <si>
    <t>CECOSF PADRE HUGO CORNELISSEN</t>
  </si>
  <si>
    <t>Los Andes cordillera</t>
  </si>
  <si>
    <t>CONSULTAS   DE  ESPECIALIDADES   REALIZADAS    POR COMPRA  DE  SERVICIO</t>
  </si>
  <si>
    <t xml:space="preserve"> CIRUGIA </t>
  </si>
  <si>
    <t>COSAM S-F</t>
  </si>
  <si>
    <t>COSAM  L.A.</t>
  </si>
  <si>
    <t xml:space="preserve"> MEDICINA FAMILIAR</t>
  </si>
  <si>
    <t xml:space="preserve">CONS. LOS ANDES N°1 </t>
  </si>
  <si>
    <t>S.FELIPE</t>
  </si>
  <si>
    <t xml:space="preserve"> COSAM  LOS ANDES</t>
  </si>
  <si>
    <t>Cirugia Mayor Anbulatoria (CMA)             =</t>
  </si>
  <si>
    <t>Corresponde a todo acto quirurgico mayor que  se  resliza en un pabellón ambulatorio o central, luego  del  cual  el  paciente, pasado un periodo de recuperación, vuelve a su  domicilio el mismo  día. Se considera tambien CMA los casos en que el paciente pernocta en el establecimiento siempre que su estadía sea menor o igual a 24 horas y que ésta se  realice en sala de recuperación u otra  destinada a este fin, y no es una cama de dotación.</t>
  </si>
  <si>
    <t>Nota:  Proyección  Censo  2017</t>
  </si>
  <si>
    <t>Nota: *  Proyección  Censo  2017</t>
  </si>
  <si>
    <t>Fuente  :  Censo  2019</t>
  </si>
  <si>
    <t xml:space="preserve"> COSAM LOS  SAN  FELIPE</t>
  </si>
  <si>
    <t>CONSULTAS  NUEVAS 2019</t>
  </si>
  <si>
    <t>INCREMENTO  CONSULTAS  NUEVAS  2019 - 2018</t>
  </si>
  <si>
    <t>COSAM L-A</t>
  </si>
  <si>
    <t xml:space="preserve"> COSAM Los  Andes</t>
  </si>
  <si>
    <t xml:space="preserve"> COSAM San  Felipe</t>
  </si>
  <si>
    <t xml:space="preserve"> CECOF San Esteban</t>
  </si>
  <si>
    <t>Fórmula de Inicio (FI)</t>
  </si>
  <si>
    <t>SUICIDIO  IDEACIÓN</t>
  </si>
  <si>
    <t>SUICIDIO  INTENTO</t>
  </si>
  <si>
    <t>Fuente   :  REM  P  de  dicembre 2019</t>
  </si>
  <si>
    <t>TRASTORNOS DE ANSIEDAD POST TRAUMATICO</t>
  </si>
  <si>
    <t>TRASTORNOS DE ANSIEDAD PANICO CON AGOROFOBIA</t>
  </si>
  <si>
    <t>TRASTORNOS DE ANSIEDAD PANICO SIN AGOROFOBIA</t>
  </si>
  <si>
    <t>TRASTORNOS DE ANSIEDAD FOBIAS  SOCIALES</t>
  </si>
  <si>
    <t>TRASTORNOS DE ANSIEDAD GENERALIZADA</t>
  </si>
  <si>
    <t>TRASTORNOS DE ANSIEDAD  OTROS</t>
  </si>
  <si>
    <t>EPILEPSIA</t>
  </si>
  <si>
    <t>2014  -  2019</t>
  </si>
  <si>
    <t xml:space="preserve">  PREVENCION*  ODONTOLOGICA  EN  USUARIOS  DEL  SISTEMA  HABITANTE  AÑO 
EN  MENORES    20  AÑOS    ATENCION  PRIMARIA</t>
  </si>
  <si>
    <t xml:space="preserve"> CIRUGIA CARDIOVASCULAR</t>
  </si>
  <si>
    <t>INDICADOR  PERIMETRO DE CINTURA  /EDAD</t>
  </si>
  <si>
    <t>RIESGO DE OBESIDAD
ABDOMINAL(75&lt;P&lt;90)</t>
  </si>
  <si>
    <t>OBESIDAD ABDOMINAL(&gt;P90)</t>
  </si>
  <si>
    <t>NORMAL
 (&lt;P75)</t>
  </si>
  <si>
    <t>Nota:  Pob.  Menor  de  20  años( 2019 ajustada  por  censo 2017)</t>
  </si>
  <si>
    <t>Nota:  sin   informacion</t>
  </si>
  <si>
    <t>Nota :  Dato  no  disponible  en  la  pagina  del  DEIS  para  el  año  2019</t>
  </si>
  <si>
    <t>Pobl. según País , Región , Serv. Salud y Comunas 2011 - 2020............</t>
  </si>
  <si>
    <t>Pobl. Total Serv. Salud según localidad y grupos  etáreos  2020.............</t>
  </si>
  <si>
    <t>Pobl. Femenina  Serv. Salud   2020........................................................</t>
  </si>
  <si>
    <t>Pirámide de Población  1990  -  2020....................................................</t>
  </si>
  <si>
    <t>Crecimiento vegetativo  Servicio de Salud y Comunas  2011 - 2020.........</t>
  </si>
  <si>
    <t>Dotación servicio de  Salud  Diciembre  2020 ............................................</t>
  </si>
  <si>
    <t>Dotación Funcionarios Municipales  Diciembre  2020 ............................................</t>
  </si>
  <si>
    <t>Natalidad según País , Región y Comunas 2011 - 2020 .........................</t>
  </si>
  <si>
    <t>Mort. Fetal según País , Región y Comunas 2011 - 2020........................</t>
  </si>
  <si>
    <t>Mort. Perinatal según País , Región y Comunas 2011 - 2020..................</t>
  </si>
  <si>
    <t>Mort. Neo-Precóz según País , Región y Comunas 2011 - 2020..............</t>
  </si>
  <si>
    <t>Mort. Neonatal según País , Región y Comunas 2011 - 2020..................</t>
  </si>
  <si>
    <t>Mort. Inf.  Tardía según País , Región y Comunas 2011 - 2020................</t>
  </si>
  <si>
    <t>Mort. Infantil según País , Región y Comunas 2011 - 2020......................</t>
  </si>
  <si>
    <t>Mort. Materna según País , Región y Comunas 2011 - 2020....................</t>
  </si>
  <si>
    <t>Mort. General según País , Región y Comunas 2011 - 2020...................</t>
  </si>
  <si>
    <t>Tendencia  de  defunciones  2011 - 2020</t>
  </si>
  <si>
    <t>Años  de  vida  Potencialmente  perdidos AVPP año  2020....................</t>
  </si>
  <si>
    <t>Est. nut. embarazada al  31 de Diciembre 2019 -  2020.........................</t>
  </si>
  <si>
    <t>Variación  Interconsultas APS  en  el  nivel secundario  2019 - 2020…………..</t>
  </si>
  <si>
    <t>Consultas Médicas ; tasa consulta medica  habitante año   2011 - 2020......................................</t>
  </si>
  <si>
    <t>Índice consulta  urgencia  2016 a 2020 .................................................</t>
  </si>
  <si>
    <t>Atenciones  médicas  de  urgencia  según  establecimiento  2015 - 2020</t>
  </si>
  <si>
    <t>Actos  Quirurgicos y  Examenes de Diagnostico  por  Establecimientos   2019  - 2020.................</t>
  </si>
  <si>
    <t>Tasa  de examenes  de Laboratorio e  Imagenologia…2011 - 2020</t>
  </si>
  <si>
    <t>Consolidado  Egresos  Hospitalarios por causa y Comunas y  grupos  etareos   2020...............................</t>
  </si>
  <si>
    <t>Egresos  Hospitalarios por causa; establecimientos y  porcentaje según  patologia  2020...............................</t>
  </si>
  <si>
    <t>Egresos  Hospital San Camilo por causa,  Comunas  y  grupos  etareos  2020..............................</t>
  </si>
  <si>
    <t>Egresos  Hospital Los  Andes por causa,  Comunas  y  grupos  etareos  2020..............................</t>
  </si>
  <si>
    <t>Egresos  Hospital Llay  llay por causa,  Comunas  y  grupos  etareos  2020..............................</t>
  </si>
  <si>
    <t>Egresos  Hospital Putaendo por causa,  Comunas  y  grupos  etareos  2020..............................</t>
  </si>
  <si>
    <t>Egresos  Hospital Psiquiatrico por causa,  Comunas  y  grupos  etareos  2020..............................</t>
  </si>
  <si>
    <t>SERVICIO DE SALUD   ACONCAGUA  2020</t>
  </si>
  <si>
    <t>SERVICIO DE SALUD   ACONCAGUA   2020</t>
  </si>
  <si>
    <t>AÑO 2020</t>
  </si>
  <si>
    <t>2014 -  2020</t>
  </si>
  <si>
    <t xml:space="preserve"> T O T A L  Catemu</t>
  </si>
  <si>
    <t>2011  -  2020</t>
  </si>
  <si>
    <t>ACTOS   QUIRURGICOS  Y MISCELANEAS  POR ESTABLECIMIENTOS  2019  -  2020</t>
  </si>
  <si>
    <t>EXA. DE DIAGNOSTICO  Y  PROCEDIMIENTOS  POR  ESTABLECIMIENTOS   2019 -  2020</t>
  </si>
  <si>
    <t>2011  - 2020</t>
  </si>
  <si>
    <t>2016 -  2020</t>
  </si>
  <si>
    <t>SERVICIO DE SALUD   ACONCAGUA    2020</t>
  </si>
  <si>
    <t>INTERCONSULTAS  APS DERIVADAS AL NIVEL SECUNDARIO  Y  CONSULTAS  NUEVAS    ATENDIDAS  2020</t>
  </si>
  <si>
    <t>VARIACION     DICIEMBRE    2019    -     2020</t>
  </si>
  <si>
    <t>DICIEMBRE    2020</t>
  </si>
  <si>
    <t>2014 - 2020</t>
  </si>
  <si>
    <t>AÑO   2020  :   DATOS POR RESIDENCIA</t>
  </si>
  <si>
    <t>AÑOS   2011  - 2020</t>
  </si>
  <si>
    <t>UO71</t>
  </si>
  <si>
    <t>UO72</t>
  </si>
  <si>
    <t xml:space="preserve"> COVID 19 POSITIVO</t>
  </si>
  <si>
    <t xml:space="preserve"> COVID 19 SOSPECHOSO</t>
  </si>
  <si>
    <t>2017 - 2020</t>
  </si>
  <si>
    <t>CARDIOLOGÍA ADULTO</t>
  </si>
  <si>
    <t>HEMATOLOGÍA ADULTO</t>
  </si>
  <si>
    <t>NUTRIÓLOGO ADULTO</t>
  </si>
  <si>
    <t>REUMATOLOGÍA ADULTO</t>
  </si>
  <si>
    <t>INFECTOLOGÍA ADULTO</t>
  </si>
  <si>
    <t>NEUROLOGÍA ADULTO</t>
  </si>
  <si>
    <t>PSIQUIATRÍA ADULTO</t>
  </si>
  <si>
    <t>CIRUGÍA GENERAL ADULTO</t>
  </si>
  <si>
    <t>CIRUGÍA DIGESTIVA (ALTA)</t>
  </si>
  <si>
    <t>CIRUGÍA PLÁSTICA Y REPARADORA ADULTO</t>
  </si>
  <si>
    <t>COLOPROCTOLOGÍA (CIRUGIA DIGESTIVA BAJA)</t>
  </si>
  <si>
    <t>GINECOLOGÍA ADULTO</t>
  </si>
  <si>
    <t>TRAUMATOLOGÍA Y ORTOPEDIA ADULTO</t>
  </si>
  <si>
    <t>UROLOGÍA ADULTO</t>
  </si>
  <si>
    <t>MEDICINA FAMILIAR ADULTO</t>
  </si>
  <si>
    <t>IMAGENOLOGÍA</t>
  </si>
  <si>
    <t>RADIOTERAPIA ONCOLÓGICA</t>
  </si>
  <si>
    <t>INTERCONSULTAS  MEDICAS  Y  ODONTOLOGICAS  GENERADAS  EN  ATENCION  PRIMARIA    2020</t>
  </si>
  <si>
    <t>CONSULTAS  NUEVAS 2020</t>
  </si>
  <si>
    <t>PERSONAS   ATENDIDAS  Y  PRESTACIONES  GES      2020</t>
  </si>
  <si>
    <t>SEGUN    ESTABLECIMIENTOS    2020</t>
  </si>
  <si>
    <t>SERVICIO SALUD  ACONCAGUA   2020</t>
  </si>
  <si>
    <t xml:space="preserve">       REGISTRO DE ATENCIONES OIRS  AÑO 2020</t>
  </si>
  <si>
    <t>RESOLUTIVIDAD   ATENCIÓN  MEDICA  Y  ODONTOLOGICA
                  EN      ATENCION   PRIMARIA   2020</t>
  </si>
  <si>
    <t>VARIACION    INTERCONSULTAS  APS DERIVADAS AL NIVEL SECUNDARIO   2019 - 2020</t>
  </si>
  <si>
    <t>DIRECCION- PRAIS</t>
  </si>
  <si>
    <t>33.</t>
  </si>
  <si>
    <t>Nota :  Dato  no  disponible  en  la  pagina  del  DEIS  para  el  año  2018-2020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</si>
</sst>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164" formatCode="_(* #,##0.00_);_(* \(#,##0.00\);_(* &quot;-&quot;??_);_(@_)"/>
    <numFmt numFmtId="165" formatCode="0.0"/>
    <numFmt numFmtId="166" formatCode="#,##0.0"/>
    <numFmt numFmtId="167" formatCode="#,##0.0000"/>
    <numFmt numFmtId="168" formatCode="0.000"/>
    <numFmt numFmtId="169" formatCode="0.0_)"/>
    <numFmt numFmtId="170" formatCode="#.##0"/>
    <numFmt numFmtId="171" formatCode="#.###"/>
    <numFmt numFmtId="172" formatCode="#.000"/>
    <numFmt numFmtId="173" formatCode="#,##0.000"/>
    <numFmt numFmtId="174" formatCode="_-* #,##0_-;\-* #,##0_-;_-* &quot;-&quot;??_-;_-@_-"/>
    <numFmt numFmtId="175" formatCode="0.0000"/>
  </numFmts>
  <fonts count="86">
    <font>
      <sz val="10"/>
      <name val="Arial"/>
    </font>
    <font>
      <b/>
      <sz val="10"/>
      <name val="Arial"/>
      <family val="2"/>
    </font>
    <font>
      <sz val="10"/>
      <name val="Arial"/>
      <family val="2"/>
    </font>
    <font>
      <b/>
      <sz val="10"/>
      <color indexed="56"/>
      <name val="Arial"/>
      <family val="2"/>
    </font>
    <font>
      <b/>
      <sz val="12"/>
      <color indexed="56"/>
      <name val="Arial"/>
      <family val="2"/>
    </font>
    <font>
      <sz val="10"/>
      <color indexed="56"/>
      <name val="Arial"/>
      <family val="2"/>
    </font>
    <font>
      <sz val="9"/>
      <name val="Arial"/>
      <family val="2"/>
    </font>
    <font>
      <b/>
      <sz val="9"/>
      <name val="Arial"/>
      <family val="2"/>
    </font>
    <font>
      <sz val="10"/>
      <color indexed="10"/>
      <name val="Arial"/>
      <family val="2"/>
    </font>
    <font>
      <sz val="8"/>
      <name val="Arial"/>
      <family val="2"/>
    </font>
    <font>
      <sz val="7"/>
      <name val="Arial"/>
      <family val="2"/>
    </font>
    <font>
      <sz val="10"/>
      <color indexed="32"/>
      <name val="Arial"/>
      <family val="2"/>
    </font>
    <font>
      <b/>
      <sz val="10"/>
      <color indexed="10"/>
      <name val="Arial"/>
      <family val="2"/>
    </font>
    <font>
      <b/>
      <sz val="9"/>
      <color indexed="56"/>
      <name val="Arial"/>
      <family val="2"/>
    </font>
    <font>
      <b/>
      <sz val="8"/>
      <name val="Arial"/>
      <family val="2"/>
    </font>
    <font>
      <b/>
      <sz val="10"/>
      <name val="Arial"/>
      <family val="2"/>
    </font>
    <font>
      <b/>
      <sz val="7"/>
      <name val="Arial"/>
      <family val="2"/>
    </font>
    <font>
      <b/>
      <sz val="11"/>
      <color indexed="32"/>
      <name val="Arial"/>
      <family val="2"/>
    </font>
    <font>
      <b/>
      <sz val="12"/>
      <color indexed="62"/>
      <name val="Arial"/>
      <family val="2"/>
    </font>
    <font>
      <sz val="8"/>
      <name val="Arial"/>
      <family val="2"/>
    </font>
    <font>
      <b/>
      <sz val="9"/>
      <name val="Arial"/>
      <family val="2"/>
    </font>
    <font>
      <b/>
      <sz val="10"/>
      <color indexed="56"/>
      <name val="Arial"/>
      <family val="2"/>
    </font>
    <font>
      <b/>
      <sz val="10"/>
      <color indexed="62"/>
      <name val="Arial"/>
      <family val="2"/>
    </font>
    <font>
      <sz val="10"/>
      <color indexed="8"/>
      <name val="Arial"/>
      <family val="2"/>
    </font>
    <font>
      <b/>
      <sz val="12"/>
      <color indexed="56"/>
      <name val="Arial"/>
      <family val="2"/>
    </font>
    <font>
      <sz val="10"/>
      <color indexed="8"/>
      <name val="Arial"/>
      <family val="2"/>
    </font>
    <font>
      <b/>
      <sz val="10"/>
      <color indexed="18"/>
      <name val="Arial"/>
      <family val="2"/>
    </font>
    <font>
      <b/>
      <sz val="9"/>
      <color indexed="62"/>
      <name val="Arial"/>
      <family val="2"/>
    </font>
    <font>
      <sz val="10"/>
      <name val="Arial"/>
      <family val="2"/>
    </font>
    <font>
      <b/>
      <i/>
      <sz val="18"/>
      <color indexed="56"/>
      <name val="Arial Condensed Bold"/>
    </font>
    <font>
      <b/>
      <sz val="18"/>
      <color indexed="56"/>
      <name val="Arial Condensed Bold"/>
      <family val="2"/>
    </font>
    <font>
      <sz val="10"/>
      <color indexed="62"/>
      <name val="Arial"/>
      <family val="2"/>
    </font>
    <font>
      <sz val="12"/>
      <name val="Arial"/>
      <family val="2"/>
    </font>
    <font>
      <sz val="10"/>
      <color indexed="18"/>
      <name val="Arial"/>
      <family val="2"/>
    </font>
    <font>
      <sz val="9"/>
      <color indexed="8"/>
      <name val="Arial"/>
      <family val="2"/>
    </font>
    <font>
      <sz val="8"/>
      <color indexed="10"/>
      <name val="Arial"/>
      <family val="2"/>
    </font>
    <font>
      <sz val="10"/>
      <color indexed="10"/>
      <name val="Arial"/>
      <family val="2"/>
    </font>
    <font>
      <b/>
      <i/>
      <sz val="18"/>
      <name val="Arial Condensed Bold"/>
    </font>
    <font>
      <sz val="18"/>
      <name val="Arial Condensed Bold"/>
      <family val="2"/>
    </font>
    <font>
      <sz val="9"/>
      <name val="Arial"/>
      <family val="2"/>
    </font>
    <font>
      <sz val="6"/>
      <name val="Arial"/>
      <family val="2"/>
    </font>
    <font>
      <b/>
      <sz val="8"/>
      <color indexed="56"/>
      <name val="Arial"/>
      <family val="2"/>
    </font>
    <font>
      <b/>
      <sz val="8"/>
      <color indexed="62"/>
      <name val="Arial"/>
      <family val="2"/>
    </font>
    <font>
      <b/>
      <sz val="8"/>
      <name val="Arial"/>
      <family val="2"/>
    </font>
    <font>
      <b/>
      <sz val="9"/>
      <color indexed="62"/>
      <name val="Arial"/>
      <family val="2"/>
    </font>
    <font>
      <sz val="8"/>
      <name val="Verdana"/>
      <family val="2"/>
    </font>
    <font>
      <sz val="9"/>
      <name val="Verdana"/>
      <family val="2"/>
    </font>
    <font>
      <sz val="7"/>
      <name val="Arial"/>
      <family val="2"/>
    </font>
    <font>
      <b/>
      <sz val="12"/>
      <name val="Arial"/>
      <family val="2"/>
    </font>
    <font>
      <b/>
      <sz val="12"/>
      <name val="Century Gothic"/>
      <family val="2"/>
    </font>
    <font>
      <b/>
      <sz val="8"/>
      <name val="Century Gothic"/>
      <family val="2"/>
    </font>
    <font>
      <b/>
      <sz val="9"/>
      <color indexed="18"/>
      <name val="Arial"/>
      <family val="2"/>
    </font>
    <font>
      <sz val="10"/>
      <color indexed="9"/>
      <name val="Arial"/>
      <family val="2"/>
    </font>
    <font>
      <sz val="12"/>
      <name val="Arial"/>
      <family val="2"/>
    </font>
    <font>
      <sz val="10"/>
      <color indexed="48"/>
      <name val="Arial"/>
      <family val="2"/>
    </font>
    <font>
      <sz val="12"/>
      <name val="Helv"/>
    </font>
    <font>
      <b/>
      <sz val="10"/>
      <color indexed="39"/>
      <name val="Arial"/>
      <family val="2"/>
    </font>
    <font>
      <sz val="10"/>
      <name val="Helv"/>
    </font>
    <font>
      <sz val="9"/>
      <name val="Helv"/>
    </font>
    <font>
      <b/>
      <sz val="10"/>
      <color indexed="32"/>
      <name val="Arial"/>
      <family val="2"/>
    </font>
    <font>
      <sz val="8"/>
      <color indexed="62"/>
      <name val="Arial"/>
      <family val="2"/>
    </font>
    <font>
      <sz val="8"/>
      <color indexed="18"/>
      <name val="Arial"/>
      <family val="2"/>
    </font>
    <font>
      <sz val="8"/>
      <color indexed="8"/>
      <name val="Verdana"/>
      <family val="2"/>
    </font>
    <font>
      <sz val="9"/>
      <color indexed="8"/>
      <name val="Verdana"/>
      <family val="2"/>
    </font>
    <font>
      <b/>
      <sz val="8"/>
      <name val="Verdana"/>
      <family val="2"/>
    </font>
    <font>
      <b/>
      <sz val="10"/>
      <name val="Century Gothic"/>
      <family val="2"/>
    </font>
    <font>
      <sz val="10"/>
      <color rgb="FFFF0000"/>
      <name val="Arial"/>
      <family val="2"/>
    </font>
    <font>
      <sz val="8"/>
      <color rgb="FFFF0000"/>
      <name val="Arial"/>
      <family val="2"/>
    </font>
    <font>
      <sz val="10"/>
      <color theme="1"/>
      <name val="Arial"/>
      <family val="2"/>
    </font>
    <font>
      <sz val="9"/>
      <color rgb="FFFF0000"/>
      <name val="Arial"/>
      <family val="2"/>
    </font>
    <font>
      <sz val="8"/>
      <color theme="1"/>
      <name val="Arial"/>
      <family val="2"/>
    </font>
    <font>
      <sz val="11"/>
      <name val="Calibri"/>
      <family val="2"/>
    </font>
    <font>
      <sz val="11"/>
      <name val="Arial"/>
      <family val="2"/>
    </font>
    <font>
      <b/>
      <sz val="10"/>
      <color rgb="FFFF0000"/>
      <name val="Arial"/>
      <family val="2"/>
    </font>
    <font>
      <b/>
      <sz val="10"/>
      <color rgb="FF0070C0"/>
      <name val="Arial"/>
      <family val="2"/>
    </font>
    <font>
      <b/>
      <sz val="9"/>
      <color rgb="FFFF0000"/>
      <name val="Arial"/>
      <family val="2"/>
    </font>
    <font>
      <u/>
      <sz val="10"/>
      <color theme="10"/>
      <name val="Arial"/>
      <family val="2"/>
    </font>
    <font>
      <b/>
      <u/>
      <sz val="12"/>
      <color theme="1"/>
      <name val="Arial"/>
      <family val="2"/>
    </font>
    <font>
      <sz val="12"/>
      <color indexed="56"/>
      <name val="Arial"/>
      <family val="2"/>
    </font>
    <font>
      <b/>
      <sz val="14"/>
      <color indexed="56"/>
      <name val="Arial"/>
      <family val="2"/>
    </font>
    <font>
      <sz val="8"/>
      <color rgb="FFFF0000"/>
      <name val="Verdana"/>
      <family val="2"/>
    </font>
    <font>
      <sz val="10"/>
      <color rgb="FFFF0000"/>
      <name val="Helv"/>
    </font>
    <font>
      <sz val="7"/>
      <name val="Verdana"/>
      <family val="2"/>
    </font>
    <font>
      <sz val="7"/>
      <color indexed="8"/>
      <name val="Verdana"/>
      <family val="2"/>
    </font>
    <font>
      <sz val="10"/>
      <color rgb="FFC00000"/>
      <name val="Arial"/>
      <family val="2"/>
    </font>
    <font>
      <sz val="9"/>
      <color theme="1"/>
      <name val="Arial"/>
      <family val="2"/>
    </font>
  </fonts>
  <fills count="13">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hair">
        <color indexed="64"/>
      </top>
      <bottom style="hair">
        <color indexed="64"/>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bottom/>
      <diagonal/>
    </border>
    <border>
      <left/>
      <right style="thick">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14">
    <xf numFmtId="0" fontId="0" fillId="0" borderId="0"/>
    <xf numFmtId="164" fontId="2" fillId="0" borderId="0" applyFont="0" applyFill="0" applyBorder="0" applyAlignment="0" applyProtection="0"/>
    <xf numFmtId="0" fontId="2" fillId="0" borderId="0"/>
    <xf numFmtId="171" fontId="55" fillId="0" borderId="0"/>
    <xf numFmtId="0" fontId="2" fillId="0" borderId="0"/>
    <xf numFmtId="0" fontId="2" fillId="0" borderId="0"/>
    <xf numFmtId="0" fontId="2" fillId="0" borderId="0"/>
    <xf numFmtId="0" fontId="9" fillId="0" borderId="0"/>
    <xf numFmtId="0" fontId="15" fillId="0" borderId="0" applyFont="0" applyBorder="0" applyAlignment="0" applyProtection="0"/>
    <xf numFmtId="0" fontId="9" fillId="0" borderId="0"/>
    <xf numFmtId="0" fontId="1" fillId="0" borderId="0" applyFont="0" applyBorder="0" applyAlignment="0" applyProtection="0"/>
    <xf numFmtId="0" fontId="2" fillId="0" borderId="0"/>
    <xf numFmtId="0" fontId="9" fillId="0" borderId="0"/>
    <xf numFmtId="0" fontId="76" fillId="0" borderId="0" applyNumberFormat="0" applyFill="0" applyBorder="0" applyAlignment="0" applyProtection="0"/>
  </cellStyleXfs>
  <cellXfs count="1714">
    <xf numFmtId="0" fontId="0" fillId="0" borderId="0" xfId="0"/>
    <xf numFmtId="0" fontId="0" fillId="0" borderId="0" xfId="0" applyAlignment="1">
      <alignment horizontal="centerContinuous"/>
    </xf>
    <xf numFmtId="0" fontId="1" fillId="0" borderId="0" xfId="0" applyFo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alignment horizontal="centerContinuous" vertical="center"/>
    </xf>
    <xf numFmtId="0" fontId="0" fillId="0" borderId="0" xfId="0" applyAlignment="1">
      <alignment vertical="center"/>
    </xf>
    <xf numFmtId="0" fontId="0" fillId="0" borderId="0" xfId="0" applyAlignment="1">
      <alignment horizontal="right" vertical="center"/>
    </xf>
    <xf numFmtId="0" fontId="6" fillId="0" borderId="0" xfId="0" applyFont="1" applyAlignment="1">
      <alignment vertical="center"/>
    </xf>
    <xf numFmtId="0" fontId="0" fillId="0" borderId="0" xfId="0" applyAlignment="1">
      <alignment horizontal="left" vertical="center"/>
    </xf>
    <xf numFmtId="0" fontId="9" fillId="0" borderId="0" xfId="0" applyFont="1" applyAlignment="1">
      <alignment vertical="center"/>
    </xf>
    <xf numFmtId="0" fontId="6" fillId="0" borderId="1" xfId="0" applyFont="1" applyBorder="1" applyAlignment="1">
      <alignment vertical="center"/>
    </xf>
    <xf numFmtId="0" fontId="11" fillId="0" borderId="0" xfId="0" applyFont="1" applyAlignment="1">
      <alignment horizontal="centerContinuous"/>
    </xf>
    <xf numFmtId="0" fontId="6" fillId="0" borderId="2" xfId="0" applyFont="1" applyBorder="1" applyAlignment="1">
      <alignment vertical="center"/>
    </xf>
    <xf numFmtId="0" fontId="6" fillId="0" borderId="3" xfId="0" applyFont="1" applyBorder="1" applyAlignment="1">
      <alignment vertical="center"/>
    </xf>
    <xf numFmtId="0" fontId="0" fillId="2" borderId="0" xfId="0" applyFill="1" applyAlignment="1">
      <alignment vertical="center"/>
    </xf>
    <xf numFmtId="0" fontId="0" fillId="2" borderId="0" xfId="0" applyFill="1"/>
    <xf numFmtId="0" fontId="13" fillId="0" borderId="0" xfId="0" applyFont="1" applyAlignment="1">
      <alignment vertical="center"/>
    </xf>
    <xf numFmtId="0" fontId="5" fillId="0" borderId="0" xfId="0" applyFont="1" applyAlignment="1">
      <alignment vertical="center"/>
    </xf>
    <xf numFmtId="0" fontId="13" fillId="0" borderId="0" xfId="0" applyFont="1" applyAlignment="1">
      <alignment horizontal="centerContinuous" vertical="center"/>
    </xf>
    <xf numFmtId="0" fontId="6" fillId="2" borderId="0" xfId="0" applyFont="1" applyFill="1" applyAlignment="1">
      <alignment vertical="center"/>
    </xf>
    <xf numFmtId="0" fontId="6" fillId="2" borderId="0" xfId="0" applyFont="1" applyFill="1" applyAlignment="1">
      <alignment horizontal="centerContinuous" vertical="center"/>
    </xf>
    <xf numFmtId="0" fontId="9" fillId="2" borderId="0" xfId="0" applyFont="1" applyFill="1" applyAlignment="1">
      <alignment vertical="center"/>
    </xf>
    <xf numFmtId="0" fontId="9" fillId="2" borderId="0" xfId="0" applyFont="1" applyFill="1" applyAlignment="1">
      <alignment horizontal="centerContinuous" vertical="center"/>
    </xf>
    <xf numFmtId="0" fontId="10" fillId="2" borderId="0" xfId="0" applyFont="1" applyFill="1" applyAlignment="1">
      <alignment horizontal="centerContinuous" vertical="center"/>
    </xf>
    <xf numFmtId="0" fontId="14" fillId="0" borderId="0" xfId="0" applyFont="1" applyAlignment="1">
      <alignment horizontal="centerContinuous"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14" fillId="0" borderId="0" xfId="0" applyFont="1" applyAlignment="1">
      <alignment horizontal="left" vertical="center"/>
    </xf>
    <xf numFmtId="0" fontId="17" fillId="0" borderId="0" xfId="0" applyFont="1" applyAlignment="1">
      <alignment horizontal="centerContinuous"/>
    </xf>
    <xf numFmtId="0" fontId="6" fillId="2" borderId="2" xfId="0" applyFont="1" applyFill="1" applyBorder="1" applyAlignment="1">
      <alignment horizontal="centerContinuous" vertical="center"/>
    </xf>
    <xf numFmtId="0" fontId="7" fillId="2" borderId="2" xfId="0" applyFont="1" applyFill="1" applyBorder="1" applyAlignment="1">
      <alignment horizontal="centerContinuous" vertical="center"/>
    </xf>
    <xf numFmtId="0" fontId="6" fillId="2" borderId="4" xfId="0" applyFont="1" applyFill="1" applyBorder="1" applyAlignment="1">
      <alignment horizontal="centerContinuous" vertical="center"/>
    </xf>
    <xf numFmtId="0" fontId="7" fillId="2" borderId="1" xfId="0" applyFont="1" applyFill="1" applyBorder="1" applyAlignment="1">
      <alignment horizontal="centerContinuous" vertical="center"/>
    </xf>
    <xf numFmtId="0" fontId="6" fillId="3" borderId="5" xfId="0" applyFont="1" applyFill="1" applyBorder="1" applyAlignment="1">
      <alignment vertical="center"/>
    </xf>
    <xf numFmtId="0" fontId="6" fillId="3" borderId="1" xfId="0" applyFont="1" applyFill="1" applyBorder="1" applyAlignment="1">
      <alignment vertical="center"/>
    </xf>
    <xf numFmtId="0" fontId="6" fillId="3" borderId="1" xfId="0" applyFont="1" applyFill="1" applyBorder="1"/>
    <xf numFmtId="0" fontId="6" fillId="3" borderId="5" xfId="0" applyFont="1" applyFill="1" applyBorder="1" applyAlignment="1">
      <alignment horizontal="centerContinuous" vertical="center" wrapText="1"/>
    </xf>
    <xf numFmtId="0" fontId="6" fillId="3" borderId="2" xfId="0" applyFont="1" applyFill="1" applyBorder="1" applyAlignment="1">
      <alignment textRotation="90"/>
    </xf>
    <xf numFmtId="0" fontId="6" fillId="3" borderId="4" xfId="0" applyFont="1" applyFill="1" applyBorder="1" applyAlignment="1">
      <alignment textRotation="90"/>
    </xf>
    <xf numFmtId="0" fontId="0" fillId="0" borderId="6" xfId="0" applyBorder="1" applyAlignment="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left" vertical="center"/>
    </xf>
    <xf numFmtId="0" fontId="0" fillId="0" borderId="7" xfId="0" applyBorder="1" applyAlignment="1">
      <alignment vertical="center"/>
    </xf>
    <xf numFmtId="0" fontId="0" fillId="0" borderId="10" xfId="0" applyBorder="1"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11" xfId="0"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vertical="center"/>
    </xf>
    <xf numFmtId="0" fontId="0" fillId="0" borderId="3"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3" fontId="0" fillId="0" borderId="6" xfId="0" applyNumberFormat="1" applyBorder="1" applyAlignment="1">
      <alignment horizontal="centerContinuous" vertical="center"/>
    </xf>
    <xf numFmtId="3" fontId="0" fillId="0" borderId="3" xfId="0" applyNumberFormat="1" applyBorder="1" applyAlignment="1">
      <alignment horizontal="center" vertical="center"/>
    </xf>
    <xf numFmtId="3" fontId="0" fillId="0" borderId="5" xfId="0" applyNumberFormat="1" applyBorder="1" applyAlignment="1">
      <alignment horizontal="centerContinuous" vertical="center"/>
    </xf>
    <xf numFmtId="3" fontId="0" fillId="0" borderId="6" xfId="0" applyNumberFormat="1" applyBorder="1" applyAlignment="1">
      <alignment horizontal="center" vertical="center"/>
    </xf>
    <xf numFmtId="3" fontId="0" fillId="0" borderId="1" xfId="0" applyNumberFormat="1"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left" vertical="center" wrapText="1"/>
    </xf>
    <xf numFmtId="0" fontId="20" fillId="4" borderId="4" xfId="0" applyFont="1" applyFill="1" applyBorder="1" applyAlignment="1">
      <alignment horizontal="center" vertical="center" wrapText="1"/>
    </xf>
    <xf numFmtId="0" fontId="20" fillId="4" borderId="1" xfId="0" applyFont="1" applyFill="1" applyBorder="1" applyAlignment="1">
      <alignment horizontal="center" vertical="center"/>
    </xf>
    <xf numFmtId="3" fontId="20" fillId="4" borderId="1" xfId="0" applyNumberFormat="1" applyFont="1" applyFill="1" applyBorder="1" applyAlignment="1">
      <alignment horizontal="center" vertical="center"/>
    </xf>
    <xf numFmtId="3" fontId="20" fillId="4" borderId="1" xfId="0" quotePrefix="1" applyNumberFormat="1" applyFont="1" applyFill="1" applyBorder="1" applyAlignment="1">
      <alignment horizontal="center" vertical="center"/>
    </xf>
    <xf numFmtId="3" fontId="20" fillId="4" borderId="9" xfId="0" applyNumberFormat="1" applyFont="1" applyFill="1" applyBorder="1" applyAlignment="1">
      <alignment horizontal="center" vertical="center"/>
    </xf>
    <xf numFmtId="3" fontId="20" fillId="4" borderId="0" xfId="0" applyNumberFormat="1" applyFont="1" applyFill="1" applyBorder="1" applyAlignment="1">
      <alignment horizontal="center" vertical="center"/>
    </xf>
    <xf numFmtId="0" fontId="0" fillId="0" borderId="0" xfId="0" applyFill="1" applyBorder="1"/>
    <xf numFmtId="0" fontId="21" fillId="0" borderId="0" xfId="0" applyFont="1" applyAlignment="1">
      <alignment horizontal="centerContinuous"/>
    </xf>
    <xf numFmtId="0" fontId="15" fillId="0" borderId="0" xfId="0" applyFont="1" applyAlignment="1">
      <alignment horizontal="centerContinuous"/>
    </xf>
    <xf numFmtId="0" fontId="0" fillId="0" borderId="5" xfId="0" applyBorder="1"/>
    <xf numFmtId="0" fontId="6" fillId="0" borderId="9" xfId="0" applyFont="1" applyBorder="1" applyAlignment="1">
      <alignment horizontal="centerContinuous" vertical="center"/>
    </xf>
    <xf numFmtId="0" fontId="0" fillId="0" borderId="8" xfId="0"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vertical="center"/>
    </xf>
    <xf numFmtId="0" fontId="9" fillId="0" borderId="5" xfId="0" applyFont="1" applyBorder="1" applyAlignment="1">
      <alignment horizontal="centerContinuous" vertical="center"/>
    </xf>
    <xf numFmtId="0" fontId="6" fillId="0" borderId="3" xfId="0" applyFont="1" applyBorder="1" applyAlignment="1">
      <alignment vertical="top"/>
    </xf>
    <xf numFmtId="0" fontId="9" fillId="0" borderId="8" xfId="0" applyFont="1" applyBorder="1" applyAlignment="1">
      <alignment horizontal="centerContinuous" vertical="center" wrapText="1"/>
    </xf>
    <xf numFmtId="0" fontId="9" fillId="0" borderId="1" xfId="0" applyFont="1" applyBorder="1" applyAlignment="1">
      <alignment horizontal="centerContinuous" vertical="center" wrapText="1"/>
    </xf>
    <xf numFmtId="0" fontId="9" fillId="0" borderId="3" xfId="0" applyFont="1" applyBorder="1" applyAlignment="1">
      <alignment horizontal="centerContinuous" vertical="center" wrapText="1"/>
    </xf>
    <xf numFmtId="0" fontId="6" fillId="0" borderId="6" xfId="0" applyFont="1" applyBorder="1" applyAlignment="1">
      <alignment vertical="center"/>
    </xf>
    <xf numFmtId="3" fontId="6" fillId="0" borderId="0" xfId="0" applyNumberFormat="1" applyFont="1" applyBorder="1" applyAlignment="1">
      <alignment horizontal="centerContinuous" vertical="center"/>
    </xf>
    <xf numFmtId="3" fontId="6" fillId="0" borderId="6" xfId="0" applyNumberFormat="1" applyFont="1" applyBorder="1" applyAlignment="1">
      <alignment horizontal="centerContinuous" vertical="center"/>
    </xf>
    <xf numFmtId="165" fontId="6" fillId="0" borderId="6" xfId="0" applyNumberFormat="1" applyFont="1" applyBorder="1" applyAlignment="1">
      <alignment horizontal="centerContinuous" vertical="center"/>
    </xf>
    <xf numFmtId="166" fontId="6" fillId="0" borderId="13" xfId="0" applyNumberFormat="1" applyFont="1" applyBorder="1" applyAlignment="1">
      <alignment horizontal="centerContinuous" vertical="center"/>
    </xf>
    <xf numFmtId="0" fontId="6" fillId="0" borderId="0" xfId="0" applyFont="1" applyBorder="1" applyAlignment="1">
      <alignment horizontal="centerContinuous" vertical="center"/>
    </xf>
    <xf numFmtId="0" fontId="7" fillId="0" borderId="6" xfId="0" applyFont="1" applyBorder="1" applyAlignment="1">
      <alignment vertical="center"/>
    </xf>
    <xf numFmtId="3" fontId="7" fillId="0" borderId="0" xfId="0" applyNumberFormat="1" applyFont="1" applyBorder="1" applyAlignment="1">
      <alignment horizontal="centerContinuous" vertical="center"/>
    </xf>
    <xf numFmtId="3" fontId="7" fillId="0" borderId="6" xfId="0" applyNumberFormat="1" applyFont="1" applyBorder="1" applyAlignment="1">
      <alignment horizontal="centerContinuous" vertical="center"/>
    </xf>
    <xf numFmtId="165" fontId="7" fillId="0" borderId="6" xfId="0" applyNumberFormat="1" applyFont="1" applyBorder="1" applyAlignment="1">
      <alignment horizontal="centerContinuous" vertical="center"/>
    </xf>
    <xf numFmtId="166" fontId="7" fillId="0" borderId="13" xfId="0" applyNumberFormat="1" applyFont="1" applyBorder="1" applyAlignment="1">
      <alignment horizontal="centerContinuous" vertical="center"/>
    </xf>
    <xf numFmtId="3" fontId="6" fillId="0" borderId="6" xfId="0" applyNumberFormat="1" applyFont="1" applyBorder="1" applyAlignment="1">
      <alignment vertical="center"/>
    </xf>
    <xf numFmtId="166" fontId="6" fillId="0" borderId="13" xfId="0" applyNumberFormat="1" applyFont="1" applyBorder="1" applyAlignment="1">
      <alignment vertical="center"/>
    </xf>
    <xf numFmtId="0" fontId="6" fillId="0" borderId="13" xfId="0" applyFont="1" applyBorder="1" applyAlignment="1">
      <alignment vertical="center"/>
    </xf>
    <xf numFmtId="165" fontId="6" fillId="0" borderId="0" xfId="0" applyNumberFormat="1" applyFont="1" applyBorder="1" applyAlignment="1">
      <alignment horizontal="centerContinuous" vertical="center"/>
    </xf>
    <xf numFmtId="0" fontId="7" fillId="0" borderId="3" xfId="0" applyFont="1" applyBorder="1" applyAlignment="1">
      <alignment vertical="center"/>
    </xf>
    <xf numFmtId="3" fontId="7" fillId="0" borderId="15" xfId="0" applyNumberFormat="1" applyFont="1" applyBorder="1" applyAlignment="1">
      <alignment horizontal="centerContinuous" vertical="center"/>
    </xf>
    <xf numFmtId="3" fontId="7" fillId="0" borderId="3" xfId="0" applyNumberFormat="1" applyFont="1" applyBorder="1" applyAlignment="1">
      <alignment horizontal="centerContinuous" vertical="center"/>
    </xf>
    <xf numFmtId="165" fontId="7" fillId="0" borderId="3" xfId="0" applyNumberFormat="1" applyFont="1" applyBorder="1" applyAlignment="1">
      <alignment horizontal="centerContinuous" vertical="center"/>
    </xf>
    <xf numFmtId="166" fontId="7" fillId="0" borderId="3" xfId="0" applyNumberFormat="1" applyFont="1" applyBorder="1" applyAlignment="1">
      <alignment horizontal="centerContinuous" vertical="center"/>
    </xf>
    <xf numFmtId="0" fontId="18" fillId="0" borderId="0" xfId="0" applyFont="1" applyAlignment="1">
      <alignment horizontal="centerContinuous"/>
    </xf>
    <xf numFmtId="0" fontId="5" fillId="0" borderId="0" xfId="0" applyFont="1" applyAlignment="1">
      <alignment horizontal="centerContinuous"/>
    </xf>
    <xf numFmtId="0" fontId="22" fillId="0" borderId="0" xfId="0" applyFont="1" applyAlignment="1">
      <alignment horizontal="centerContinuous"/>
    </xf>
    <xf numFmtId="3" fontId="0" fillId="0" borderId="0" xfId="0" applyNumberFormat="1"/>
    <xf numFmtId="0" fontId="0" fillId="0" borderId="9" xfId="0" applyBorder="1" applyAlignment="1">
      <alignment vertical="center"/>
    </xf>
    <xf numFmtId="0" fontId="0" fillId="0" borderId="9" xfId="0" applyBorder="1" applyAlignment="1">
      <alignment horizontal="centerContinuous" vertical="center"/>
    </xf>
    <xf numFmtId="0" fontId="0" fillId="0" borderId="8" xfId="0" applyBorder="1" applyAlignment="1">
      <alignment horizontal="centerContinuous" vertical="center"/>
    </xf>
    <xf numFmtId="0" fontId="0" fillId="0" borderId="8" xfId="0" quotePrefix="1" applyBorder="1" applyAlignment="1">
      <alignment horizontal="centerContinuous" vertical="center"/>
    </xf>
    <xf numFmtId="0" fontId="0" fillId="0" borderId="4" xfId="0" applyBorder="1" applyAlignment="1">
      <alignment horizontal="centerContinuous" vertical="center"/>
    </xf>
    <xf numFmtId="3" fontId="0" fillId="0" borderId="0" xfId="0" applyNumberFormat="1" applyBorder="1" applyAlignment="1">
      <alignment vertical="center"/>
    </xf>
    <xf numFmtId="3" fontId="0" fillId="0" borderId="13" xfId="0" applyNumberFormat="1" applyBorder="1" applyAlignment="1">
      <alignment vertical="center"/>
    </xf>
    <xf numFmtId="0" fontId="1" fillId="0" borderId="6" xfId="0" applyFont="1" applyBorder="1" applyAlignment="1">
      <alignment vertical="center"/>
    </xf>
    <xf numFmtId="3" fontId="0" fillId="0" borderId="0" xfId="0" applyNumberFormat="1" applyBorder="1" applyAlignment="1">
      <alignment horizontal="centerContinuous" vertical="center"/>
    </xf>
    <xf numFmtId="4" fontId="0" fillId="0" borderId="0" xfId="0" applyNumberFormat="1"/>
    <xf numFmtId="3" fontId="8" fillId="0" borderId="0" xfId="0" applyNumberFormat="1" applyFont="1" applyBorder="1" applyAlignment="1">
      <alignment vertical="center"/>
    </xf>
    <xf numFmtId="3" fontId="8" fillId="0" borderId="13" xfId="0" applyNumberFormat="1" applyFont="1" applyBorder="1" applyAlignment="1">
      <alignment vertical="center"/>
    </xf>
    <xf numFmtId="0" fontId="0" fillId="0" borderId="0" xfId="0" applyBorder="1" applyAlignment="1">
      <alignment vertical="center"/>
    </xf>
    <xf numFmtId="0" fontId="1" fillId="0" borderId="3" xfId="0" applyFont="1" applyBorder="1" applyAlignment="1">
      <alignment vertical="center"/>
    </xf>
    <xf numFmtId="3" fontId="0" fillId="0" borderId="15" xfId="0" applyNumberFormat="1" applyBorder="1" applyAlignment="1">
      <alignment vertical="center"/>
    </xf>
    <xf numFmtId="3" fontId="0" fillId="0" borderId="15" xfId="0" applyNumberFormat="1" applyBorder="1" applyAlignment="1">
      <alignment horizontal="centerContinuous" vertical="center"/>
    </xf>
    <xf numFmtId="3" fontId="0" fillId="0" borderId="14" xfId="0" applyNumberFormat="1" applyBorder="1" applyAlignment="1">
      <alignment vertical="center"/>
    </xf>
    <xf numFmtId="167" fontId="0" fillId="0" borderId="0" xfId="0" applyNumberFormat="1"/>
    <xf numFmtId="1" fontId="0" fillId="0" borderId="0" xfId="0" applyNumberFormat="1"/>
    <xf numFmtId="0" fontId="24" fillId="0" borderId="0" xfId="0" applyFont="1" applyAlignment="1">
      <alignment horizontal="centerContinuous"/>
    </xf>
    <xf numFmtId="0" fontId="0" fillId="0" borderId="8" xfId="0" applyBorder="1" applyAlignment="1">
      <alignment horizontal="right" vertical="center"/>
    </xf>
    <xf numFmtId="0" fontId="9" fillId="0" borderId="4" xfId="0" applyFont="1" applyBorder="1" applyAlignment="1">
      <alignment horizontal="centerContinuous" vertical="center" wrapText="1"/>
    </xf>
    <xf numFmtId="0" fontId="0" fillId="0" borderId="13" xfId="0" applyBorder="1" applyAlignment="1">
      <alignment vertical="center"/>
    </xf>
    <xf numFmtId="3" fontId="0" fillId="0" borderId="7" xfId="0" applyNumberFormat="1" applyBorder="1" applyAlignment="1">
      <alignment vertical="center"/>
    </xf>
    <xf numFmtId="3" fontId="23" fillId="0" borderId="15" xfId="0" applyNumberFormat="1" applyFont="1" applyBorder="1" applyAlignment="1">
      <alignment vertical="center"/>
    </xf>
    <xf numFmtId="3" fontId="23" fillId="0" borderId="14" xfId="0" applyNumberFormat="1" applyFont="1" applyBorder="1" applyAlignment="1">
      <alignment vertical="center"/>
    </xf>
    <xf numFmtId="0" fontId="26" fillId="5" borderId="0" xfId="0" applyFont="1" applyFill="1" applyAlignment="1">
      <alignment horizontal="centerContinuous"/>
    </xf>
    <xf numFmtId="0" fontId="11" fillId="5" borderId="0" xfId="0" applyFont="1" applyFill="1" applyAlignment="1">
      <alignment horizontal="centerContinuous"/>
    </xf>
    <xf numFmtId="0" fontId="26" fillId="0" borderId="0" xfId="0" applyFont="1" applyAlignment="1">
      <alignment horizontal="centerContinuous"/>
    </xf>
    <xf numFmtId="0" fontId="6" fillId="0" borderId="1" xfId="0" applyFont="1" applyBorder="1" applyAlignment="1">
      <alignment horizontal="center" vertical="center" wrapText="1"/>
    </xf>
    <xf numFmtId="4" fontId="6" fillId="0" borderId="13" xfId="0" applyNumberFormat="1" applyFont="1" applyBorder="1" applyAlignment="1">
      <alignment horizontal="center" vertical="center"/>
    </xf>
    <xf numFmtId="0" fontId="0" fillId="0" borderId="3" xfId="0" applyBorder="1"/>
    <xf numFmtId="0" fontId="0" fillId="0" borderId="3" xfId="0" applyBorder="1" applyAlignment="1">
      <alignment horizontal="center"/>
    </xf>
    <xf numFmtId="0" fontId="0" fillId="0" borderId="0" xfId="0" applyBorder="1"/>
    <xf numFmtId="0" fontId="0" fillId="0" borderId="0" xfId="0" applyAlignment="1">
      <alignment horizontal="center" vertical="top" wrapText="1"/>
    </xf>
    <xf numFmtId="165" fontId="7" fillId="0" borderId="0" xfId="0" applyNumberFormat="1" applyFont="1" applyBorder="1" applyAlignment="1">
      <alignment horizontal="centerContinuous" vertical="center"/>
    </xf>
    <xf numFmtId="165" fontId="0" fillId="0" borderId="0" xfId="0" applyNumberFormat="1"/>
    <xf numFmtId="165" fontId="7" fillId="0" borderId="15" xfId="0" applyNumberFormat="1" applyFont="1" applyBorder="1" applyAlignment="1">
      <alignment horizontal="centerContinuous" vertical="center"/>
    </xf>
    <xf numFmtId="0" fontId="6" fillId="0" borderId="8" xfId="0" applyFont="1" applyBorder="1" applyAlignment="1">
      <alignment horizontal="centerContinuous" vertical="center"/>
    </xf>
    <xf numFmtId="0" fontId="6" fillId="0" borderId="4" xfId="0" applyFont="1" applyBorder="1" applyAlignment="1">
      <alignment horizontal="centerContinuous" vertical="center"/>
    </xf>
    <xf numFmtId="0" fontId="6" fillId="0" borderId="1" xfId="0" applyFont="1" applyBorder="1" applyAlignment="1">
      <alignment horizontal="centerContinuous" vertical="center"/>
    </xf>
    <xf numFmtId="3" fontId="28" fillId="0" borderId="0" xfId="0" applyNumberFormat="1" applyFont="1" applyBorder="1" applyAlignment="1">
      <alignment horizontal="center" vertical="center"/>
    </xf>
    <xf numFmtId="3" fontId="28" fillId="0" borderId="6" xfId="0" applyNumberFormat="1" applyFont="1" applyBorder="1" applyAlignment="1">
      <alignment horizontal="center" vertical="center"/>
    </xf>
    <xf numFmtId="3" fontId="28" fillId="0" borderId="13" xfId="0" applyNumberFormat="1" applyFont="1" applyBorder="1" applyAlignment="1">
      <alignment horizontal="centerContinuous" vertical="center"/>
    </xf>
    <xf numFmtId="3" fontId="28" fillId="0" borderId="13" xfId="0" applyNumberFormat="1" applyFont="1" applyBorder="1" applyAlignment="1">
      <alignment horizontal="center" vertical="center"/>
    </xf>
    <xf numFmtId="3" fontId="28" fillId="0" borderId="14" xfId="0" applyNumberFormat="1" applyFont="1" applyBorder="1" applyAlignment="1">
      <alignment horizontal="center" vertical="center"/>
    </xf>
    <xf numFmtId="3" fontId="28" fillId="0" borderId="3" xfId="0" applyNumberFormat="1" applyFont="1" applyBorder="1" applyAlignment="1">
      <alignment horizontal="center" vertical="center"/>
    </xf>
    <xf numFmtId="3" fontId="9" fillId="0" borderId="0" xfId="0" applyNumberFormat="1" applyFont="1" applyAlignment="1">
      <alignment vertical="center"/>
    </xf>
    <xf numFmtId="0" fontId="6" fillId="0" borderId="12" xfId="0" applyFont="1" applyBorder="1" applyAlignment="1">
      <alignment horizontal="centerContinuous" vertical="center"/>
    </xf>
    <xf numFmtId="0" fontId="6" fillId="0" borderId="2" xfId="0" applyFont="1" applyBorder="1" applyAlignment="1">
      <alignment horizontal="centerContinuous" vertical="center"/>
    </xf>
    <xf numFmtId="0" fontId="6" fillId="0" borderId="3" xfId="0" applyFont="1" applyBorder="1"/>
    <xf numFmtId="0" fontId="0" fillId="0" borderId="0" xfId="0" applyAlignment="1"/>
    <xf numFmtId="3" fontId="9" fillId="0" borderId="0" xfId="0" applyNumberFormat="1" applyFont="1" applyBorder="1" applyAlignment="1">
      <alignment vertical="center"/>
    </xf>
    <xf numFmtId="0" fontId="29" fillId="0" borderId="0" xfId="0" applyFont="1" applyAlignment="1">
      <alignment horizontal="centerContinuous"/>
    </xf>
    <xf numFmtId="0" fontId="0" fillId="5" borderId="0" xfId="0" applyFill="1"/>
    <xf numFmtId="0" fontId="1" fillId="5" borderId="0" xfId="0" applyFont="1" applyFill="1" applyAlignment="1">
      <alignment horizontal="centerContinuous"/>
    </xf>
    <xf numFmtId="0" fontId="15" fillId="5" borderId="0" xfId="0" applyFont="1" applyFill="1" applyAlignment="1">
      <alignment horizontal="centerContinuous"/>
    </xf>
    <xf numFmtId="0" fontId="0" fillId="5" borderId="0" xfId="0" applyFill="1" applyAlignment="1">
      <alignment horizontal="centerContinuous"/>
    </xf>
    <xf numFmtId="0" fontId="30" fillId="0" borderId="0" xfId="0" applyFont="1" applyAlignment="1">
      <alignment horizontal="centerContinuous"/>
    </xf>
    <xf numFmtId="0" fontId="1" fillId="0" borderId="0" xfId="0" applyFont="1" applyAlignment="1">
      <alignment horizontal="centerContinuous"/>
    </xf>
    <xf numFmtId="0" fontId="22" fillId="5" borderId="0" xfId="0" applyFont="1" applyFill="1" applyAlignment="1">
      <alignment horizontal="centerContinuous"/>
    </xf>
    <xf numFmtId="0" fontId="31" fillId="5" borderId="0" xfId="0" applyFont="1" applyFill="1" applyAlignment="1">
      <alignment horizontal="centerContinuous"/>
    </xf>
    <xf numFmtId="0" fontId="0" fillId="0" borderId="11" xfId="0" applyBorder="1"/>
    <xf numFmtId="0" fontId="0" fillId="0" borderId="6" xfId="0" applyBorder="1" applyAlignment="1">
      <alignment horizontal="centerContinuous"/>
    </xf>
    <xf numFmtId="0" fontId="31" fillId="0" borderId="0" xfId="0" applyFont="1" applyAlignment="1">
      <alignment horizontal="centerContinuous"/>
    </xf>
    <xf numFmtId="0" fontId="9" fillId="0" borderId="5" xfId="0" applyFont="1" applyBorder="1" applyAlignment="1">
      <alignment horizontal="centerContinuous"/>
    </xf>
    <xf numFmtId="0" fontId="9" fillId="0" borderId="11" xfId="0" applyFont="1" applyBorder="1" applyAlignment="1">
      <alignment horizontal="centerContinuous"/>
    </xf>
    <xf numFmtId="0" fontId="0" fillId="0" borderId="9" xfId="0" applyBorder="1"/>
    <xf numFmtId="0" fontId="0" fillId="0" borderId="2" xfId="0" applyBorder="1" applyAlignment="1">
      <alignment horizontal="centerContinuous"/>
    </xf>
    <xf numFmtId="0" fontId="9" fillId="0" borderId="6" xfId="0" applyFont="1" applyBorder="1" applyAlignment="1">
      <alignment horizontal="centerContinuous"/>
    </xf>
    <xf numFmtId="0" fontId="9" fillId="0" borderId="7" xfId="0" applyFont="1" applyBorder="1" applyAlignment="1">
      <alignment horizontal="centerContinuous"/>
    </xf>
    <xf numFmtId="0" fontId="10" fillId="0" borderId="7" xfId="0" applyFont="1" applyBorder="1" applyAlignment="1">
      <alignment horizontal="center"/>
    </xf>
    <xf numFmtId="0" fontId="9" fillId="0" borderId="5" xfId="0" applyFont="1" applyBorder="1" applyAlignment="1">
      <alignment horizontal="center"/>
    </xf>
    <xf numFmtId="0" fontId="0" fillId="0" borderId="11" xfId="0" applyBorder="1" applyAlignment="1">
      <alignment horizontal="centerContinuous"/>
    </xf>
    <xf numFmtId="0" fontId="0" fillId="0" borderId="5" xfId="0" applyBorder="1" applyAlignment="1">
      <alignment horizontal="centerContinuous"/>
    </xf>
    <xf numFmtId="0" fontId="0" fillId="0" borderId="6" xfId="0" applyBorder="1"/>
    <xf numFmtId="0" fontId="0" fillId="0" borderId="13" xfId="0" applyBorder="1"/>
    <xf numFmtId="0" fontId="9" fillId="0" borderId="7" xfId="0" applyFont="1" applyBorder="1" applyAlignment="1">
      <alignment horizontal="center"/>
    </xf>
    <xf numFmtId="0" fontId="9" fillId="0" borderId="3" xfId="0" applyFont="1" applyBorder="1" applyAlignment="1">
      <alignment horizontal="center"/>
    </xf>
    <xf numFmtId="0" fontId="0" fillId="0" borderId="7" xfId="0" applyBorder="1" applyAlignment="1">
      <alignment horizontal="centerContinuous"/>
    </xf>
    <xf numFmtId="3" fontId="0" fillId="0" borderId="2" xfId="0" applyNumberForma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Continuous"/>
    </xf>
    <xf numFmtId="0" fontId="9" fillId="0" borderId="7" xfId="0" applyFont="1" applyBorder="1" applyAlignment="1">
      <alignment horizontal="centerContinuous" vertical="center"/>
    </xf>
    <xf numFmtId="3" fontId="9" fillId="0" borderId="6"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0" borderId="0" xfId="0" applyNumberFormat="1" applyFont="1" applyBorder="1" applyAlignment="1">
      <alignment horizontal="center" vertical="center"/>
    </xf>
    <xf numFmtId="0" fontId="6" fillId="0" borderId="0" xfId="0" applyFont="1"/>
    <xf numFmtId="0" fontId="9" fillId="0" borderId="10" xfId="0" applyFont="1" applyBorder="1" applyAlignment="1">
      <alignment horizontal="centerContinuous"/>
    </xf>
    <xf numFmtId="0" fontId="9" fillId="0" borderId="3" xfId="0" applyFont="1" applyBorder="1" applyAlignment="1">
      <alignment horizontal="center" vertical="center"/>
    </xf>
    <xf numFmtId="3" fontId="9" fillId="0" borderId="14" xfId="0" applyNumberFormat="1" applyFont="1" applyBorder="1" applyAlignment="1">
      <alignment horizontal="center" vertical="center"/>
    </xf>
    <xf numFmtId="3" fontId="9" fillId="0" borderId="10" xfId="0" applyNumberFormat="1" applyFont="1" applyBorder="1" applyAlignment="1">
      <alignment horizontal="center"/>
    </xf>
    <xf numFmtId="3" fontId="9" fillId="0" borderId="3" xfId="0" applyNumberFormat="1" applyFont="1" applyBorder="1" applyAlignment="1">
      <alignment horizontal="centerContinuous"/>
    </xf>
    <xf numFmtId="3" fontId="9" fillId="0" borderId="15" xfId="0" applyNumberFormat="1" applyFont="1" applyBorder="1" applyAlignment="1">
      <alignment horizontal="centerContinuous"/>
    </xf>
    <xf numFmtId="3" fontId="9" fillId="0" borderId="10" xfId="0" applyNumberFormat="1" applyFont="1" applyBorder="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3" fontId="9" fillId="0" borderId="0" xfId="0" applyNumberFormat="1" applyFont="1"/>
    <xf numFmtId="3" fontId="9" fillId="0" borderId="0" xfId="0" applyNumberFormat="1" applyFont="1" applyAlignment="1">
      <alignment horizontal="centerContinuous"/>
    </xf>
    <xf numFmtId="0" fontId="9" fillId="0" borderId="0" xfId="0" applyFont="1"/>
    <xf numFmtId="2" fontId="0" fillId="0" borderId="6" xfId="0" applyNumberFormat="1" applyBorder="1" applyAlignment="1">
      <alignment horizontal="centerContinuous" vertical="center"/>
    </xf>
    <xf numFmtId="0" fontId="0" fillId="0" borderId="10" xfId="0" applyBorder="1" applyAlignment="1">
      <alignment vertical="center"/>
    </xf>
    <xf numFmtId="2" fontId="0" fillId="0" borderId="3" xfId="0" applyNumberFormat="1" applyBorder="1" applyAlignment="1">
      <alignment horizontal="centerContinuous" vertical="center"/>
    </xf>
    <xf numFmtId="0" fontId="0" fillId="0" borderId="1" xfId="0" applyBorder="1" applyAlignment="1">
      <alignment horizontal="centerContinuous" vertical="center"/>
    </xf>
    <xf numFmtId="2" fontId="0" fillId="0" borderId="0" xfId="0" applyNumberFormat="1"/>
    <xf numFmtId="168" fontId="0" fillId="0" borderId="0" xfId="0" applyNumberFormat="1"/>
    <xf numFmtId="0" fontId="12" fillId="0" borderId="0" xfId="0" applyFont="1"/>
    <xf numFmtId="0" fontId="0" fillId="0" borderId="0" xfId="0" applyAlignment="1">
      <alignment horizontal="right"/>
    </xf>
    <xf numFmtId="0" fontId="9" fillId="0" borderId="4" xfId="0" applyFont="1" applyBorder="1" applyAlignment="1">
      <alignment horizontal="center" vertical="center" wrapText="1"/>
    </xf>
    <xf numFmtId="165" fontId="6" fillId="0" borderId="13" xfId="0" applyNumberFormat="1" applyFont="1" applyBorder="1" applyAlignment="1">
      <alignment horizontal="center" vertical="center"/>
    </xf>
    <xf numFmtId="165" fontId="7" fillId="0" borderId="13" xfId="0" applyNumberFormat="1" applyFont="1" applyBorder="1" applyAlignment="1">
      <alignment horizontal="center" vertical="center"/>
    </xf>
    <xf numFmtId="165" fontId="7" fillId="0" borderId="14" xfId="0" applyNumberFormat="1" applyFont="1" applyBorder="1" applyAlignment="1">
      <alignment horizontal="center" vertical="center"/>
    </xf>
    <xf numFmtId="3" fontId="0" fillId="0" borderId="0" xfId="0" applyNumberFormat="1" applyFill="1" applyBorder="1" applyAlignment="1">
      <alignment vertical="center"/>
    </xf>
    <xf numFmtId="0" fontId="25" fillId="0" borderId="0" xfId="0" applyFont="1"/>
    <xf numFmtId="0" fontId="20" fillId="2" borderId="0" xfId="0" applyFont="1" applyFill="1" applyAlignment="1">
      <alignment vertical="center"/>
    </xf>
    <xf numFmtId="0" fontId="7"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31"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0" fillId="0" borderId="9" xfId="0" applyBorder="1" applyAlignment="1">
      <alignment horizontal="centerContinuous"/>
    </xf>
    <xf numFmtId="0" fontId="0" fillId="0" borderId="12" xfId="0" applyBorder="1"/>
    <xf numFmtId="0" fontId="9" fillId="0" borderId="13" xfId="0" applyFont="1" applyBorder="1" applyAlignment="1">
      <alignment horizontal="centerContinuous"/>
    </xf>
    <xf numFmtId="0" fontId="9" fillId="0" borderId="2" xfId="0" applyFont="1" applyBorder="1" applyAlignment="1">
      <alignment horizontal="centerContinuous"/>
    </xf>
    <xf numFmtId="0" fontId="9" fillId="0" borderId="11" xfId="0" applyFont="1" applyBorder="1"/>
    <xf numFmtId="0" fontId="9" fillId="0" borderId="2" xfId="0" applyFont="1" applyBorder="1"/>
    <xf numFmtId="0" fontId="9" fillId="0" borderId="6"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7" xfId="0" applyFont="1" applyBorder="1" applyAlignment="1">
      <alignment vertical="center"/>
    </xf>
    <xf numFmtId="0" fontId="9" fillId="0" borderId="13" xfId="0" applyFont="1" applyBorder="1" applyAlignment="1">
      <alignment vertical="center"/>
    </xf>
    <xf numFmtId="0" fontId="9" fillId="0" borderId="3" xfId="0" applyFont="1" applyBorder="1" applyAlignment="1">
      <alignment horizontal="centerContinuous" vertical="center"/>
    </xf>
    <xf numFmtId="0" fontId="9" fillId="0" borderId="10" xfId="0" applyFont="1" applyBorder="1" applyAlignment="1">
      <alignment horizontal="centerContinuous" vertical="center"/>
    </xf>
    <xf numFmtId="0" fontId="9" fillId="0" borderId="14" xfId="0" applyFont="1" applyBorder="1" applyAlignment="1">
      <alignment vertical="center"/>
    </xf>
    <xf numFmtId="0" fontId="9" fillId="0" borderId="14" xfId="0" applyFont="1" applyBorder="1" applyAlignment="1">
      <alignment horizontal="centerContinuous" vertical="center"/>
    </xf>
    <xf numFmtId="0" fontId="9" fillId="0" borderId="12" xfId="0" applyFont="1" applyBorder="1" applyAlignment="1">
      <alignment horizontal="centerContinuous"/>
    </xf>
    <xf numFmtId="0" fontId="9" fillId="0" borderId="7" xfId="0" quotePrefix="1" applyFont="1" applyBorder="1" applyAlignment="1">
      <alignment horizontal="centerContinuous" vertical="center"/>
    </xf>
    <xf numFmtId="165" fontId="9" fillId="0" borderId="13" xfId="0" applyNumberFormat="1" applyFont="1" applyBorder="1" applyAlignment="1">
      <alignment horizontal="centerContinuous"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3" fontId="9" fillId="0" borderId="7" xfId="0" applyNumberFormat="1" applyFont="1" applyBorder="1" applyAlignment="1">
      <alignment vertical="center"/>
    </xf>
    <xf numFmtId="165" fontId="9" fillId="0" borderId="13" xfId="0" applyNumberFormat="1" applyFont="1" applyBorder="1" applyAlignment="1">
      <alignment horizontal="center" vertical="center"/>
    </xf>
    <xf numFmtId="0" fontId="9" fillId="0" borderId="3" xfId="0" applyFont="1" applyBorder="1" applyAlignment="1">
      <alignment horizontal="centerContinuous"/>
    </xf>
    <xf numFmtId="0" fontId="9" fillId="0" borderId="14" xfId="0" applyFont="1" applyBorder="1" applyAlignment="1">
      <alignment horizontal="centerContinuous"/>
    </xf>
    <xf numFmtId="0" fontId="9" fillId="0" borderId="15" xfId="0" applyFont="1" applyBorder="1" applyAlignment="1">
      <alignment horizontal="centerContinuous"/>
    </xf>
    <xf numFmtId="0" fontId="9" fillId="0" borderId="0" xfId="0" applyFont="1" applyAlignment="1"/>
    <xf numFmtId="0" fontId="9" fillId="0" borderId="13" xfId="0" applyFont="1" applyBorder="1"/>
    <xf numFmtId="0" fontId="9" fillId="0" borderId="12" xfId="0" applyFont="1" applyBorder="1" applyAlignment="1">
      <alignment horizontal="center"/>
    </xf>
    <xf numFmtId="165" fontId="9" fillId="0" borderId="0" xfId="0" applyNumberFormat="1" applyFont="1" applyAlignment="1">
      <alignment horizontal="centerContinuous" vertical="center"/>
    </xf>
    <xf numFmtId="165" fontId="9" fillId="0" borderId="0" xfId="0" applyNumberFormat="1" applyFont="1" applyAlignment="1">
      <alignment horizontal="center" vertical="center"/>
    </xf>
    <xf numFmtId="1" fontId="9" fillId="0" borderId="0" xfId="0" applyNumberFormat="1" applyFont="1" applyBorder="1" applyAlignment="1">
      <alignment horizontal="center" vertical="center"/>
    </xf>
    <xf numFmtId="165" fontId="9" fillId="0" borderId="0" xfId="0" applyNumberFormat="1" applyFont="1" applyBorder="1" applyAlignment="1">
      <alignment horizontal="center" vertical="center"/>
    </xf>
    <xf numFmtId="3" fontId="9" fillId="0" borderId="7" xfId="0" applyNumberFormat="1" applyFont="1" applyBorder="1" applyAlignment="1">
      <alignment horizontal="centerContinuous" vertical="center"/>
    </xf>
    <xf numFmtId="0" fontId="33" fillId="0" borderId="0" xfId="0" applyFont="1" applyAlignment="1">
      <alignment horizontal="centerContinuous"/>
    </xf>
    <xf numFmtId="0" fontId="0" fillId="0" borderId="11" xfId="0" applyBorder="1" applyAlignment="1">
      <alignment horizontal="centerContinuous" vertical="center"/>
    </xf>
    <xf numFmtId="0" fontId="0" fillId="0" borderId="2" xfId="0" applyBorder="1" applyAlignment="1">
      <alignment horizontal="centerContinuous" vertical="center"/>
    </xf>
    <xf numFmtId="0" fontId="9" fillId="0" borderId="0" xfId="0" applyFont="1" applyAlignment="1">
      <alignment horizontal="centerContinuous" vertical="center"/>
    </xf>
    <xf numFmtId="1" fontId="9" fillId="0" borderId="7" xfId="0" applyNumberFormat="1" applyFont="1" applyBorder="1" applyAlignment="1">
      <alignment horizontal="center" vertical="center"/>
    </xf>
    <xf numFmtId="0" fontId="9" fillId="0" borderId="10"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Continuous" vertical="center"/>
    </xf>
    <xf numFmtId="0" fontId="9" fillId="0" borderId="2" xfId="0" applyFont="1" applyBorder="1" applyAlignment="1">
      <alignment horizontal="centerContinuous" vertical="center"/>
    </xf>
    <xf numFmtId="0" fontId="9" fillId="0" borderId="12" xfId="0" applyFont="1" applyBorder="1" applyAlignment="1">
      <alignment horizontal="centerContinuous" vertical="center"/>
    </xf>
    <xf numFmtId="0" fontId="28" fillId="0" borderId="5"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2" xfId="0" applyFont="1" applyBorder="1" applyAlignment="1">
      <alignment horizontal="centerContinuous" vertical="center"/>
    </xf>
    <xf numFmtId="0" fontId="5" fillId="0" borderId="0" xfId="0" applyFont="1"/>
    <xf numFmtId="0" fontId="10" fillId="0" borderId="5" xfId="0" applyFont="1" applyBorder="1" applyAlignment="1"/>
    <xf numFmtId="0" fontId="0" fillId="0" borderId="12" xfId="0" applyBorder="1" applyAlignment="1">
      <alignment vertical="center"/>
    </xf>
    <xf numFmtId="0" fontId="0" fillId="0" borderId="12" xfId="0" applyBorder="1" applyAlignment="1">
      <alignment horizontal="centerContinuous" vertical="center"/>
    </xf>
    <xf numFmtId="0" fontId="0" fillId="0" borderId="2" xfId="0" applyBorder="1" applyAlignment="1">
      <alignment horizontal="center" vertical="center"/>
    </xf>
    <xf numFmtId="0" fontId="10" fillId="0" borderId="3" xfId="0" applyFont="1" applyBorder="1" applyAlignment="1">
      <alignment vertical="top" wrapText="1"/>
    </xf>
    <xf numFmtId="0" fontId="9" fillId="0" borderId="8" xfId="0" applyFont="1" applyBorder="1" applyAlignment="1">
      <alignment horizontal="centerContinuous" vertical="center"/>
    </xf>
    <xf numFmtId="0" fontId="9" fillId="0" borderId="4" xfId="0" applyFont="1" applyBorder="1" applyAlignment="1">
      <alignment horizontal="centerContinuous" vertical="center"/>
    </xf>
    <xf numFmtId="0" fontId="9" fillId="0" borderId="6" xfId="0" applyFont="1" applyBorder="1" applyAlignment="1">
      <alignment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9" fillId="0" borderId="3" xfId="0" applyFont="1" applyBorder="1" applyAlignment="1">
      <alignment vertical="center"/>
    </xf>
    <xf numFmtId="0" fontId="6" fillId="0" borderId="15" xfId="0" applyFont="1" applyBorder="1" applyAlignment="1">
      <alignment horizontal="centerContinuous" vertical="center"/>
    </xf>
    <xf numFmtId="0" fontId="6" fillId="0" borderId="3" xfId="0" applyFont="1" applyBorder="1" applyAlignment="1">
      <alignment horizontal="centerContinuous" vertical="center"/>
    </xf>
    <xf numFmtId="3" fontId="6" fillId="0" borderId="14" xfId="0" applyNumberFormat="1" applyFont="1" applyBorder="1" applyAlignment="1">
      <alignment horizontal="centerContinuous" vertical="center"/>
    </xf>
    <xf numFmtId="0" fontId="9" fillId="0" borderId="0" xfId="0" applyFont="1" applyBorder="1" applyAlignment="1">
      <alignment vertical="center"/>
    </xf>
    <xf numFmtId="0" fontId="22" fillId="0" borderId="0" xfId="0" applyFont="1" applyAlignment="1">
      <alignment horizontal="center"/>
    </xf>
    <xf numFmtId="0" fontId="36" fillId="0" borderId="0" xfId="0" applyFont="1"/>
    <xf numFmtId="0" fontId="15" fillId="0" borderId="0" xfId="0" applyFont="1"/>
    <xf numFmtId="0" fontId="0" fillId="0" borderId="2" xfId="0" applyBorder="1"/>
    <xf numFmtId="0" fontId="10" fillId="0" borderId="3" xfId="0" applyFont="1" applyBorder="1" applyAlignment="1">
      <alignment vertical="center" wrapText="1"/>
    </xf>
    <xf numFmtId="16" fontId="0" fillId="0" borderId="10" xfId="0" quotePrefix="1" applyNumberFormat="1" applyBorder="1" applyAlignment="1">
      <alignment horizontal="center" vertical="center"/>
    </xf>
    <xf numFmtId="16" fontId="0" fillId="0" borderId="15" xfId="0" quotePrefix="1" applyNumberFormat="1" applyBorder="1" applyAlignment="1">
      <alignment horizontal="center" vertical="center"/>
    </xf>
    <xf numFmtId="0" fontId="0" fillId="0" borderId="14" xfId="0" applyBorder="1" applyAlignment="1">
      <alignment vertical="center"/>
    </xf>
    <xf numFmtId="0" fontId="36" fillId="0" borderId="0" xfId="0" applyFont="1" applyAlignment="1">
      <alignment vertical="center"/>
    </xf>
    <xf numFmtId="166" fontId="34" fillId="0" borderId="0" xfId="0" applyNumberFormat="1" applyFont="1" applyBorder="1" applyAlignment="1">
      <alignment horizontal="center" vertical="center"/>
    </xf>
    <xf numFmtId="166" fontId="6" fillId="0" borderId="0" xfId="0" applyNumberFormat="1" applyFont="1" applyBorder="1" applyAlignment="1">
      <alignment horizontal="center" vertical="center"/>
    </xf>
    <xf numFmtId="166" fontId="6" fillId="0" borderId="15" xfId="0" applyNumberFormat="1" applyFont="1" applyBorder="1" applyAlignment="1">
      <alignment horizontal="centerContinuous" vertical="center"/>
    </xf>
    <xf numFmtId="0" fontId="0" fillId="0" borderId="13" xfId="0" applyBorder="1" applyAlignment="1">
      <alignment horizontal="center" vertical="center"/>
    </xf>
    <xf numFmtId="0" fontId="36" fillId="0" borderId="0" xfId="0" applyFont="1" applyFill="1" applyBorder="1" applyAlignment="1">
      <alignment horizontal="center" vertical="center"/>
    </xf>
    <xf numFmtId="0" fontId="6" fillId="0" borderId="14" xfId="0" applyFont="1" applyBorder="1" applyAlignment="1">
      <alignment horizontal="centerContinuous" vertical="center"/>
    </xf>
    <xf numFmtId="0" fontId="9" fillId="0" borderId="6" xfId="0" applyFont="1" applyFill="1" applyBorder="1" applyAlignment="1">
      <alignment vertical="center"/>
    </xf>
    <xf numFmtId="0" fontId="6" fillId="0" borderId="0" xfId="0" applyFont="1" applyFill="1" applyBorder="1" applyAlignment="1">
      <alignment horizontal="center" vertical="center"/>
    </xf>
    <xf numFmtId="3" fontId="19" fillId="0" borderId="1" xfId="0" applyNumberFormat="1" applyFont="1" applyBorder="1" applyAlignment="1">
      <alignment horizontal="center" vertical="center"/>
    </xf>
    <xf numFmtId="3" fontId="0" fillId="0" borderId="11" xfId="0" applyNumberFormat="1" applyBorder="1"/>
    <xf numFmtId="0" fontId="0" fillId="0" borderId="7" xfId="0" applyBorder="1"/>
    <xf numFmtId="0" fontId="0" fillId="0" borderId="13" xfId="0" applyBorder="1" applyAlignment="1">
      <alignment horizontal="centerContinuous"/>
    </xf>
    <xf numFmtId="0" fontId="0" fillId="0" borderId="10" xfId="0" applyBorder="1"/>
    <xf numFmtId="0" fontId="0" fillId="0" borderId="14" xfId="0" applyBorder="1"/>
    <xf numFmtId="0" fontId="0" fillId="0" borderId="2" xfId="0" applyBorder="1" applyAlignment="1">
      <alignment vertical="center"/>
    </xf>
    <xf numFmtId="3" fontId="0" fillId="0" borderId="0" xfId="0" applyNumberFormat="1" applyBorder="1" applyAlignment="1">
      <alignment horizontal="center" vertical="center"/>
    </xf>
    <xf numFmtId="2" fontId="0" fillId="0" borderId="13" xfId="0" applyNumberFormat="1" applyBorder="1" applyAlignment="1">
      <alignment horizontal="center" vertical="center"/>
    </xf>
    <xf numFmtId="3" fontId="0" fillId="0" borderId="15" xfId="0" applyNumberFormat="1" applyBorder="1" applyAlignment="1">
      <alignment horizontal="center" vertical="center"/>
    </xf>
    <xf numFmtId="2" fontId="0" fillId="0" borderId="14" xfId="0" applyNumberFormat="1" applyBorder="1" applyAlignment="1">
      <alignment horizontal="center" vertical="center"/>
    </xf>
    <xf numFmtId="3" fontId="9" fillId="0" borderId="0" xfId="0" applyNumberFormat="1" applyFont="1" applyBorder="1" applyAlignment="1">
      <alignment horizontal="centerContinuous"/>
    </xf>
    <xf numFmtId="0" fontId="37" fillId="0" borderId="0" xfId="0" applyFont="1" applyAlignment="1">
      <alignment horizontal="center"/>
    </xf>
    <xf numFmtId="0" fontId="38" fillId="0" borderId="0" xfId="0" applyFont="1" applyAlignment="1">
      <alignment horizontal="center"/>
    </xf>
    <xf numFmtId="0" fontId="6" fillId="0" borderId="5" xfId="0" applyFont="1" applyBorder="1" applyAlignment="1">
      <alignment vertical="center"/>
    </xf>
    <xf numFmtId="0" fontId="6" fillId="0" borderId="10" xfId="0" applyFont="1" applyBorder="1" applyAlignment="1">
      <alignment horizontal="centerContinuous" vertical="center"/>
    </xf>
    <xf numFmtId="0" fontId="19" fillId="0" borderId="6" xfId="0" applyFont="1" applyBorder="1" applyAlignment="1">
      <alignment vertical="center"/>
    </xf>
    <xf numFmtId="3" fontId="19" fillId="0" borderId="6" xfId="0" applyNumberFormat="1" applyFont="1" applyBorder="1" applyAlignment="1">
      <alignment horizontal="center"/>
    </xf>
    <xf numFmtId="165" fontId="19" fillId="0" borderId="0" xfId="0" applyNumberFormat="1" applyFont="1" applyBorder="1" applyAlignment="1">
      <alignment horizontal="center"/>
    </xf>
    <xf numFmtId="3" fontId="0" fillId="0" borderId="0" xfId="0" applyNumberFormat="1" applyAlignment="1">
      <alignment vertical="center"/>
    </xf>
    <xf numFmtId="0" fontId="39" fillId="0" borderId="11" xfId="0" applyFont="1" applyBorder="1" applyAlignment="1">
      <alignment horizontal="center" vertical="center"/>
    </xf>
    <xf numFmtId="0" fontId="39" fillId="0" borderId="5" xfId="0" applyFont="1" applyBorder="1" applyAlignment="1">
      <alignment horizontal="center" vertical="center"/>
    </xf>
    <xf numFmtId="0" fontId="39" fillId="0" borderId="7"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center" vertical="center"/>
    </xf>
    <xf numFmtId="0" fontId="39" fillId="0" borderId="0"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left" vertical="center"/>
    </xf>
    <xf numFmtId="0" fontId="39" fillId="0" borderId="3" xfId="0" applyFont="1" applyBorder="1" applyAlignment="1">
      <alignment horizontal="left" vertical="center"/>
    </xf>
    <xf numFmtId="0" fontId="39" fillId="0" borderId="10" xfId="0" applyFont="1" applyBorder="1" applyAlignment="1">
      <alignment horizontal="center" vertical="center"/>
    </xf>
    <xf numFmtId="0" fontId="39" fillId="0" borderId="15" xfId="0" applyFont="1" applyBorder="1" applyAlignment="1">
      <alignment horizontal="center" vertical="center"/>
    </xf>
    <xf numFmtId="0" fontId="39" fillId="0" borderId="14" xfId="0" applyFont="1" applyBorder="1" applyAlignment="1">
      <alignment horizontal="center" vertical="center"/>
    </xf>
    <xf numFmtId="165" fontId="39" fillId="0" borderId="13" xfId="0" applyNumberFormat="1" applyFont="1" applyBorder="1" applyAlignment="1">
      <alignment horizontal="center" vertical="center"/>
    </xf>
    <xf numFmtId="165" fontId="39" fillId="0" borderId="0"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0" xfId="0" applyNumberFormat="1" applyFont="1" applyBorder="1" applyAlignment="1">
      <alignment horizontal="center" vertical="center"/>
    </xf>
    <xf numFmtId="165" fontId="39" fillId="0" borderId="14" xfId="0" applyNumberFormat="1" applyFont="1" applyBorder="1" applyAlignment="1">
      <alignment horizontal="center" vertical="center"/>
    </xf>
    <xf numFmtId="165" fontId="39" fillId="0" borderId="15" xfId="0" applyNumberFormat="1" applyFont="1" applyBorder="1" applyAlignment="1">
      <alignment horizontal="center" vertical="center"/>
    </xf>
    <xf numFmtId="3" fontId="39" fillId="0" borderId="10" xfId="0" applyNumberFormat="1" applyFont="1" applyBorder="1" applyAlignment="1">
      <alignment horizontal="center" vertical="center"/>
    </xf>
    <xf numFmtId="3" fontId="39" fillId="0" borderId="15" xfId="0" applyNumberFormat="1" applyFont="1" applyBorder="1" applyAlignment="1">
      <alignment horizontal="center" vertical="center"/>
    </xf>
    <xf numFmtId="0" fontId="22" fillId="0" borderId="0" xfId="0" applyFont="1"/>
    <xf numFmtId="0" fontId="39" fillId="0" borderId="11" xfId="0" applyFont="1" applyBorder="1" applyAlignment="1">
      <alignment vertical="center"/>
    </xf>
    <xf numFmtId="0" fontId="39" fillId="0" borderId="7" xfId="0" applyFont="1" applyBorder="1" applyAlignment="1">
      <alignment vertical="center"/>
    </xf>
    <xf numFmtId="0" fontId="39" fillId="0" borderId="10" xfId="0" applyFont="1" applyBorder="1" applyAlignment="1">
      <alignment vertical="center"/>
    </xf>
    <xf numFmtId="1" fontId="39" fillId="0" borderId="13" xfId="0" applyNumberFormat="1" applyFont="1" applyBorder="1" applyAlignment="1">
      <alignment horizontal="center" vertical="center"/>
    </xf>
    <xf numFmtId="1" fontId="39" fillId="0" borderId="0" xfId="0" applyNumberFormat="1" applyFont="1" applyBorder="1" applyAlignment="1">
      <alignment horizontal="center" vertical="center"/>
    </xf>
    <xf numFmtId="0" fontId="0" fillId="0" borderId="4" xfId="0" applyBorder="1"/>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39" fillId="0" borderId="15" xfId="0" applyFont="1" applyBorder="1" applyAlignment="1">
      <alignment horizontal="center"/>
    </xf>
    <xf numFmtId="0" fontId="39" fillId="0" borderId="7" xfId="0" applyFont="1" applyBorder="1"/>
    <xf numFmtId="0" fontId="39" fillId="0" borderId="13" xfId="0" applyFont="1" applyBorder="1"/>
    <xf numFmtId="3" fontId="39" fillId="0" borderId="7" xfId="0" applyNumberFormat="1" applyFont="1" applyBorder="1" applyAlignment="1">
      <alignment horizontal="center"/>
    </xf>
    <xf numFmtId="3" fontId="39" fillId="0" borderId="0" xfId="0" applyNumberFormat="1" applyFont="1" applyBorder="1" applyAlignment="1">
      <alignment horizontal="center"/>
    </xf>
    <xf numFmtId="0" fontId="39" fillId="0" borderId="10" xfId="0" applyFont="1" applyBorder="1"/>
    <xf numFmtId="0" fontId="39" fillId="0" borderId="14" xfId="0" applyFont="1" applyBorder="1"/>
    <xf numFmtId="3" fontId="39" fillId="0" borderId="10" xfId="0" applyNumberFormat="1" applyFont="1" applyBorder="1" applyAlignment="1">
      <alignment horizontal="center"/>
    </xf>
    <xf numFmtId="3" fontId="39" fillId="0" borderId="15" xfId="0" applyNumberFormat="1" applyFont="1" applyBorder="1" applyAlignment="1">
      <alignment horizontal="center"/>
    </xf>
    <xf numFmtId="3" fontId="39" fillId="0" borderId="14" xfId="0" applyNumberFormat="1" applyFont="1" applyBorder="1" applyAlignment="1">
      <alignment horizontal="center"/>
    </xf>
    <xf numFmtId="0" fontId="39" fillId="0" borderId="0" xfId="0" applyFont="1"/>
    <xf numFmtId="0" fontId="20" fillId="0" borderId="0" xfId="0" applyFont="1"/>
    <xf numFmtId="0" fontId="39" fillId="0" borderId="11" xfId="0" applyFont="1" applyBorder="1"/>
    <xf numFmtId="0" fontId="39" fillId="0" borderId="12" xfId="0" applyFont="1" applyBorder="1"/>
    <xf numFmtId="3" fontId="39" fillId="0" borderId="11" xfId="0" applyNumberFormat="1" applyFont="1" applyBorder="1"/>
    <xf numFmtId="3" fontId="39" fillId="0" borderId="2" xfId="0" applyNumberFormat="1" applyFont="1" applyBorder="1"/>
    <xf numFmtId="3" fontId="39" fillId="0" borderId="12" xfId="0" applyNumberFormat="1" applyFont="1" applyBorder="1"/>
    <xf numFmtId="0" fontId="39" fillId="0" borderId="2" xfId="0" applyFont="1" applyBorder="1"/>
    <xf numFmtId="0" fontId="39" fillId="0" borderId="0" xfId="0" applyFont="1" applyBorder="1"/>
    <xf numFmtId="3" fontId="39" fillId="0" borderId="13" xfId="0" applyNumberFormat="1" applyFont="1" applyBorder="1"/>
    <xf numFmtId="3" fontId="39" fillId="0" borderId="0" xfId="0" applyNumberFormat="1" applyFont="1" applyBorder="1"/>
    <xf numFmtId="0" fontId="19" fillId="0" borderId="7" xfId="0" applyFont="1" applyBorder="1"/>
    <xf numFmtId="0" fontId="19" fillId="0" borderId="0" xfId="0" applyFont="1" applyBorder="1"/>
    <xf numFmtId="0" fontId="9" fillId="0" borderId="0" xfId="0" applyFont="1" applyBorder="1"/>
    <xf numFmtId="3" fontId="39" fillId="0" borderId="14" xfId="0" applyNumberFormat="1" applyFont="1" applyBorder="1"/>
    <xf numFmtId="3" fontId="39" fillId="0" borderId="15" xfId="0" applyNumberFormat="1" applyFont="1" applyBorder="1"/>
    <xf numFmtId="0" fontId="19" fillId="0" borderId="10" xfId="0" applyFont="1" applyBorder="1"/>
    <xf numFmtId="0" fontId="39" fillId="0" borderId="1" xfId="0" applyFont="1" applyBorder="1"/>
    <xf numFmtId="0" fontId="39" fillId="0" borderId="1" xfId="0" applyFont="1" applyBorder="1" applyAlignment="1">
      <alignment horizontal="center"/>
    </xf>
    <xf numFmtId="3" fontId="39" fillId="0" borderId="1" xfId="0" applyNumberFormat="1" applyFont="1" applyBorder="1" applyAlignment="1">
      <alignment horizontal="center"/>
    </xf>
    <xf numFmtId="0" fontId="39" fillId="0" borderId="5" xfId="0" applyFont="1" applyBorder="1"/>
    <xf numFmtId="0" fontId="39" fillId="0" borderId="9" xfId="0" applyFont="1" applyBorder="1"/>
    <xf numFmtId="0" fontId="39" fillId="0" borderId="4" xfId="0" applyFont="1" applyBorder="1"/>
    <xf numFmtId="0" fontId="27" fillId="0" borderId="0" xfId="0" applyFont="1" applyAlignment="1">
      <alignment horizontal="center"/>
    </xf>
    <xf numFmtId="0" fontId="39" fillId="0" borderId="4" xfId="0" applyFont="1" applyBorder="1" applyAlignment="1">
      <alignment horizontal="center"/>
    </xf>
    <xf numFmtId="0" fontId="39" fillId="0" borderId="6" xfId="0" applyFont="1" applyBorder="1" applyAlignment="1">
      <alignment horizontal="center"/>
    </xf>
    <xf numFmtId="2" fontId="39" fillId="0" borderId="0" xfId="0" applyNumberFormat="1" applyFont="1" applyBorder="1" applyAlignment="1">
      <alignment horizontal="center"/>
    </xf>
    <xf numFmtId="1" fontId="39" fillId="0" borderId="13" xfId="0" applyNumberFormat="1" applyFont="1" applyBorder="1" applyAlignment="1">
      <alignment horizontal="center"/>
    </xf>
    <xf numFmtId="0" fontId="39" fillId="0" borderId="3" xfId="0" applyFont="1" applyBorder="1" applyAlignment="1">
      <alignment horizontal="center"/>
    </xf>
    <xf numFmtId="2" fontId="39" fillId="0" borderId="15" xfId="0" applyNumberFormat="1" applyFont="1" applyBorder="1" applyAlignment="1">
      <alignment horizontal="center"/>
    </xf>
    <xf numFmtId="0" fontId="39" fillId="0" borderId="0" xfId="0" applyFont="1" applyBorder="1" applyAlignment="1">
      <alignment horizontal="center"/>
    </xf>
    <xf numFmtId="0" fontId="19" fillId="0" borderId="0" xfId="0" applyFont="1"/>
    <xf numFmtId="0" fontId="39" fillId="0" borderId="11" xfId="0" applyFont="1" applyBorder="1" applyAlignment="1"/>
    <xf numFmtId="165" fontId="39" fillId="0" borderId="7" xfId="0" applyNumberFormat="1" applyFont="1" applyBorder="1" applyAlignment="1">
      <alignment horizontal="center" vertical="center"/>
    </xf>
    <xf numFmtId="165" fontId="39" fillId="0" borderId="10" xfId="0" applyNumberFormat="1" applyFont="1" applyBorder="1" applyAlignment="1">
      <alignment horizontal="center" vertical="center"/>
    </xf>
    <xf numFmtId="0" fontId="41" fillId="0" borderId="11" xfId="0" applyFont="1" applyBorder="1" applyAlignment="1">
      <alignment horizontal="centerContinuous" vertical="center"/>
    </xf>
    <xf numFmtId="0" fontId="41" fillId="0" borderId="2" xfId="0" applyFont="1" applyBorder="1" applyAlignment="1">
      <alignment horizontal="centerContinuous" vertical="center"/>
    </xf>
    <xf numFmtId="0" fontId="9" fillId="0" borderId="0" xfId="0" applyFont="1" applyBorder="1" applyAlignment="1">
      <alignment horizontal="centerContinuous" vertical="center"/>
    </xf>
    <xf numFmtId="0" fontId="41" fillId="0" borderId="7" xfId="0" applyFont="1" applyBorder="1" applyAlignment="1">
      <alignment horizontal="centerContinuous" vertical="center"/>
    </xf>
    <xf numFmtId="0" fontId="41" fillId="0" borderId="13" xfId="0" applyFont="1" applyBorder="1" applyAlignment="1">
      <alignment horizontal="centerContinuous" vertical="center"/>
    </xf>
    <xf numFmtId="0" fontId="41" fillId="0" borderId="10" xfId="0" applyFont="1" applyBorder="1" applyAlignment="1">
      <alignment horizontal="centerContinuous" vertical="center"/>
    </xf>
    <xf numFmtId="0" fontId="41" fillId="0" borderId="14" xfId="0" applyFont="1" applyBorder="1" applyAlignment="1">
      <alignment horizontal="centerContinuous" vertical="center"/>
    </xf>
    <xf numFmtId="0" fontId="9" fillId="0" borderId="15" xfId="0" applyFont="1" applyBorder="1" applyAlignment="1">
      <alignment horizontal="centerContinuous"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7" xfId="0" applyFont="1" applyBorder="1" applyAlignment="1">
      <alignment vertical="center"/>
    </xf>
    <xf numFmtId="0" fontId="3" fillId="0" borderId="13" xfId="0" applyFont="1" applyBorder="1" applyAlignment="1">
      <alignment vertical="center"/>
    </xf>
    <xf numFmtId="0" fontId="9" fillId="0" borderId="6" xfId="0" quotePrefix="1" applyFont="1" applyBorder="1" applyAlignment="1">
      <alignment horizontal="centerContinuous" vertical="center"/>
    </xf>
    <xf numFmtId="0" fontId="19" fillId="0" borderId="0" xfId="0" applyFont="1" applyAlignment="1">
      <alignment horizontal="center" vertical="center"/>
    </xf>
    <xf numFmtId="3" fontId="41" fillId="0" borderId="7" xfId="0" applyNumberFormat="1" applyFont="1" applyBorder="1" applyAlignment="1">
      <alignment horizontal="center" vertical="center"/>
    </xf>
    <xf numFmtId="3" fontId="41" fillId="0" borderId="13" xfId="0" applyNumberFormat="1" applyFont="1" applyBorder="1" applyAlignment="1">
      <alignment horizontal="center" vertical="center"/>
    </xf>
    <xf numFmtId="3" fontId="41" fillId="0" borderId="0"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15" xfId="0" applyNumberFormat="1" applyFont="1" applyBorder="1" applyAlignment="1">
      <alignment horizontal="center" vertical="center"/>
    </xf>
    <xf numFmtId="3" fontId="19" fillId="0" borderId="14" xfId="0" applyNumberFormat="1" applyFont="1" applyBorder="1" applyAlignment="1">
      <alignment horizontal="center" vertical="center"/>
    </xf>
    <xf numFmtId="3" fontId="42" fillId="0" borderId="10" xfId="0" applyNumberFormat="1" applyFont="1" applyBorder="1" applyAlignment="1">
      <alignment horizontal="center" vertical="center"/>
    </xf>
    <xf numFmtId="3" fontId="42" fillId="0" borderId="14" xfId="0" applyNumberFormat="1" applyFont="1" applyBorder="1" applyAlignment="1">
      <alignment horizontal="center" vertical="center"/>
    </xf>
    <xf numFmtId="3" fontId="41" fillId="0" borderId="10" xfId="0" applyNumberFormat="1" applyFont="1" applyBorder="1" applyAlignment="1">
      <alignment horizontal="center" vertical="center"/>
    </xf>
    <xf numFmtId="3" fontId="41" fillId="0" borderId="14" xfId="0" applyNumberFormat="1" applyFont="1" applyBorder="1" applyAlignment="1">
      <alignment horizontal="center" vertical="center"/>
    </xf>
    <xf numFmtId="0" fontId="43" fillId="0" borderId="0" xfId="0" applyFont="1" applyAlignment="1">
      <alignment horizontal="center" vertical="center"/>
    </xf>
    <xf numFmtId="0" fontId="10" fillId="0" borderId="5" xfId="0" applyFont="1"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42" fillId="0" borderId="12" xfId="0" applyFont="1" applyBorder="1" applyAlignment="1">
      <alignment horizontal="center" vertical="center"/>
    </xf>
    <xf numFmtId="3" fontId="41" fillId="0" borderId="11" xfId="0" applyNumberFormat="1" applyFont="1" applyBorder="1" applyAlignment="1">
      <alignment horizontal="center" vertical="center"/>
    </xf>
    <xf numFmtId="3" fontId="41" fillId="0" borderId="2" xfId="0" applyNumberFormat="1" applyFont="1" applyBorder="1" applyAlignment="1">
      <alignment horizontal="center" vertical="center"/>
    </xf>
    <xf numFmtId="0" fontId="10" fillId="0" borderId="3" xfId="0" applyFont="1" applyBorder="1" applyAlignment="1">
      <alignment vertical="center"/>
    </xf>
    <xf numFmtId="2" fontId="19" fillId="0" borderId="10" xfId="0" applyNumberFormat="1" applyFont="1" applyBorder="1" applyAlignment="1">
      <alignment horizontal="center" vertical="center"/>
    </xf>
    <xf numFmtId="2" fontId="19" fillId="0" borderId="15" xfId="0" applyNumberFormat="1" applyFont="1" applyBorder="1" applyAlignment="1">
      <alignment horizontal="center" vertical="center"/>
    </xf>
    <xf numFmtId="2" fontId="41" fillId="0" borderId="15" xfId="0" applyNumberFormat="1" applyFont="1" applyBorder="1" applyAlignment="1">
      <alignment horizontal="center" vertical="center"/>
    </xf>
    <xf numFmtId="3" fontId="41" fillId="0" borderId="15" xfId="0" applyNumberFormat="1" applyFont="1" applyBorder="1" applyAlignment="1">
      <alignment horizontal="center" vertical="center"/>
    </xf>
    <xf numFmtId="2" fontId="41" fillId="0" borderId="10" xfId="0" applyNumberFormat="1" applyFont="1" applyBorder="1" applyAlignment="1">
      <alignment horizontal="center" vertical="center"/>
    </xf>
    <xf numFmtId="0" fontId="6" fillId="0" borderId="11" xfId="0" applyFont="1" applyBorder="1" applyAlignment="1">
      <alignment horizontal="centerContinuous" vertical="center"/>
    </xf>
    <xf numFmtId="0" fontId="0" fillId="0" borderId="3" xfId="0" applyBorder="1" applyAlignment="1">
      <alignment horizontal="center" vertical="top"/>
    </xf>
    <xf numFmtId="0" fontId="28" fillId="0" borderId="1" xfId="0" quotePrefix="1" applyFont="1" applyBorder="1" applyAlignment="1">
      <alignment horizontal="centerContinuous" vertical="center" wrapText="1"/>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28" fillId="0" borderId="1" xfId="0" applyFont="1" applyBorder="1" applyAlignment="1">
      <alignment horizontal="centerContinuous" vertical="center" wrapText="1"/>
    </xf>
    <xf numFmtId="0" fontId="28" fillId="0" borderId="1" xfId="0" applyFont="1" applyBorder="1" applyAlignment="1">
      <alignment horizontal="center" vertical="center" wrapText="1"/>
    </xf>
    <xf numFmtId="0" fontId="28" fillId="0" borderId="12" xfId="0" applyFont="1" applyBorder="1" applyAlignment="1">
      <alignment horizontal="center" vertical="center" wrapText="1"/>
    </xf>
    <xf numFmtId="0" fontId="10" fillId="0" borderId="0" xfId="0" applyFont="1" applyAlignment="1">
      <alignment vertical="center"/>
    </xf>
    <xf numFmtId="0" fontId="19" fillId="0" borderId="5" xfId="0" applyFont="1" applyBorder="1" applyAlignment="1">
      <alignment horizontal="center" vertical="center"/>
    </xf>
    <xf numFmtId="0" fontId="19" fillId="0" borderId="10" xfId="0" applyFont="1" applyBorder="1" applyAlignment="1">
      <alignment vertical="center"/>
    </xf>
    <xf numFmtId="1" fontId="39" fillId="0" borderId="9" xfId="0" applyNumberFormat="1" applyFont="1" applyBorder="1" applyAlignment="1">
      <alignment horizontal="center" vertical="center"/>
    </xf>
    <xf numFmtId="1" fontId="39" fillId="0" borderId="8" xfId="0" applyNumberFormat="1" applyFont="1" applyBorder="1" applyAlignment="1">
      <alignment horizontal="center" vertical="center"/>
    </xf>
    <xf numFmtId="1" fontId="39" fillId="0" borderId="4" xfId="0" applyNumberFormat="1" applyFont="1" applyBorder="1" applyAlignment="1">
      <alignment horizontal="center" vertical="center"/>
    </xf>
    <xf numFmtId="0" fontId="19" fillId="0" borderId="7" xfId="0" applyFont="1" applyBorder="1" applyAlignment="1">
      <alignment vertical="center"/>
    </xf>
    <xf numFmtId="3" fontId="39" fillId="0" borderId="13" xfId="0" applyNumberFormat="1" applyFont="1" applyBorder="1" applyAlignment="1">
      <alignment horizontal="center" vertical="center"/>
    </xf>
    <xf numFmtId="3" fontId="39" fillId="0" borderId="2"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0" fontId="43" fillId="0" borderId="7" xfId="0" applyFont="1" applyBorder="1" applyAlignment="1">
      <alignment vertical="center"/>
    </xf>
    <xf numFmtId="0" fontId="19" fillId="0" borderId="0" xfId="0" applyFont="1" applyBorder="1" applyAlignment="1">
      <alignment vertical="center"/>
    </xf>
    <xf numFmtId="3" fontId="20" fillId="0" borderId="7"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13" xfId="0" applyNumberFormat="1" applyFont="1" applyBorder="1" applyAlignment="1">
      <alignment horizontal="center" vertical="center"/>
    </xf>
    <xf numFmtId="0" fontId="14" fillId="0" borderId="7" xfId="0" applyFont="1" applyBorder="1" applyAlignment="1">
      <alignment vertical="center"/>
    </xf>
    <xf numFmtId="3" fontId="20" fillId="0" borderId="10"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4" xfId="0" applyNumberFormat="1" applyFont="1" applyBorder="1" applyAlignment="1">
      <alignment horizontal="center" vertical="center"/>
    </xf>
    <xf numFmtId="0" fontId="19" fillId="0" borderId="11" xfId="0" applyFont="1" applyBorder="1" applyAlignment="1">
      <alignment vertical="center"/>
    </xf>
    <xf numFmtId="0" fontId="19" fillId="0" borderId="5" xfId="0" applyFont="1" applyBorder="1" applyAlignment="1">
      <alignment vertical="center"/>
    </xf>
    <xf numFmtId="0" fontId="39" fillId="0" borderId="0" xfId="0" applyFont="1" applyAlignment="1">
      <alignment vertical="center"/>
    </xf>
    <xf numFmtId="0" fontId="14" fillId="0" borderId="0" xfId="0" applyFont="1" applyBorder="1" applyAlignment="1">
      <alignment vertical="center"/>
    </xf>
    <xf numFmtId="0" fontId="39" fillId="0" borderId="0" xfId="0" applyFont="1" applyAlignment="1">
      <alignment horizontal="center"/>
    </xf>
    <xf numFmtId="0" fontId="14" fillId="0" borderId="13" xfId="0" applyFont="1" applyBorder="1" applyAlignment="1">
      <alignment vertical="center"/>
    </xf>
    <xf numFmtId="0" fontId="20" fillId="0" borderId="0" xfId="0" applyFont="1" applyAlignment="1">
      <alignment vertical="center"/>
    </xf>
    <xf numFmtId="3" fontId="39" fillId="0" borderId="0" xfId="0" applyNumberFormat="1" applyFont="1" applyAlignment="1">
      <alignment horizontal="center"/>
    </xf>
    <xf numFmtId="3" fontId="39" fillId="0" borderId="11" xfId="0" applyNumberFormat="1" applyFont="1" applyBorder="1" applyAlignment="1">
      <alignment vertical="center"/>
    </xf>
    <xf numFmtId="3" fontId="39" fillId="0" borderId="0" xfId="0" applyNumberFormat="1" applyFont="1" applyBorder="1" applyAlignment="1">
      <alignment vertical="center"/>
    </xf>
    <xf numFmtId="3" fontId="39" fillId="0" borderId="13" xfId="0" applyNumberFormat="1" applyFont="1" applyBorder="1" applyAlignment="1">
      <alignment vertical="center"/>
    </xf>
    <xf numFmtId="3" fontId="39" fillId="0" borderId="7" xfId="0" applyNumberFormat="1" applyFont="1" applyBorder="1" applyAlignment="1">
      <alignment vertical="center"/>
    </xf>
    <xf numFmtId="3" fontId="39" fillId="0" borderId="0" xfId="0" applyNumberFormat="1" applyFont="1" applyAlignment="1">
      <alignment vertical="center"/>
    </xf>
    <xf numFmtId="3" fontId="20" fillId="0" borderId="0" xfId="0" applyNumberFormat="1" applyFont="1" applyAlignment="1">
      <alignment vertical="center"/>
    </xf>
    <xf numFmtId="3" fontId="20" fillId="0" borderId="10" xfId="0" applyNumberFormat="1" applyFont="1" applyBorder="1" applyAlignment="1">
      <alignment vertical="center"/>
    </xf>
    <xf numFmtId="3" fontId="20" fillId="0" borderId="15" xfId="0" applyNumberFormat="1" applyFont="1" applyBorder="1" applyAlignment="1">
      <alignment vertical="center"/>
    </xf>
    <xf numFmtId="3" fontId="39" fillId="0" borderId="0" xfId="0" applyNumberFormat="1" applyFont="1"/>
    <xf numFmtId="0" fontId="19" fillId="0" borderId="11" xfId="0" applyFont="1" applyBorder="1"/>
    <xf numFmtId="0" fontId="19" fillId="0" borderId="3" xfId="0" applyFont="1" applyBorder="1" applyAlignment="1">
      <alignment vertical="center"/>
    </xf>
    <xf numFmtId="3" fontId="39" fillId="0" borderId="0" xfId="0" applyNumberFormat="1" applyFont="1" applyAlignment="1">
      <alignment horizontal="center" vertical="center"/>
    </xf>
    <xf numFmtId="3" fontId="20" fillId="0" borderId="0" xfId="0" applyNumberFormat="1" applyFont="1" applyAlignment="1">
      <alignment horizontal="center" vertical="center"/>
    </xf>
    <xf numFmtId="0" fontId="39" fillId="0" borderId="0" xfId="0" applyFont="1" applyAlignment="1">
      <alignment horizontal="center" vertical="center"/>
    </xf>
    <xf numFmtId="0" fontId="20" fillId="0" borderId="0" xfId="0" applyFont="1" applyAlignment="1">
      <alignment horizontal="center" vertical="center"/>
    </xf>
    <xf numFmtId="0" fontId="19" fillId="0" borderId="9" xfId="0" applyFont="1" applyBorder="1" applyAlignment="1">
      <alignment horizontal="center" vertical="center"/>
    </xf>
    <xf numFmtId="0" fontId="19" fillId="0" borderId="4" xfId="0" applyFont="1" applyBorder="1" applyAlignment="1">
      <alignment horizontal="center" vertical="center"/>
    </xf>
    <xf numFmtId="0" fontId="39" fillId="0" borderId="5" xfId="0" applyFont="1" applyBorder="1" applyAlignment="1">
      <alignment vertical="center"/>
    </xf>
    <xf numFmtId="0" fontId="6" fillId="0" borderId="8" xfId="0" applyFont="1" applyBorder="1" applyAlignment="1">
      <alignment horizontal="center" vertical="center"/>
    </xf>
    <xf numFmtId="0" fontId="39" fillId="0" borderId="6" xfId="0" applyFont="1" applyBorder="1" applyAlignment="1">
      <alignment vertical="center"/>
    </xf>
    <xf numFmtId="3" fontId="6" fillId="0" borderId="13" xfId="0" applyNumberFormat="1" applyFont="1" applyBorder="1" applyAlignment="1">
      <alignment horizontal="center" vertical="center"/>
    </xf>
    <xf numFmtId="0" fontId="39" fillId="0" borderId="3" xfId="0" applyFont="1" applyBorder="1" applyAlignment="1">
      <alignment vertical="center"/>
    </xf>
    <xf numFmtId="3" fontId="39" fillId="0" borderId="14" xfId="0" applyNumberFormat="1"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xf numFmtId="3" fontId="6" fillId="0" borderId="12" xfId="0" applyNumberFormat="1" applyFont="1" applyBorder="1" applyAlignment="1">
      <alignment vertical="center"/>
    </xf>
    <xf numFmtId="3" fontId="6" fillId="0" borderId="2" xfId="0" applyNumberFormat="1" applyFont="1" applyBorder="1" applyAlignment="1">
      <alignment vertical="center"/>
    </xf>
    <xf numFmtId="3" fontId="6" fillId="0" borderId="11" xfId="0" applyNumberFormat="1" applyFont="1" applyBorder="1" applyAlignment="1">
      <alignment vertical="center"/>
    </xf>
    <xf numFmtId="0" fontId="6" fillId="0" borderId="6" xfId="0" applyFont="1" applyBorder="1"/>
    <xf numFmtId="3" fontId="6" fillId="0" borderId="0" xfId="0" applyNumberFormat="1" applyFont="1" applyBorder="1" applyAlignment="1">
      <alignment horizontal="center" vertical="center"/>
    </xf>
    <xf numFmtId="3" fontId="6" fillId="0" borderId="7" xfId="0" applyNumberFormat="1" applyFont="1" applyBorder="1" applyAlignment="1">
      <alignment horizontal="center" vertical="center"/>
    </xf>
    <xf numFmtId="0" fontId="6" fillId="0" borderId="0" xfId="0" applyFont="1" applyAlignment="1">
      <alignment horizontal="center"/>
    </xf>
    <xf numFmtId="3" fontId="6" fillId="0" borderId="15" xfId="0" applyNumberFormat="1" applyFont="1" applyBorder="1" applyAlignment="1">
      <alignment horizontal="center" vertical="center"/>
    </xf>
    <xf numFmtId="3" fontId="6" fillId="0" borderId="14"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2" xfId="0" applyNumberFormat="1" applyFont="1" applyBorder="1" applyAlignment="1">
      <alignment horizontal="center"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vertical="center"/>
    </xf>
    <xf numFmtId="3" fontId="6" fillId="0" borderId="0" xfId="0" applyNumberFormat="1" applyFont="1" applyAlignment="1">
      <alignment vertical="center"/>
    </xf>
    <xf numFmtId="0" fontId="0" fillId="0" borderId="15" xfId="0" applyBorder="1" applyAlignment="1">
      <alignment horizontal="center"/>
    </xf>
    <xf numFmtId="3" fontId="39" fillId="0" borderId="9" xfId="0" applyNumberFormat="1" applyFont="1" applyBorder="1" applyAlignment="1">
      <alignment vertical="center"/>
    </xf>
    <xf numFmtId="3" fontId="14" fillId="0" borderId="8" xfId="0" applyNumberFormat="1" applyFont="1" applyBorder="1" applyAlignment="1">
      <alignment horizontal="center" vertical="center" wrapText="1"/>
    </xf>
    <xf numFmtId="3" fontId="14" fillId="0" borderId="4" xfId="0" applyNumberFormat="1" applyFont="1" applyBorder="1" applyAlignment="1">
      <alignment horizontal="center" vertical="center" wrapText="1"/>
    </xf>
    <xf numFmtId="3" fontId="39" fillId="0" borderId="3" xfId="0" applyNumberFormat="1" applyFont="1" applyBorder="1" applyAlignment="1">
      <alignment vertical="center"/>
    </xf>
    <xf numFmtId="3" fontId="14" fillId="0" borderId="14"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3" fontId="16" fillId="0" borderId="3" xfId="0" applyNumberFormat="1" applyFont="1" applyBorder="1" applyAlignment="1">
      <alignment horizontal="center" vertical="center" wrapText="1"/>
    </xf>
    <xf numFmtId="3" fontId="45" fillId="0" borderId="5" xfId="0" applyNumberFormat="1"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3" fontId="45" fillId="0" borderId="6" xfId="0" applyNumberFormat="1" applyFont="1" applyFill="1" applyBorder="1" applyAlignment="1" applyProtection="1">
      <alignment horizontal="center" vertical="center"/>
    </xf>
    <xf numFmtId="3" fontId="45" fillId="0" borderId="3" xfId="0" applyNumberFormat="1" applyFont="1" applyFill="1" applyBorder="1" applyAlignment="1" applyProtection="1">
      <alignment horizontal="center" vertical="center"/>
    </xf>
    <xf numFmtId="3" fontId="39" fillId="0" borderId="3" xfId="0" applyNumberFormat="1" applyFont="1" applyBorder="1" applyAlignment="1">
      <alignment horizontal="center" vertical="center"/>
    </xf>
    <xf numFmtId="0" fontId="19" fillId="0" borderId="0" xfId="0" applyFont="1" applyBorder="1" applyAlignment="1">
      <alignment horizontal="center"/>
    </xf>
    <xf numFmtId="0" fontId="19" fillId="0" borderId="0" xfId="0" applyFont="1" applyAlignment="1">
      <alignment horizontal="center"/>
    </xf>
    <xf numFmtId="3" fontId="19" fillId="0" borderId="1" xfId="0" applyNumberFormat="1" applyFont="1" applyBorder="1" applyAlignment="1">
      <alignment horizontal="center" vertical="center" wrapText="1"/>
    </xf>
    <xf numFmtId="3" fontId="19" fillId="0" borderId="0" xfId="0" applyNumberFormat="1" applyFont="1" applyAlignment="1">
      <alignment horizontal="center" vertical="center"/>
    </xf>
    <xf numFmtId="3" fontId="14" fillId="0" borderId="1" xfId="0" applyNumberFormat="1" applyFont="1" applyBorder="1" applyAlignment="1">
      <alignment horizontal="center" vertical="center" wrapText="1"/>
    </xf>
    <xf numFmtId="0" fontId="45" fillId="0" borderId="1"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xf>
    <xf numFmtId="3" fontId="45" fillId="0" borderId="1" xfId="0" applyNumberFormat="1" applyFont="1" applyFill="1" applyBorder="1" applyAlignment="1" applyProtection="1">
      <alignment horizontal="center" vertical="center"/>
    </xf>
    <xf numFmtId="3" fontId="45" fillId="0" borderId="0" xfId="0" applyNumberFormat="1" applyFont="1" applyFill="1" applyBorder="1" applyAlignment="1" applyProtection="1">
      <alignment vertical="center"/>
    </xf>
    <xf numFmtId="0" fontId="15" fillId="0" borderId="0" xfId="0" applyFont="1" applyAlignment="1">
      <alignment horizontal="center"/>
    </xf>
    <xf numFmtId="0" fontId="49" fillId="0" borderId="7"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3" fontId="14" fillId="0" borderId="13" xfId="0" applyNumberFormat="1" applyFont="1" applyBorder="1" applyAlignment="1">
      <alignment horizontal="center" vertical="center" wrapText="1"/>
    </xf>
    <xf numFmtId="3" fontId="50" fillId="0" borderId="10" xfId="0" applyNumberFormat="1" applyFont="1" applyFill="1" applyBorder="1" applyAlignment="1" applyProtection="1">
      <alignment horizontal="center" vertical="center" wrapText="1"/>
    </xf>
    <xf numFmtId="3" fontId="49" fillId="0" borderId="1" xfId="0" applyNumberFormat="1" applyFont="1" applyFill="1" applyBorder="1" applyAlignment="1" applyProtection="1">
      <alignment horizontal="center" vertical="center" wrapText="1"/>
    </xf>
    <xf numFmtId="3" fontId="48" fillId="0" borderId="1" xfId="0" applyNumberFormat="1" applyFont="1" applyBorder="1" applyAlignment="1">
      <alignment horizontal="center"/>
    </xf>
    <xf numFmtId="0" fontId="50" fillId="6" borderId="18" xfId="0" applyFont="1" applyFill="1" applyBorder="1" applyAlignment="1" applyProtection="1">
      <alignment horizontal="left" vertical="center"/>
    </xf>
    <xf numFmtId="0" fontId="48" fillId="6" borderId="7" xfId="0" applyFont="1" applyFill="1" applyBorder="1" applyAlignment="1" applyProtection="1">
      <alignment horizontal="center" vertical="center"/>
    </xf>
    <xf numFmtId="3" fontId="32" fillId="0" borderId="11" xfId="0" applyNumberFormat="1" applyFont="1" applyBorder="1" applyAlignment="1">
      <alignment horizontal="center" vertical="center"/>
    </xf>
    <xf numFmtId="3" fontId="32" fillId="0" borderId="5" xfId="0" applyNumberFormat="1" applyFont="1" applyBorder="1" applyAlignment="1">
      <alignment horizontal="center" vertical="center"/>
    </xf>
    <xf numFmtId="0" fontId="50" fillId="6" borderId="19" xfId="0" applyFont="1" applyFill="1" applyBorder="1" applyAlignment="1" applyProtection="1">
      <alignment horizontal="left" vertical="center"/>
    </xf>
    <xf numFmtId="0" fontId="49" fillId="6" borderId="19" xfId="0" applyFont="1" applyFill="1" applyBorder="1" applyAlignment="1" applyProtection="1">
      <alignment horizontal="center" vertical="center"/>
    </xf>
    <xf numFmtId="3" fontId="32" fillId="0" borderId="7" xfId="0" applyNumberFormat="1" applyFont="1" applyBorder="1" applyAlignment="1">
      <alignment horizontal="center" vertical="center"/>
    </xf>
    <xf numFmtId="3" fontId="32" fillId="0" borderId="6" xfId="0" applyNumberFormat="1" applyFont="1" applyBorder="1" applyAlignment="1">
      <alignment horizontal="center" vertical="center"/>
    </xf>
    <xf numFmtId="3" fontId="32" fillId="0" borderId="0" xfId="0" applyNumberFormat="1" applyFont="1" applyBorder="1" applyAlignment="1">
      <alignment horizontal="center" vertical="center"/>
    </xf>
    <xf numFmtId="0" fontId="50" fillId="6" borderId="19" xfId="0" applyFont="1" applyFill="1" applyBorder="1" applyAlignment="1" applyProtection="1">
      <alignment horizontal="left" vertical="center" wrapText="1"/>
    </xf>
    <xf numFmtId="3" fontId="32" fillId="0" borderId="13" xfId="0" applyNumberFormat="1" applyFont="1" applyBorder="1" applyAlignment="1">
      <alignment horizontal="center" vertical="center"/>
    </xf>
    <xf numFmtId="3" fontId="50" fillId="6" borderId="19" xfId="0" applyNumberFormat="1" applyFont="1" applyFill="1" applyBorder="1" applyAlignment="1" applyProtection="1">
      <alignment horizontal="left" vertical="center" wrapText="1"/>
    </xf>
    <xf numFmtId="3" fontId="32" fillId="0" borderId="3" xfId="0" applyNumberFormat="1" applyFont="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10" fillId="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3"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xf>
    <xf numFmtId="0" fontId="27" fillId="0" borderId="0" xfId="0" applyFont="1"/>
    <xf numFmtId="0" fontId="19" fillId="0" borderId="1" xfId="0" applyFont="1" applyBorder="1" applyAlignment="1">
      <alignment vertical="center"/>
    </xf>
    <xf numFmtId="2" fontId="39" fillId="0" borderId="0" xfId="0" applyNumberFormat="1" applyFont="1" applyAlignment="1">
      <alignment vertical="center"/>
    </xf>
    <xf numFmtId="3" fontId="20" fillId="0" borderId="6" xfId="0" applyNumberFormat="1" applyFont="1" applyBorder="1" applyAlignment="1">
      <alignment horizontal="center" vertical="center"/>
    </xf>
    <xf numFmtId="3" fontId="20" fillId="0" borderId="3" xfId="0" applyNumberFormat="1" applyFont="1" applyBorder="1" applyAlignment="1">
      <alignment horizontal="center" vertical="center"/>
    </xf>
    <xf numFmtId="2" fontId="39" fillId="0" borderId="0" xfId="0" applyNumberFormat="1" applyFont="1"/>
    <xf numFmtId="3" fontId="6" fillId="0" borderId="6" xfId="0" applyNumberFormat="1" applyFont="1" applyBorder="1" applyAlignment="1">
      <alignment horizontal="center" vertical="center"/>
    </xf>
    <xf numFmtId="0" fontId="6" fillId="0" borderId="6" xfId="0" applyFont="1" applyBorder="1" applyAlignment="1">
      <alignment horizontal="left" vertical="center"/>
    </xf>
    <xf numFmtId="3" fontId="6" fillId="0" borderId="3" xfId="0" applyNumberFormat="1" applyFont="1" applyBorder="1" applyAlignment="1">
      <alignment horizontal="center" vertical="center"/>
    </xf>
    <xf numFmtId="0" fontId="6" fillId="0" borderId="11" xfId="0" applyFont="1" applyBorder="1" applyAlignment="1">
      <alignment horizontal="left"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26" fillId="0" borderId="0" xfId="0" applyFont="1" applyAlignment="1">
      <alignment horizontal="center"/>
    </xf>
    <xf numFmtId="0" fontId="16" fillId="0" borderId="0" xfId="0" applyFont="1"/>
    <xf numFmtId="0" fontId="39" fillId="0" borderId="5" xfId="0" applyFont="1" applyBorder="1" applyAlignment="1">
      <alignment horizontal="center"/>
    </xf>
    <xf numFmtId="0" fontId="39" fillId="0" borderId="5" xfId="0" applyFont="1" applyBorder="1" applyAlignment="1">
      <alignment horizontal="center" wrapText="1"/>
    </xf>
    <xf numFmtId="0" fontId="0" fillId="0" borderId="5" xfId="0" applyBorder="1" applyAlignment="1">
      <alignment horizontal="center" wrapText="1"/>
    </xf>
    <xf numFmtId="0" fontId="39" fillId="0" borderId="3" xfId="0" applyFont="1" applyBorder="1" applyAlignment="1">
      <alignment horizontal="center" vertical="center"/>
    </xf>
    <xf numFmtId="0" fontId="45" fillId="0" borderId="22" xfId="0" quotePrefix="1" applyFont="1" applyFill="1" applyBorder="1" applyAlignment="1" applyProtection="1">
      <alignment horizontal="center" vertical="center"/>
    </xf>
    <xf numFmtId="0" fontId="45" fillId="0" borderId="23" xfId="0" applyFont="1" applyFill="1" applyBorder="1" applyAlignment="1" applyProtection="1">
      <alignment horizontal="center" vertical="center"/>
    </xf>
    <xf numFmtId="0" fontId="45" fillId="0" borderId="24" xfId="0" quotePrefix="1" applyFont="1" applyFill="1" applyBorder="1" applyAlignment="1" applyProtection="1">
      <alignment horizontal="center" vertical="center"/>
    </xf>
    <xf numFmtId="0" fontId="45" fillId="0" borderId="25" xfId="0" applyFont="1" applyFill="1" applyBorder="1" applyAlignment="1" applyProtection="1">
      <alignment horizontal="center" vertical="center"/>
    </xf>
    <xf numFmtId="0" fontId="39" fillId="0" borderId="3" xfId="0" applyFont="1" applyBorder="1" applyAlignment="1">
      <alignment horizontal="center" vertical="center" wrapText="1"/>
    </xf>
    <xf numFmtId="0" fontId="0" fillId="0" borderId="3" xfId="0" applyBorder="1" applyAlignment="1">
      <alignment horizontal="center" vertical="center" wrapText="1"/>
    </xf>
    <xf numFmtId="3" fontId="39" fillId="0" borderId="6" xfId="0" applyNumberFormat="1" applyFont="1" applyBorder="1" applyAlignment="1">
      <alignment horizontal="center" vertical="center"/>
    </xf>
    <xf numFmtId="166" fontId="39" fillId="0" borderId="6"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xf>
    <xf numFmtId="0" fontId="9" fillId="0" borderId="14" xfId="0" applyFont="1" applyBorder="1" applyAlignment="1">
      <alignment horizontal="center" vertical="top"/>
    </xf>
    <xf numFmtId="0" fontId="9" fillId="0" borderId="0" xfId="0" applyFont="1" applyBorder="1" applyAlignment="1">
      <alignment horizontal="center" vertical="center" wrapText="1"/>
    </xf>
    <xf numFmtId="0" fontId="9" fillId="0" borderId="6" xfId="0" applyFont="1" applyBorder="1" applyAlignment="1">
      <alignment horizontal="center" vertical="center"/>
    </xf>
    <xf numFmtId="3" fontId="0" fillId="0" borderId="13" xfId="0" applyNumberFormat="1" applyBorder="1" applyAlignment="1">
      <alignment horizontal="center" vertical="center"/>
    </xf>
    <xf numFmtId="3" fontId="0" fillId="0" borderId="10" xfId="0" applyNumberFormat="1" applyBorder="1" applyAlignment="1">
      <alignment horizontal="center" vertical="center"/>
    </xf>
    <xf numFmtId="0" fontId="0" fillId="0" borderId="1" xfId="0" applyBorder="1" applyAlignment="1">
      <alignment horizontal="centerContinuous" vertical="center" wrapText="1"/>
    </xf>
    <xf numFmtId="0" fontId="9" fillId="0" borderId="11" xfId="0" applyFont="1" applyBorder="1" applyAlignment="1">
      <alignment vertical="center"/>
    </xf>
    <xf numFmtId="0" fontId="9" fillId="0" borderId="5" xfId="0" applyFont="1" applyBorder="1" applyAlignment="1">
      <alignment vertical="center"/>
    </xf>
    <xf numFmtId="3" fontId="9" fillId="0" borderId="13" xfId="0" applyNumberFormat="1" applyFont="1" applyBorder="1" applyAlignment="1">
      <alignment horizontal="center"/>
    </xf>
    <xf numFmtId="3" fontId="9" fillId="0" borderId="6" xfId="0" applyNumberFormat="1" applyFont="1" applyBorder="1" applyAlignment="1">
      <alignment horizontal="center"/>
    </xf>
    <xf numFmtId="0" fontId="9" fillId="0" borderId="10" xfId="0" applyFont="1" applyBorder="1" applyAlignment="1">
      <alignment vertical="center"/>
    </xf>
    <xf numFmtId="3" fontId="9" fillId="0" borderId="14" xfId="0" applyNumberFormat="1" applyFont="1" applyBorder="1" applyAlignment="1">
      <alignment horizontal="centerContinuous"/>
    </xf>
    <xf numFmtId="0" fontId="0" fillId="0" borderId="13" xfId="0" applyBorder="1" applyAlignment="1">
      <alignment horizontal="center"/>
    </xf>
    <xf numFmtId="0" fontId="0" fillId="0" borderId="6" xfId="0" applyBorder="1" applyAlignment="1">
      <alignment horizontal="center"/>
    </xf>
    <xf numFmtId="41" fontId="0" fillId="0" borderId="0" xfId="0" applyNumberFormat="1"/>
    <xf numFmtId="3" fontId="28" fillId="0" borderId="14" xfId="0" applyNumberFormat="1" applyFont="1" applyBorder="1" applyAlignment="1">
      <alignment horizontal="centerContinuous"/>
    </xf>
    <xf numFmtId="2" fontId="0" fillId="0" borderId="13" xfId="0" applyNumberFormat="1" applyBorder="1" applyAlignment="1">
      <alignment horizontal="centerContinuous" vertical="center"/>
    </xf>
    <xf numFmtId="2" fontId="1" fillId="0" borderId="14" xfId="0" applyNumberFormat="1" applyFont="1" applyBorder="1" applyAlignment="1">
      <alignment horizontal="centerContinuous" vertical="center"/>
    </xf>
    <xf numFmtId="0" fontId="9" fillId="0" borderId="3" xfId="0" applyFont="1" applyBorder="1" applyAlignment="1">
      <alignment vertical="top"/>
    </xf>
    <xf numFmtId="0" fontId="10" fillId="0" borderId="1" xfId="0" applyFont="1" applyBorder="1" applyAlignment="1">
      <alignment horizontal="centerContinuous" vertical="center"/>
    </xf>
    <xf numFmtId="0" fontId="10" fillId="0" borderId="8" xfId="0" applyFont="1" applyBorder="1" applyAlignment="1">
      <alignment horizontal="centerContinuous" vertical="center"/>
    </xf>
    <xf numFmtId="0" fontId="10" fillId="0" borderId="1" xfId="0" applyFont="1" applyBorder="1" applyAlignment="1">
      <alignment horizontal="centerContinuous" vertical="center" wrapText="1"/>
    </xf>
    <xf numFmtId="0" fontId="10" fillId="0" borderId="4" xfId="0" applyFont="1" applyBorder="1" applyAlignment="1">
      <alignment horizontal="centerContinuous" vertical="center" wrapText="1"/>
    </xf>
    <xf numFmtId="3" fontId="28" fillId="0" borderId="12" xfId="0" applyNumberFormat="1" applyFont="1" applyBorder="1" applyAlignment="1">
      <alignment horizontal="center" vertical="center"/>
    </xf>
    <xf numFmtId="3" fontId="28" fillId="0" borderId="5"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28" fillId="0" borderId="2" xfId="0" applyNumberFormat="1" applyFont="1" applyBorder="1" applyAlignment="1">
      <alignment horizontal="centerContinuous" vertical="center"/>
    </xf>
    <xf numFmtId="3" fontId="28" fillId="0" borderId="7" xfId="0" applyNumberFormat="1" applyFont="1" applyBorder="1" applyAlignment="1">
      <alignment horizontal="center" vertical="center"/>
    </xf>
    <xf numFmtId="3" fontId="28" fillId="0" borderId="10" xfId="0" applyNumberFormat="1" applyFont="1" applyBorder="1" applyAlignment="1">
      <alignment horizontal="center" vertical="center"/>
    </xf>
    <xf numFmtId="3" fontId="28" fillId="0" borderId="2" xfId="0" applyNumberFormat="1" applyFont="1" applyBorder="1" applyAlignment="1">
      <alignment horizontal="center" vertical="center"/>
    </xf>
    <xf numFmtId="0" fontId="52" fillId="0" borderId="0" xfId="0" applyFont="1"/>
    <xf numFmtId="0" fontId="28" fillId="0" borderId="1" xfId="0" applyFont="1" applyBorder="1" applyAlignment="1">
      <alignment horizontal="centerContinuous" vertical="center"/>
    </xf>
    <xf numFmtId="3" fontId="28" fillId="0" borderId="5" xfId="0" applyNumberFormat="1" applyFont="1" applyBorder="1" applyAlignment="1">
      <alignment horizontal="centerContinuous" vertical="center"/>
    </xf>
    <xf numFmtId="4" fontId="28" fillId="0" borderId="5" xfId="0" applyNumberFormat="1" applyFont="1" applyBorder="1" applyAlignment="1">
      <alignment horizontal="centerContinuous" vertical="center"/>
    </xf>
    <xf numFmtId="3" fontId="28" fillId="0" borderId="6" xfId="0" applyNumberFormat="1" applyFont="1" applyBorder="1" applyAlignment="1">
      <alignment horizontal="centerContinuous" vertical="center"/>
    </xf>
    <xf numFmtId="4" fontId="28" fillId="0" borderId="6" xfId="0" applyNumberFormat="1" applyFont="1" applyBorder="1" applyAlignment="1">
      <alignment horizontal="centerContinuous" vertical="center"/>
    </xf>
    <xf numFmtId="4" fontId="28" fillId="0" borderId="6" xfId="0" applyNumberFormat="1" applyFont="1" applyBorder="1" applyAlignment="1">
      <alignment horizontal="center" vertical="center"/>
    </xf>
    <xf numFmtId="3" fontId="28" fillId="0" borderId="3" xfId="0" applyNumberFormat="1" applyFont="1" applyBorder="1" applyAlignment="1">
      <alignment horizontal="centerContinuous" vertical="center"/>
    </xf>
    <xf numFmtId="3" fontId="28" fillId="0" borderId="15" xfId="0" applyNumberFormat="1" applyFont="1" applyBorder="1" applyAlignment="1">
      <alignment horizontal="centerContinuous" vertical="center"/>
    </xf>
    <xf numFmtId="4" fontId="28" fillId="0" borderId="3" xfId="0" applyNumberFormat="1" applyFont="1" applyBorder="1" applyAlignment="1">
      <alignment horizontal="centerContinuous" vertical="center"/>
    </xf>
    <xf numFmtId="4" fontId="6" fillId="0" borderId="0" xfId="0" applyNumberFormat="1" applyFont="1" applyBorder="1" applyAlignment="1">
      <alignment horizontal="centerContinuous" vertical="center"/>
    </xf>
    <xf numFmtId="3" fontId="6" fillId="0" borderId="0" xfId="0" applyNumberFormat="1" applyFont="1" applyBorder="1" applyAlignment="1">
      <alignment horizontal="left" vertical="center"/>
    </xf>
    <xf numFmtId="4" fontId="6" fillId="0" borderId="0" xfId="0" applyNumberFormat="1" applyFont="1" applyBorder="1" applyAlignment="1">
      <alignment horizontal="left" vertical="center"/>
    </xf>
    <xf numFmtId="0" fontId="5" fillId="0" borderId="0" xfId="0" applyFont="1" applyAlignment="1">
      <alignment horizontal="center"/>
    </xf>
    <xf numFmtId="0" fontId="0" fillId="0" borderId="0" xfId="0" applyAlignment="1">
      <alignment horizontal="center" vertical="center"/>
    </xf>
    <xf numFmtId="0" fontId="9" fillId="0" borderId="1" xfId="0" applyFont="1" applyBorder="1" applyAlignment="1">
      <alignment horizontal="centerContinuous" vertical="center"/>
    </xf>
    <xf numFmtId="3" fontId="53" fillId="0" borderId="1" xfId="0" applyNumberFormat="1" applyFont="1" applyBorder="1" applyAlignment="1">
      <alignment horizontal="center" vertical="center"/>
    </xf>
    <xf numFmtId="3" fontId="53" fillId="0" borderId="1" xfId="0" applyNumberFormat="1" applyFont="1" applyBorder="1" applyAlignment="1">
      <alignment horizontal="centerContinuous" vertical="center"/>
    </xf>
    <xf numFmtId="0" fontId="0" fillId="0" borderId="10" xfId="0" applyBorder="1" applyAlignment="1">
      <alignment horizontal="centerContinuous" vertical="center"/>
    </xf>
    <xf numFmtId="3" fontId="9" fillId="0" borderId="13" xfId="0" applyNumberFormat="1" applyFont="1" applyBorder="1" applyAlignment="1">
      <alignment horizontal="centerContinuous" vertical="center"/>
    </xf>
    <xf numFmtId="3" fontId="9" fillId="0" borderId="0" xfId="0" applyNumberFormat="1" applyFont="1" applyBorder="1" applyAlignment="1">
      <alignment horizontal="centerContinuous" vertical="center"/>
    </xf>
    <xf numFmtId="0" fontId="9" fillId="0" borderId="10" xfId="0" applyFont="1" applyBorder="1" applyAlignment="1">
      <alignment horizontal="center" vertical="center"/>
    </xf>
    <xf numFmtId="3" fontId="9" fillId="0" borderId="10" xfId="0" applyNumberFormat="1" applyFont="1" applyBorder="1" applyAlignment="1">
      <alignment horizontal="centerContinuous" vertical="center"/>
    </xf>
    <xf numFmtId="3" fontId="9" fillId="0" borderId="14" xfId="0" applyNumberFormat="1" applyFont="1" applyBorder="1" applyAlignment="1">
      <alignment horizontal="centerContinuous" vertical="center"/>
    </xf>
    <xf numFmtId="0" fontId="9" fillId="0" borderId="0" xfId="0" applyFont="1" applyBorder="1" applyAlignment="1">
      <alignment horizontal="centerContinuous"/>
    </xf>
    <xf numFmtId="3" fontId="9" fillId="0" borderId="0" xfId="0" applyNumberFormat="1" applyFont="1" applyBorder="1"/>
    <xf numFmtId="168" fontId="9" fillId="0" borderId="0" xfId="0" applyNumberFormat="1" applyFont="1" applyAlignment="1">
      <alignment vertical="center"/>
    </xf>
    <xf numFmtId="3" fontId="6" fillId="0" borderId="7" xfId="0" applyNumberFormat="1" applyFont="1" applyBorder="1" applyAlignment="1">
      <alignment horizontal="centerContinuous" vertical="center"/>
    </xf>
    <xf numFmtId="3" fontId="6" fillId="0" borderId="13" xfId="0" applyNumberFormat="1" applyFont="1" applyBorder="1" applyAlignment="1">
      <alignment horizontal="centerContinuous" vertical="center"/>
    </xf>
    <xf numFmtId="3" fontId="6" fillId="0" borderId="10" xfId="0" applyNumberFormat="1" applyFont="1" applyBorder="1" applyAlignment="1">
      <alignment horizontal="centerContinuous" vertical="center"/>
    </xf>
    <xf numFmtId="3" fontId="6" fillId="0" borderId="0" xfId="0" applyNumberFormat="1" applyFont="1" applyFill="1" applyBorder="1" applyAlignment="1">
      <alignment horizontal="center" vertical="center"/>
    </xf>
    <xf numFmtId="3" fontId="6" fillId="0" borderId="9" xfId="0" applyNumberFormat="1" applyFont="1" applyBorder="1" applyAlignment="1">
      <alignment horizontal="center"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3" fontId="6" fillId="0" borderId="4" xfId="0" applyNumberFormat="1" applyFont="1" applyBorder="1" applyAlignment="1">
      <alignment horizontal="centerContinuous" vertical="center"/>
    </xf>
    <xf numFmtId="3" fontId="6" fillId="0" borderId="9" xfId="0" applyNumberFormat="1" applyFont="1" applyBorder="1" applyAlignment="1">
      <alignment horizontal="centerContinuous" vertical="center"/>
    </xf>
    <xf numFmtId="0" fontId="0" fillId="0" borderId="8" xfId="0" applyBorder="1"/>
    <xf numFmtId="0" fontId="0" fillId="0" borderId="15" xfId="0" applyBorder="1"/>
    <xf numFmtId="0" fontId="10" fillId="0" borderId="10" xfId="0" applyFont="1" applyBorder="1" applyAlignment="1">
      <alignment horizontal="centerContinuous" vertical="center"/>
    </xf>
    <xf numFmtId="0" fontId="10" fillId="0" borderId="14" xfId="0" applyFont="1" applyBorder="1" applyAlignment="1">
      <alignment horizontal="centerContinuous" vertical="center"/>
    </xf>
    <xf numFmtId="3" fontId="9" fillId="0" borderId="15" xfId="0" applyNumberFormat="1" applyFont="1" applyBorder="1" applyAlignment="1">
      <alignment horizontal="centerContinuous" vertical="center"/>
    </xf>
    <xf numFmtId="0" fontId="54" fillId="0" borderId="0" xfId="0" applyFont="1" applyAlignment="1">
      <alignment horizontal="centerContinuous"/>
    </xf>
    <xf numFmtId="0" fontId="56" fillId="0" borderId="0" xfId="3" applyNumberFormat="1" applyFont="1" applyAlignment="1">
      <alignment horizontal="centerContinuous"/>
    </xf>
    <xf numFmtId="0" fontId="28" fillId="0" borderId="0" xfId="3" applyNumberFormat="1" applyFont="1" applyAlignment="1">
      <alignment horizontal="centerContinuous"/>
    </xf>
    <xf numFmtId="0" fontId="57" fillId="0" borderId="0" xfId="3" applyNumberFormat="1" applyFont="1" applyAlignment="1">
      <alignment horizontal="centerContinuous"/>
    </xf>
    <xf numFmtId="171" fontId="28" fillId="0" borderId="0" xfId="3" applyFont="1"/>
    <xf numFmtId="171" fontId="55" fillId="0" borderId="0" xfId="3"/>
    <xf numFmtId="0" fontId="57" fillId="0" borderId="0" xfId="3" applyNumberFormat="1" applyFont="1"/>
    <xf numFmtId="0" fontId="28" fillId="0" borderId="5" xfId="3" applyNumberFormat="1" applyFont="1" applyBorder="1" applyAlignment="1">
      <alignment vertical="center"/>
    </xf>
    <xf numFmtId="0" fontId="6" fillId="0" borderId="5" xfId="3" applyNumberFormat="1" applyFont="1" applyBorder="1" applyAlignment="1">
      <alignment vertical="center"/>
    </xf>
    <xf numFmtId="0" fontId="6" fillId="0" borderId="8" xfId="3" applyNumberFormat="1" applyFont="1" applyBorder="1" applyAlignment="1">
      <alignment vertical="center"/>
    </xf>
    <xf numFmtId="0" fontId="6" fillId="0" borderId="4" xfId="3" applyNumberFormat="1" applyFont="1" applyBorder="1" applyAlignment="1">
      <alignment vertical="center"/>
    </xf>
    <xf numFmtId="0" fontId="6" fillId="0" borderId="11" xfId="3" applyNumberFormat="1" applyFont="1" applyBorder="1" applyAlignment="1" applyProtection="1">
      <alignment horizontal="centerContinuous"/>
    </xf>
    <xf numFmtId="0" fontId="6" fillId="0" borderId="2" xfId="3" applyNumberFormat="1" applyFont="1" applyBorder="1" applyAlignment="1">
      <alignment horizontal="centerContinuous"/>
    </xf>
    <xf numFmtId="0" fontId="9" fillId="0" borderId="12" xfId="3" applyNumberFormat="1" applyFont="1" applyBorder="1" applyAlignment="1" applyProtection="1">
      <alignment horizontal="left"/>
    </xf>
    <xf numFmtId="0" fontId="6" fillId="0" borderId="12" xfId="3" applyNumberFormat="1" applyFont="1" applyBorder="1" applyAlignment="1"/>
    <xf numFmtId="0" fontId="6" fillId="0" borderId="12" xfId="3" applyNumberFormat="1" applyFont="1" applyBorder="1" applyAlignment="1" applyProtection="1">
      <alignment horizontal="centerContinuous"/>
    </xf>
    <xf numFmtId="171" fontId="55" fillId="0" borderId="0" xfId="3" applyAlignment="1">
      <alignment vertical="center"/>
    </xf>
    <xf numFmtId="171" fontId="28" fillId="0" borderId="0" xfId="3" applyFont="1" applyAlignment="1">
      <alignment vertical="center"/>
    </xf>
    <xf numFmtId="0" fontId="28" fillId="0" borderId="6" xfId="3" applyNumberFormat="1" applyFont="1" applyBorder="1" applyAlignment="1" applyProtection="1">
      <alignment horizontal="center" vertical="center"/>
    </xf>
    <xf numFmtId="0" fontId="6" fillId="0" borderId="6" xfId="3" applyNumberFormat="1" applyFont="1" applyBorder="1" applyAlignment="1">
      <alignment vertical="center"/>
    </xf>
    <xf numFmtId="0" fontId="6" fillId="0" borderId="5" xfId="3" applyNumberFormat="1" applyFont="1" applyBorder="1" applyAlignment="1" applyProtection="1">
      <alignment horizontal="center" vertical="center"/>
    </xf>
    <xf numFmtId="0" fontId="58" fillId="0" borderId="9" xfId="3" applyNumberFormat="1" applyFont="1" applyBorder="1" applyAlignment="1">
      <alignment horizontal="centerContinuous" vertical="center"/>
    </xf>
    <xf numFmtId="0" fontId="58" fillId="0" borderId="8" xfId="3" applyNumberFormat="1" applyFont="1" applyBorder="1" applyAlignment="1">
      <alignment horizontal="centerContinuous" vertical="center"/>
    </xf>
    <xf numFmtId="0" fontId="58" fillId="0" borderId="4" xfId="3" applyNumberFormat="1" applyFont="1" applyBorder="1" applyAlignment="1">
      <alignment horizontal="centerContinuous" vertical="center"/>
    </xf>
    <xf numFmtId="0" fontId="58" fillId="0" borderId="0" xfId="3" applyNumberFormat="1" applyFont="1" applyBorder="1" applyAlignment="1">
      <alignment horizontal="centerContinuous" vertical="center"/>
    </xf>
    <xf numFmtId="0" fontId="58" fillId="0" borderId="7" xfId="3" applyNumberFormat="1" applyFont="1" applyBorder="1" applyAlignment="1">
      <alignment vertical="center"/>
    </xf>
    <xf numFmtId="0" fontId="58" fillId="0" borderId="13" xfId="3" applyNumberFormat="1" applyFont="1" applyBorder="1" applyAlignment="1">
      <alignment vertical="center"/>
    </xf>
    <xf numFmtId="0" fontId="58" fillId="0" borderId="0" xfId="3" applyNumberFormat="1" applyFont="1" applyBorder="1" applyAlignment="1">
      <alignment vertical="center"/>
    </xf>
    <xf numFmtId="0" fontId="58" fillId="0" borderId="10" xfId="3" applyNumberFormat="1" applyFont="1" applyBorder="1" applyAlignment="1">
      <alignment horizontal="centerContinuous" vertical="center"/>
    </xf>
    <xf numFmtId="0" fontId="58" fillId="0" borderId="15" xfId="3" applyNumberFormat="1" applyFont="1" applyBorder="1" applyAlignment="1">
      <alignment horizontal="centerContinuous" vertical="center"/>
    </xf>
    <xf numFmtId="0" fontId="58" fillId="0" borderId="14" xfId="3" applyNumberFormat="1" applyFont="1" applyBorder="1" applyAlignment="1">
      <alignment horizontal="centerContinuous" vertical="center"/>
    </xf>
    <xf numFmtId="0" fontId="9" fillId="0" borderId="3" xfId="3" applyNumberFormat="1" applyFont="1" applyBorder="1" applyAlignment="1" applyProtection="1">
      <alignment horizontal="center" vertical="center" wrapText="1"/>
    </xf>
    <xf numFmtId="0" fontId="10"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wrapText="1"/>
    </xf>
    <xf numFmtId="0" fontId="10" fillId="0" borderId="15" xfId="3" applyNumberFormat="1" applyFont="1" applyBorder="1" applyAlignment="1" applyProtection="1">
      <alignment horizontal="center" vertical="center" wrapText="1"/>
    </xf>
    <xf numFmtId="0" fontId="9" fillId="0" borderId="9" xfId="3" applyNumberFormat="1" applyFont="1" applyBorder="1" applyAlignment="1" applyProtection="1">
      <alignment horizontal="center" vertical="center" wrapText="1"/>
    </xf>
    <xf numFmtId="0" fontId="9" fillId="0" borderId="8" xfId="3" applyNumberFormat="1" applyFont="1" applyBorder="1" applyAlignment="1" applyProtection="1">
      <alignment horizontal="center" vertical="center"/>
    </xf>
    <xf numFmtId="0" fontId="9" fillId="0" borderId="14" xfId="3" applyNumberFormat="1" applyFont="1" applyBorder="1" applyAlignment="1" applyProtection="1">
      <alignment horizontal="center" vertical="top" wrapText="1"/>
    </xf>
    <xf numFmtId="0" fontId="9" fillId="0" borderId="4" xfId="3" applyNumberFormat="1" applyFont="1" applyBorder="1" applyAlignment="1" applyProtection="1">
      <alignment horizontal="center" vertical="center" wrapText="1"/>
    </xf>
    <xf numFmtId="0" fontId="9" fillId="0" borderId="4" xfId="3" applyNumberFormat="1" applyFont="1" applyBorder="1" applyAlignment="1" applyProtection="1">
      <alignment horizontal="center" vertical="center"/>
    </xf>
    <xf numFmtId="171" fontId="9" fillId="0" borderId="15" xfId="3" applyFont="1" applyBorder="1" applyAlignment="1">
      <alignment horizontal="center" vertical="center"/>
    </xf>
    <xf numFmtId="171" fontId="9" fillId="0" borderId="3" xfId="3" applyFont="1" applyBorder="1" applyAlignment="1">
      <alignment horizontal="center" vertical="center" wrapText="1"/>
    </xf>
    <xf numFmtId="0" fontId="28" fillId="0" borderId="5" xfId="3" applyNumberFormat="1" applyFont="1" applyBorder="1" applyAlignment="1" applyProtection="1">
      <alignment horizontal="left" vertical="center"/>
    </xf>
    <xf numFmtId="3" fontId="28" fillId="0" borderId="5" xfId="3" applyNumberFormat="1" applyFont="1" applyBorder="1" applyAlignment="1" applyProtection="1">
      <alignment horizontal="centerContinuous" vertical="center"/>
    </xf>
    <xf numFmtId="3" fontId="28" fillId="0" borderId="0" xfId="3" applyNumberFormat="1" applyFont="1" applyBorder="1" applyAlignment="1" applyProtection="1">
      <alignment horizontal="centerContinuous" vertical="center"/>
    </xf>
    <xf numFmtId="169" fontId="28" fillId="0" borderId="7" xfId="3" applyNumberFormat="1" applyFont="1" applyBorder="1" applyAlignment="1" applyProtection="1">
      <alignment horizontal="centerContinuous" vertical="center"/>
    </xf>
    <xf numFmtId="169" fontId="28" fillId="0" borderId="6" xfId="3" applyNumberFormat="1" applyFont="1" applyBorder="1" applyAlignment="1" applyProtection="1">
      <alignment horizontal="centerContinuous" vertical="center"/>
    </xf>
    <xf numFmtId="165" fontId="28" fillId="0" borderId="0" xfId="3" applyNumberFormat="1" applyFont="1" applyBorder="1" applyAlignment="1">
      <alignment horizontal="centerContinuous" vertical="center"/>
    </xf>
    <xf numFmtId="165" fontId="28" fillId="0" borderId="6" xfId="3" applyNumberFormat="1" applyFont="1" applyBorder="1" applyAlignment="1">
      <alignment horizontal="centerContinuous" vertical="center"/>
    </xf>
    <xf numFmtId="0" fontId="28" fillId="0" borderId="6" xfId="3" applyNumberFormat="1" applyFont="1" applyBorder="1" applyAlignment="1" applyProtection="1">
      <alignment horizontal="left" vertical="center"/>
    </xf>
    <xf numFmtId="3" fontId="28" fillId="0" borderId="0"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 vertical="center"/>
      <protection locked="0"/>
    </xf>
    <xf numFmtId="3" fontId="28" fillId="0" borderId="6" xfId="3" applyNumberFormat="1" applyFont="1" applyBorder="1" applyAlignment="1" applyProtection="1">
      <alignment horizontal="centerContinuous" vertical="center"/>
    </xf>
    <xf numFmtId="3" fontId="23" fillId="0" borderId="6" xfId="3" applyNumberFormat="1" applyFont="1" applyBorder="1" applyAlignment="1" applyProtection="1">
      <alignment horizontal="center" vertical="center"/>
      <protection locked="0"/>
    </xf>
    <xf numFmtId="0" fontId="28" fillId="0" borderId="3" xfId="3" applyNumberFormat="1" applyFont="1" applyBorder="1" applyAlignment="1" applyProtection="1">
      <alignment horizontal="left" vertical="center"/>
    </xf>
    <xf numFmtId="3" fontId="28" fillId="0" borderId="15"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 vertical="center"/>
      <protection locked="0"/>
    </xf>
    <xf numFmtId="3" fontId="28" fillId="0" borderId="15" xfId="3" applyNumberFormat="1" applyFont="1" applyBorder="1" applyAlignment="1" applyProtection="1">
      <alignment horizontal="centerContinuous" vertical="center"/>
    </xf>
    <xf numFmtId="3" fontId="28" fillId="0" borderId="3" xfId="3" applyNumberFormat="1" applyFont="1" applyBorder="1" applyAlignment="1" applyProtection="1">
      <alignment horizontal="centerContinuous" vertical="center"/>
    </xf>
    <xf numFmtId="169" fontId="28" fillId="0" borderId="10" xfId="3" applyNumberFormat="1" applyFont="1" applyBorder="1" applyAlignment="1" applyProtection="1">
      <alignment horizontal="centerContinuous" vertical="center"/>
    </xf>
    <xf numFmtId="169" fontId="28" fillId="0" borderId="3" xfId="3" applyNumberFormat="1" applyFont="1" applyBorder="1" applyAlignment="1" applyProtection="1">
      <alignment horizontal="centerContinuous" vertical="center"/>
    </xf>
    <xf numFmtId="165" fontId="28" fillId="0" borderId="15" xfId="3" applyNumberFormat="1" applyFont="1" applyBorder="1" applyAlignment="1">
      <alignment horizontal="centerContinuous" vertical="center"/>
    </xf>
    <xf numFmtId="165" fontId="28" fillId="0" borderId="3" xfId="3" applyNumberFormat="1" applyFont="1" applyBorder="1" applyAlignment="1">
      <alignment horizontal="centerContinuous" vertical="center"/>
    </xf>
    <xf numFmtId="0" fontId="28" fillId="0" borderId="0" xfId="3" applyNumberFormat="1" applyFont="1"/>
    <xf numFmtId="16" fontId="28" fillId="0" borderId="0" xfId="3" applyNumberFormat="1" applyFont="1"/>
    <xf numFmtId="172" fontId="28" fillId="0" borderId="0" xfId="3" applyNumberFormat="1" applyFont="1"/>
    <xf numFmtId="170" fontId="28" fillId="0" borderId="0" xfId="3" applyNumberFormat="1" applyFont="1"/>
    <xf numFmtId="3" fontId="28" fillId="0" borderId="0" xfId="3" applyNumberFormat="1" applyFont="1" applyBorder="1" applyAlignment="1" applyProtection="1">
      <alignment horizontal="center" vertical="center"/>
    </xf>
    <xf numFmtId="3" fontId="28" fillId="0" borderId="6" xfId="3" applyNumberFormat="1" applyFont="1" applyBorder="1" applyAlignment="1" applyProtection="1">
      <alignment horizontal="center" vertical="center"/>
    </xf>
    <xf numFmtId="3" fontId="28" fillId="0" borderId="0" xfId="3" applyNumberFormat="1" applyFont="1" applyBorder="1" applyAlignment="1" applyProtection="1">
      <alignment horizontal="center" vertical="center"/>
      <protection locked="0"/>
    </xf>
    <xf numFmtId="3" fontId="28" fillId="0" borderId="3" xfId="3" applyNumberFormat="1" applyFont="1" applyBorder="1" applyAlignment="1" applyProtection="1">
      <alignment vertical="center"/>
      <protection locked="0"/>
    </xf>
    <xf numFmtId="3" fontId="28" fillId="0" borderId="15" xfId="3" applyNumberFormat="1" applyFont="1" applyBorder="1" applyAlignment="1" applyProtection="1">
      <alignment vertical="center"/>
      <protection locked="0"/>
    </xf>
    <xf numFmtId="169" fontId="28" fillId="0" borderId="7" xfId="3" applyNumberFormat="1" applyFont="1" applyBorder="1" applyAlignment="1" applyProtection="1">
      <alignment horizontal="center" vertical="center"/>
    </xf>
    <xf numFmtId="3" fontId="28" fillId="0" borderId="6" xfId="3" applyNumberFormat="1" applyFont="1" applyBorder="1" applyAlignment="1" applyProtection="1">
      <alignment vertical="center"/>
      <protection locked="0"/>
    </xf>
    <xf numFmtId="3" fontId="28" fillId="0" borderId="0" xfId="3" applyNumberFormat="1" applyFont="1" applyBorder="1" applyAlignment="1" applyProtection="1">
      <alignment vertical="center"/>
      <protection locked="0"/>
    </xf>
    <xf numFmtId="169" fontId="28" fillId="0" borderId="11" xfId="3" applyNumberFormat="1" applyFont="1" applyBorder="1" applyAlignment="1" applyProtection="1">
      <alignment horizontal="centerContinuous" vertical="center"/>
    </xf>
    <xf numFmtId="169" fontId="28" fillId="0" borderId="5" xfId="3" applyNumberFormat="1" applyFont="1" applyBorder="1" applyAlignment="1" applyProtection="1">
      <alignment horizontal="centerContinuous" vertical="center"/>
    </xf>
    <xf numFmtId="165" fontId="28" fillId="0" borderId="12" xfId="3" applyNumberFormat="1" applyFont="1" applyBorder="1" applyAlignment="1">
      <alignment horizontal="centerContinuous" vertical="center"/>
    </xf>
    <xf numFmtId="165" fontId="28" fillId="0" borderId="5" xfId="3" applyNumberFormat="1" applyFont="1" applyBorder="1" applyAlignment="1">
      <alignment horizontal="centerContinuous" vertical="center"/>
    </xf>
    <xf numFmtId="0" fontId="28" fillId="0" borderId="6" xfId="3" applyNumberFormat="1" applyFont="1" applyBorder="1" applyAlignment="1">
      <alignment vertical="center"/>
    </xf>
    <xf numFmtId="0" fontId="28" fillId="0" borderId="6" xfId="3" applyNumberFormat="1" applyFont="1" applyBorder="1" applyAlignment="1">
      <alignment horizontal="center" vertical="center"/>
    </xf>
    <xf numFmtId="0" fontId="28" fillId="0" borderId="6" xfId="3" applyNumberFormat="1" applyFont="1" applyBorder="1" applyAlignment="1">
      <alignment horizontal="centerContinuous" vertical="center"/>
    </xf>
    <xf numFmtId="3" fontId="28" fillId="0" borderId="6" xfId="3" applyNumberFormat="1" applyFont="1" applyBorder="1" applyAlignment="1">
      <alignment horizontal="center" vertical="center"/>
    </xf>
    <xf numFmtId="0" fontId="28" fillId="0" borderId="6" xfId="3" applyNumberFormat="1" applyFont="1" applyBorder="1" applyAlignment="1">
      <alignment horizontal="left" vertical="center"/>
    </xf>
    <xf numFmtId="0" fontId="28" fillId="0" borderId="3" xfId="3" applyNumberFormat="1" applyFont="1" applyBorder="1" applyAlignment="1">
      <alignment vertical="center"/>
    </xf>
    <xf numFmtId="0" fontId="28" fillId="0" borderId="3" xfId="3" applyNumberFormat="1" applyFont="1" applyBorder="1" applyAlignment="1">
      <alignment horizontal="center" vertical="center"/>
    </xf>
    <xf numFmtId="3" fontId="28" fillId="0" borderId="15" xfId="3" applyNumberFormat="1" applyFont="1" applyBorder="1" applyAlignment="1" applyProtection="1">
      <alignment horizontal="center" vertical="center"/>
    </xf>
    <xf numFmtId="3" fontId="28" fillId="0" borderId="3" xfId="3" applyNumberFormat="1" applyFont="1" applyBorder="1" applyAlignment="1" applyProtection="1">
      <alignment horizontal="center" vertical="center"/>
    </xf>
    <xf numFmtId="3" fontId="28" fillId="0" borderId="3" xfId="3" applyNumberFormat="1" applyFont="1" applyBorder="1" applyAlignment="1">
      <alignment horizontal="center" vertical="center"/>
    </xf>
    <xf numFmtId="0" fontId="59" fillId="0" borderId="0" xfId="4" applyFont="1" applyAlignment="1">
      <alignment horizontal="centerContinuous"/>
    </xf>
    <xf numFmtId="0" fontId="12" fillId="0" borderId="0" xfId="4" applyFont="1" applyAlignment="1">
      <alignment horizontal="centerContinuous"/>
    </xf>
    <xf numFmtId="0" fontId="8" fillId="0" borderId="0" xfId="4" applyFont="1" applyAlignment="1">
      <alignment horizontal="centerContinuous"/>
    </xf>
    <xf numFmtId="0" fontId="2" fillId="0" borderId="0" xfId="4"/>
    <xf numFmtId="0" fontId="2" fillId="0" borderId="0" xfId="4" applyAlignment="1">
      <alignment horizontal="centerContinuous"/>
    </xf>
    <xf numFmtId="0" fontId="2" fillId="0" borderId="11" xfId="4" applyBorder="1" applyAlignment="1">
      <alignment vertical="center"/>
    </xf>
    <xf numFmtId="0" fontId="19" fillId="0" borderId="11" xfId="5" applyFont="1" applyBorder="1" applyAlignment="1">
      <alignment horizontal="center" vertical="center"/>
    </xf>
    <xf numFmtId="0" fontId="6" fillId="0" borderId="11" xfId="4" applyFont="1" applyBorder="1" applyAlignment="1">
      <alignment horizontal="centerContinuous" vertical="center"/>
    </xf>
    <xf numFmtId="0" fontId="6" fillId="0" borderId="5" xfId="4" applyFont="1" applyBorder="1" applyAlignment="1">
      <alignment horizontal="centerContinuous" vertical="center"/>
    </xf>
    <xf numFmtId="0" fontId="6" fillId="0" borderId="2" xfId="4" applyFont="1" applyBorder="1" applyAlignment="1">
      <alignment horizontal="centerContinuous" vertical="center"/>
    </xf>
    <xf numFmtId="0" fontId="6" fillId="0" borderId="0" xfId="4" applyFont="1" applyAlignment="1">
      <alignment vertical="center"/>
    </xf>
    <xf numFmtId="0" fontId="2" fillId="0" borderId="10" xfId="4" applyBorder="1" applyAlignment="1">
      <alignment horizontal="center" vertical="top"/>
    </xf>
    <xf numFmtId="0" fontId="19" fillId="0" borderId="10" xfId="5" applyFont="1" applyBorder="1" applyAlignment="1">
      <alignment horizontal="center" vertical="center"/>
    </xf>
    <xf numFmtId="0" fontId="6" fillId="0" borderId="10" xfId="4" applyFont="1" applyBorder="1" applyAlignment="1">
      <alignment horizontal="centerContinuous" vertical="center"/>
    </xf>
    <xf numFmtId="0" fontId="6" fillId="0" borderId="3" xfId="4" applyFont="1" applyBorder="1" applyAlignment="1">
      <alignment horizontal="centerContinuous" vertical="center"/>
    </xf>
    <xf numFmtId="0" fontId="6" fillId="0" borderId="14" xfId="4" applyFont="1" applyBorder="1" applyAlignment="1">
      <alignment horizontal="centerContinuous" vertical="center"/>
    </xf>
    <xf numFmtId="0" fontId="2" fillId="0" borderId="7" xfId="4" applyBorder="1" applyAlignment="1">
      <alignment horizontal="center" vertical="center"/>
    </xf>
    <xf numFmtId="3" fontId="6" fillId="0" borderId="5" xfId="4" applyNumberFormat="1" applyFont="1" applyBorder="1" applyAlignment="1">
      <alignment horizontal="centerContinuous" vertical="center"/>
    </xf>
    <xf numFmtId="3" fontId="6" fillId="0" borderId="0" xfId="4" applyNumberFormat="1" applyFont="1" applyBorder="1" applyAlignment="1">
      <alignment horizontal="centerContinuous" vertical="center"/>
    </xf>
    <xf numFmtId="166" fontId="6" fillId="0" borderId="6" xfId="4" applyNumberFormat="1" applyFont="1" applyBorder="1" applyAlignment="1">
      <alignment horizontal="centerContinuous" vertical="center"/>
    </xf>
    <xf numFmtId="2" fontId="6" fillId="0" borderId="13" xfId="4" applyNumberFormat="1" applyFont="1" applyBorder="1" applyAlignment="1">
      <alignment horizontal="centerContinuous" vertical="center"/>
    </xf>
    <xf numFmtId="0" fontId="2" fillId="0" borderId="6" xfId="4" applyBorder="1" applyAlignment="1">
      <alignment horizontal="center" vertical="center"/>
    </xf>
    <xf numFmtId="3" fontId="6" fillId="0" borderId="6" xfId="4" applyNumberFormat="1" applyFont="1" applyBorder="1" applyAlignment="1">
      <alignment horizontal="centerContinuous" vertical="center"/>
    </xf>
    <xf numFmtId="3" fontId="6" fillId="0" borderId="0" xfId="4" applyNumberFormat="1" applyFont="1" applyBorder="1" applyAlignment="1">
      <alignment horizontal="center" vertical="center"/>
    </xf>
    <xf numFmtId="3" fontId="6" fillId="0" borderId="6" xfId="4" applyNumberFormat="1" applyFont="1" applyBorder="1" applyAlignment="1">
      <alignment horizontal="center" vertical="center"/>
    </xf>
    <xf numFmtId="166" fontId="6" fillId="0" borderId="6" xfId="4" applyNumberFormat="1" applyFont="1" applyBorder="1" applyAlignment="1">
      <alignment horizontal="center" vertical="center"/>
    </xf>
    <xf numFmtId="2" fontId="6" fillId="0" borderId="13" xfId="4" applyNumberFormat="1" applyFont="1" applyBorder="1" applyAlignment="1">
      <alignment horizontal="center" vertical="center"/>
    </xf>
    <xf numFmtId="0" fontId="2" fillId="0" borderId="3" xfId="4" applyBorder="1" applyAlignment="1">
      <alignment horizontal="center" vertical="center"/>
    </xf>
    <xf numFmtId="3" fontId="6" fillId="0" borderId="15" xfId="4" applyNumberFormat="1" applyFont="1" applyBorder="1" applyAlignment="1">
      <alignment horizontal="centerContinuous" vertical="center"/>
    </xf>
    <xf numFmtId="3" fontId="6" fillId="0" borderId="3" xfId="4" applyNumberFormat="1" applyFont="1" applyBorder="1" applyAlignment="1">
      <alignment horizontal="centerContinuous" vertical="center"/>
    </xf>
    <xf numFmtId="166" fontId="6" fillId="0" borderId="3" xfId="4" applyNumberFormat="1" applyFont="1" applyBorder="1" applyAlignment="1">
      <alignment horizontal="centerContinuous" vertical="center"/>
    </xf>
    <xf numFmtId="2" fontId="6" fillId="0" borderId="14" xfId="4" applyNumberFormat="1" applyFont="1" applyBorder="1" applyAlignment="1">
      <alignment horizontal="centerContinuous" vertical="center"/>
    </xf>
    <xf numFmtId="0" fontId="2" fillId="0" borderId="0" xfId="4" applyBorder="1" applyAlignment="1">
      <alignment horizontal="centerContinuous" vertical="center"/>
    </xf>
    <xf numFmtId="2" fontId="6" fillId="0" borderId="0" xfId="4" applyNumberFormat="1" applyFont="1" applyBorder="1" applyAlignment="1">
      <alignment horizontal="centerContinuous" vertical="center"/>
    </xf>
    <xf numFmtId="0" fontId="2" fillId="0" borderId="0" xfId="4" applyAlignment="1">
      <alignment vertical="center"/>
    </xf>
    <xf numFmtId="0" fontId="8" fillId="0" borderId="0" xfId="4" applyFont="1" applyAlignment="1"/>
    <xf numFmtId="0" fontId="6" fillId="0" borderId="0" xfId="4" applyFont="1"/>
    <xf numFmtId="0" fontId="2" fillId="0" borderId="10" xfId="4" applyBorder="1" applyAlignment="1">
      <alignment horizontal="centerContinuous" vertical="top"/>
    </xf>
    <xf numFmtId="0" fontId="2" fillId="0" borderId="11" xfId="4" applyBorder="1" applyAlignment="1">
      <alignment horizontal="center" vertical="center"/>
    </xf>
    <xf numFmtId="0" fontId="2" fillId="0" borderId="5" xfId="4" applyBorder="1" applyAlignment="1">
      <alignment horizontal="center" vertical="center"/>
    </xf>
    <xf numFmtId="3" fontId="6" fillId="0" borderId="7" xfId="4" applyNumberFormat="1" applyFont="1" applyBorder="1" applyAlignment="1">
      <alignment horizontal="centerContinuous" vertical="center"/>
    </xf>
    <xf numFmtId="2" fontId="6" fillId="0" borderId="6" xfId="4" applyNumberFormat="1" applyFont="1" applyBorder="1" applyAlignment="1">
      <alignment horizontal="centerContinuous" vertical="center"/>
    </xf>
    <xf numFmtId="3" fontId="6" fillId="0" borderId="7" xfId="4" applyNumberFormat="1" applyFont="1" applyBorder="1" applyAlignment="1">
      <alignment horizontal="center" vertical="center"/>
    </xf>
    <xf numFmtId="0" fontId="2" fillId="0" borderId="10" xfId="4" applyBorder="1" applyAlignment="1">
      <alignment horizontal="center" vertical="center"/>
    </xf>
    <xf numFmtId="1" fontId="2" fillId="0" borderId="3" xfId="4" applyNumberFormat="1" applyBorder="1" applyAlignment="1">
      <alignment horizontal="center" vertical="center"/>
    </xf>
    <xf numFmtId="3" fontId="6" fillId="0" borderId="10" xfId="4" applyNumberFormat="1" applyFont="1" applyBorder="1" applyAlignment="1">
      <alignment horizontal="centerContinuous" vertical="center"/>
    </xf>
    <xf numFmtId="0" fontId="12" fillId="0" borderId="0" xfId="4" applyFont="1" applyAlignment="1"/>
    <xf numFmtId="0" fontId="15" fillId="0" borderId="0" xfId="4" applyFont="1"/>
    <xf numFmtId="0" fontId="28" fillId="0" borderId="0" xfId="4" applyFont="1"/>
    <xf numFmtId="0" fontId="28" fillId="0" borderId="0" xfId="4" applyFont="1" applyAlignment="1">
      <alignment horizontal="centerContinuous"/>
    </xf>
    <xf numFmtId="0" fontId="28" fillId="0" borderId="0" xfId="4" applyFont="1" applyAlignment="1"/>
    <xf numFmtId="0" fontId="28" fillId="0" borderId="11" xfId="4" applyFont="1" applyBorder="1" applyAlignment="1">
      <alignment horizontal="centerContinuous" vertical="center"/>
    </xf>
    <xf numFmtId="0" fontId="28" fillId="0" borderId="5" xfId="4" applyFont="1" applyBorder="1" applyAlignment="1">
      <alignment horizontal="centerContinuous" vertical="center"/>
    </xf>
    <xf numFmtId="0" fontId="28" fillId="0" borderId="2" xfId="4" applyFont="1" applyBorder="1" applyAlignment="1">
      <alignment horizontal="centerContinuous" vertical="center"/>
    </xf>
    <xf numFmtId="0" fontId="28" fillId="0" borderId="0" xfId="4" applyFont="1" applyAlignment="1">
      <alignment vertical="center"/>
    </xf>
    <xf numFmtId="0" fontId="28" fillId="0" borderId="10" xfId="4" applyFont="1" applyBorder="1" applyAlignment="1">
      <alignment horizontal="centerContinuous" vertical="center"/>
    </xf>
    <xf numFmtId="0" fontId="28" fillId="0" borderId="3" xfId="4" applyFont="1" applyBorder="1" applyAlignment="1">
      <alignment horizontal="centerContinuous" vertical="center"/>
    </xf>
    <xf numFmtId="0" fontId="28" fillId="0" borderId="14" xfId="4" applyFont="1" applyBorder="1" applyAlignment="1">
      <alignment horizontal="centerContinuous" vertical="center"/>
    </xf>
    <xf numFmtId="3" fontId="28" fillId="0" borderId="7" xfId="4" applyNumberFormat="1" applyFont="1" applyBorder="1" applyAlignment="1">
      <alignment horizontal="centerContinuous" vertical="center"/>
    </xf>
    <xf numFmtId="166" fontId="28" fillId="0" borderId="6" xfId="4" applyNumberFormat="1" applyFont="1" applyBorder="1" applyAlignment="1">
      <alignment horizontal="centerContinuous" vertical="center"/>
    </xf>
    <xf numFmtId="2" fontId="28" fillId="0" borderId="13" xfId="4" applyNumberFormat="1" applyFont="1" applyBorder="1" applyAlignment="1">
      <alignment horizontal="centerContinuous" vertical="center"/>
    </xf>
    <xf numFmtId="166" fontId="28" fillId="0" borderId="7" xfId="4" applyNumberFormat="1" applyFont="1" applyBorder="1" applyAlignment="1">
      <alignment horizontal="centerContinuous" vertical="center"/>
    </xf>
    <xf numFmtId="2" fontId="28" fillId="0" borderId="6" xfId="4" applyNumberFormat="1" applyFont="1" applyBorder="1" applyAlignment="1">
      <alignment horizontal="centerContinuous" vertical="center"/>
    </xf>
    <xf numFmtId="3" fontId="28" fillId="0" borderId="7" xfId="4" applyNumberFormat="1" applyFont="1" applyBorder="1" applyAlignment="1">
      <alignment horizontal="center" vertical="center"/>
    </xf>
    <xf numFmtId="166" fontId="28" fillId="0" borderId="6" xfId="4" applyNumberFormat="1" applyFont="1" applyBorder="1" applyAlignment="1">
      <alignment horizontal="center" vertical="center"/>
    </xf>
    <xf numFmtId="2" fontId="28" fillId="0" borderId="13" xfId="4" applyNumberFormat="1" applyFont="1" applyBorder="1" applyAlignment="1">
      <alignment horizontal="center" vertical="center"/>
    </xf>
    <xf numFmtId="3" fontId="28" fillId="0" borderId="10" xfId="4" applyNumberFormat="1" applyFont="1" applyBorder="1" applyAlignment="1">
      <alignment horizontal="centerContinuous" vertical="center"/>
    </xf>
    <xf numFmtId="166" fontId="28" fillId="0" borderId="3" xfId="4" applyNumberFormat="1" applyFont="1" applyBorder="1" applyAlignment="1">
      <alignment horizontal="centerContinuous" vertical="center"/>
    </xf>
    <xf numFmtId="2" fontId="28" fillId="0" borderId="14" xfId="4" applyNumberFormat="1" applyFont="1" applyBorder="1" applyAlignment="1">
      <alignment horizontal="centerContinuous" vertical="center"/>
    </xf>
    <xf numFmtId="3" fontId="6" fillId="0" borderId="13" xfId="4" applyNumberFormat="1" applyFont="1" applyBorder="1" applyAlignment="1">
      <alignment horizontal="centerContinuous" vertical="center"/>
    </xf>
    <xf numFmtId="0" fontId="2" fillId="0" borderId="0" xfId="4" applyAlignment="1"/>
    <xf numFmtId="0" fontId="6" fillId="0" borderId="0" xfId="4" applyFont="1" applyAlignment="1"/>
    <xf numFmtId="166" fontId="6" fillId="0" borderId="0" xfId="4" applyNumberFormat="1" applyFont="1" applyBorder="1" applyAlignment="1">
      <alignment horizontal="centerContinuous" vertical="center"/>
    </xf>
    <xf numFmtId="0" fontId="22" fillId="0" borderId="0" xfId="6" applyFont="1" applyAlignment="1">
      <alignment horizontal="centerContinuous"/>
    </xf>
    <xf numFmtId="0" fontId="2" fillId="0" borderId="0" xfId="6" applyAlignment="1">
      <alignment horizontal="centerContinuous"/>
    </xf>
    <xf numFmtId="3" fontId="2" fillId="0" borderId="0" xfId="6" applyNumberFormat="1" applyAlignment="1">
      <alignment horizontal="centerContinuous"/>
    </xf>
    <xf numFmtId="0" fontId="2" fillId="0" borderId="0" xfId="6"/>
    <xf numFmtId="0" fontId="5" fillId="0" borderId="0" xfId="6" applyFont="1"/>
    <xf numFmtId="3" fontId="2" fillId="0" borderId="0" xfId="6" applyNumberFormat="1"/>
    <xf numFmtId="0" fontId="10" fillId="0" borderId="5" xfId="6" applyFont="1" applyBorder="1" applyAlignment="1"/>
    <xf numFmtId="0" fontId="2" fillId="0" borderId="5" xfId="6" applyBorder="1" applyAlignment="1">
      <alignment vertical="center"/>
    </xf>
    <xf numFmtId="0" fontId="2" fillId="0" borderId="12" xfId="6" applyBorder="1" applyAlignment="1">
      <alignment vertical="center"/>
    </xf>
    <xf numFmtId="0" fontId="2" fillId="0" borderId="12" xfId="6" applyBorder="1" applyAlignment="1">
      <alignment horizontal="centerContinuous" vertical="center"/>
    </xf>
    <xf numFmtId="0" fontId="2" fillId="0" borderId="2" xfId="6" applyBorder="1" applyAlignment="1">
      <alignment horizontal="center" vertical="center"/>
    </xf>
    <xf numFmtId="0" fontId="10" fillId="0" borderId="3" xfId="6" applyFont="1" applyBorder="1" applyAlignment="1">
      <alignment vertical="top" wrapText="1"/>
    </xf>
    <xf numFmtId="0" fontId="6" fillId="0" borderId="3" xfId="6" applyFont="1" applyBorder="1" applyAlignment="1">
      <alignment vertical="top"/>
    </xf>
    <xf numFmtId="0" fontId="9" fillId="0" borderId="9" xfId="6" applyFont="1" applyBorder="1" applyAlignment="1">
      <alignment horizontal="centerContinuous" vertical="center"/>
    </xf>
    <xf numFmtId="0" fontId="9" fillId="0" borderId="8" xfId="6" applyFont="1" applyBorder="1" applyAlignment="1">
      <alignment horizontal="centerContinuous" vertical="center"/>
    </xf>
    <xf numFmtId="0" fontId="9" fillId="0" borderId="4" xfId="6" applyFont="1" applyBorder="1" applyAlignment="1">
      <alignment horizontal="centerContinuous" vertical="center"/>
    </xf>
    <xf numFmtId="0" fontId="10" fillId="0" borderId="6" xfId="6" applyFont="1" applyBorder="1" applyAlignment="1">
      <alignment vertical="center"/>
    </xf>
    <xf numFmtId="0" fontId="2" fillId="0" borderId="6" xfId="6" applyBorder="1" applyAlignment="1">
      <alignment vertical="center"/>
    </xf>
    <xf numFmtId="0" fontId="2" fillId="0" borderId="0" xfId="6" applyBorder="1" applyAlignment="1">
      <alignment vertical="center"/>
    </xf>
    <xf numFmtId="0" fontId="9" fillId="0" borderId="6" xfId="6" applyFont="1" applyBorder="1" applyAlignment="1">
      <alignment horizontal="centerContinuous" vertical="center"/>
    </xf>
    <xf numFmtId="0" fontId="9" fillId="0" borderId="6" xfId="6" applyFont="1" applyBorder="1" applyAlignment="1">
      <alignment vertical="center"/>
    </xf>
    <xf numFmtId="3" fontId="28" fillId="0" borderId="0" xfId="6" applyNumberFormat="1" applyFont="1" applyBorder="1" applyAlignment="1">
      <alignment horizontal="centerContinuous" vertical="center"/>
    </xf>
    <xf numFmtId="3" fontId="28" fillId="0" borderId="13" xfId="6" applyNumberFormat="1" applyFont="1" applyBorder="1" applyAlignment="1">
      <alignment horizontal="centerContinuous" vertical="center"/>
    </xf>
    <xf numFmtId="0" fontId="9" fillId="0" borderId="6" xfId="6" applyFont="1" applyBorder="1" applyAlignment="1">
      <alignment vertical="center" wrapText="1"/>
    </xf>
    <xf numFmtId="0" fontId="9" fillId="0" borderId="3" xfId="6" applyFont="1" applyBorder="1" applyAlignment="1">
      <alignment vertical="center"/>
    </xf>
    <xf numFmtId="3" fontId="28" fillId="0" borderId="15" xfId="6" applyNumberFormat="1" applyFont="1" applyBorder="1" applyAlignment="1">
      <alignment horizontal="centerContinuous" vertical="center"/>
    </xf>
    <xf numFmtId="3" fontId="28" fillId="0" borderId="14" xfId="6" applyNumberFormat="1" applyFont="1" applyBorder="1" applyAlignment="1">
      <alignment horizontal="centerContinuous" vertical="center"/>
    </xf>
    <xf numFmtId="0" fontId="9" fillId="0" borderId="0" xfId="6" applyFont="1" applyBorder="1" applyAlignment="1">
      <alignment vertical="center"/>
    </xf>
    <xf numFmtId="0" fontId="9" fillId="0" borderId="0" xfId="6" applyFont="1" applyBorder="1" applyAlignment="1">
      <alignment horizontal="centerContinuous" vertical="center"/>
    </xf>
    <xf numFmtId="3" fontId="9" fillId="0" borderId="0" xfId="6" applyNumberFormat="1" applyFont="1" applyBorder="1" applyAlignment="1">
      <alignment horizontal="centerContinuous" vertical="center"/>
    </xf>
    <xf numFmtId="0" fontId="60" fillId="0" borderId="0" xfId="6" applyFont="1" applyAlignment="1">
      <alignment horizontal="centerContinuous" vertical="center"/>
    </xf>
    <xf numFmtId="0" fontId="9" fillId="0" borderId="0" xfId="6" applyFont="1" applyAlignment="1">
      <alignment horizontal="centerContinuous" vertical="center"/>
    </xf>
    <xf numFmtId="3" fontId="9" fillId="0" borderId="0" xfId="6" applyNumberFormat="1" applyFont="1" applyAlignment="1">
      <alignment vertical="center"/>
    </xf>
    <xf numFmtId="0" fontId="31" fillId="0" borderId="0" xfId="6" applyFont="1" applyAlignment="1">
      <alignment horizontal="centerContinuous" vertical="center"/>
    </xf>
    <xf numFmtId="0" fontId="2" fillId="0" borderId="0" xfId="6" applyAlignment="1">
      <alignment horizontal="centerContinuous" vertical="center"/>
    </xf>
    <xf numFmtId="3" fontId="2" fillId="0" borderId="0" xfId="6" applyNumberFormat="1" applyAlignment="1">
      <alignment vertical="center"/>
    </xf>
    <xf numFmtId="0" fontId="2" fillId="0" borderId="0" xfId="6" applyAlignment="1">
      <alignment vertical="center"/>
    </xf>
    <xf numFmtId="0" fontId="2" fillId="0" borderId="2" xfId="6" applyBorder="1" applyAlignment="1">
      <alignment horizontal="centerContinuous" vertical="center"/>
    </xf>
    <xf numFmtId="0" fontId="2" fillId="0" borderId="13" xfId="6" applyBorder="1" applyAlignment="1">
      <alignment vertical="center"/>
    </xf>
    <xf numFmtId="0" fontId="15" fillId="0" borderId="0" xfId="6" applyFont="1" applyAlignment="1">
      <alignment horizontal="centerContinuous"/>
    </xf>
    <xf numFmtId="0" fontId="21" fillId="0" borderId="0" xfId="6" applyFont="1" applyAlignment="1">
      <alignment horizontal="centerContinuous"/>
    </xf>
    <xf numFmtId="0" fontId="9" fillId="0" borderId="5" xfId="6" applyFont="1" applyBorder="1" applyAlignment="1">
      <alignment horizontal="centerContinuous" vertical="center"/>
    </xf>
    <xf numFmtId="0" fontId="9" fillId="0" borderId="3" xfId="6" applyFont="1" applyBorder="1" applyAlignment="1">
      <alignment horizontal="centerContinuous" vertical="center"/>
    </xf>
    <xf numFmtId="3" fontId="28" fillId="0" borderId="0" xfId="6" quotePrefix="1" applyNumberFormat="1" applyFont="1" applyBorder="1" applyAlignment="1">
      <alignment horizontal="centerContinuous" vertical="center"/>
    </xf>
    <xf numFmtId="0" fontId="28" fillId="0" borderId="0" xfId="6" applyFont="1"/>
    <xf numFmtId="165" fontId="28" fillId="0" borderId="6" xfId="6" applyNumberFormat="1" applyFont="1" applyBorder="1" applyAlignment="1">
      <alignment horizontal="centerContinuous" vertical="center"/>
    </xf>
    <xf numFmtId="0" fontId="28" fillId="0" borderId="3" xfId="6" applyFont="1" applyBorder="1" applyAlignment="1">
      <alignment horizontal="centerContinuous" vertical="center"/>
    </xf>
    <xf numFmtId="0" fontId="26" fillId="0" borderId="0" xfId="6" applyFont="1" applyAlignment="1">
      <alignment horizontal="centerContinuous" vertical="center"/>
    </xf>
    <xf numFmtId="0" fontId="5" fillId="0" borderId="0" xfId="6" applyFont="1" applyAlignment="1">
      <alignment vertical="center"/>
    </xf>
    <xf numFmtId="0" fontId="2" fillId="0" borderId="0" xfId="6" applyBorder="1" applyAlignment="1">
      <alignment horizontal="center" vertical="center"/>
    </xf>
    <xf numFmtId="0" fontId="28" fillId="0" borderId="0" xfId="6" applyFont="1" applyBorder="1" applyAlignment="1">
      <alignment horizontal="center" vertical="center"/>
    </xf>
    <xf numFmtId="0" fontId="28" fillId="0" borderId="6" xfId="6" applyFont="1" applyBorder="1" applyAlignment="1">
      <alignment horizontal="center" vertical="center"/>
    </xf>
    <xf numFmtId="0" fontId="2" fillId="0" borderId="0" xfId="6" applyAlignment="1">
      <alignment horizontal="center" vertical="center"/>
    </xf>
    <xf numFmtId="0" fontId="2" fillId="0" borderId="0" xfId="6" applyFont="1" applyAlignment="1">
      <alignment horizontal="center" vertical="center"/>
    </xf>
    <xf numFmtId="0" fontId="9" fillId="0" borderId="0" xfId="6" applyFont="1" applyBorder="1" applyAlignment="1">
      <alignment horizontal="center" vertical="center"/>
    </xf>
    <xf numFmtId="0" fontId="61" fillId="0" borderId="0" xfId="6" applyFont="1" applyAlignment="1">
      <alignment horizontal="centerContinuous" vertical="center"/>
    </xf>
    <xf numFmtId="0" fontId="9" fillId="0" borderId="0" xfId="6" applyFont="1" applyAlignment="1">
      <alignment vertical="center"/>
    </xf>
    <xf numFmtId="0" fontId="33" fillId="0" borderId="0" xfId="6" applyFont="1" applyAlignment="1">
      <alignment horizontal="centerContinuous" vertical="center"/>
    </xf>
    <xf numFmtId="0" fontId="36" fillId="0" borderId="0" xfId="6" applyFont="1" applyAlignment="1">
      <alignment horizontal="center" vertical="center"/>
    </xf>
    <xf numFmtId="0" fontId="25" fillId="0" borderId="0" xfId="6" applyFont="1" applyAlignment="1">
      <alignment horizontal="center" vertical="center"/>
    </xf>
    <xf numFmtId="0" fontId="2" fillId="0" borderId="0" xfId="6" applyFont="1" applyAlignment="1">
      <alignment vertical="center"/>
    </xf>
    <xf numFmtId="0" fontId="26" fillId="0" borderId="0" xfId="6" applyFont="1" applyAlignment="1">
      <alignment horizontal="center" vertical="center"/>
    </xf>
    <xf numFmtId="0" fontId="33" fillId="0" borderId="0" xfId="6" applyFont="1" applyAlignment="1">
      <alignment vertical="center"/>
    </xf>
    <xf numFmtId="0" fontId="28" fillId="0" borderId="15" xfId="6" applyFont="1" applyBorder="1" applyAlignment="1">
      <alignment horizontal="center" vertical="center"/>
    </xf>
    <xf numFmtId="3" fontId="9" fillId="0" borderId="0" xfId="6" applyNumberFormat="1" applyFont="1" applyBorder="1" applyAlignment="1">
      <alignment horizontal="center" vertical="center"/>
    </xf>
    <xf numFmtId="0" fontId="22" fillId="0" borderId="0" xfId="6" applyFont="1" applyAlignment="1">
      <alignment horizontal="center" vertical="center"/>
    </xf>
    <xf numFmtId="0" fontId="9" fillId="0" borderId="0" xfId="6" applyFont="1" applyAlignment="1">
      <alignment horizontal="center" vertical="center"/>
    </xf>
    <xf numFmtId="0" fontId="15" fillId="0" borderId="0" xfId="6" applyFont="1" applyAlignment="1">
      <alignment horizontal="center" vertical="center"/>
    </xf>
    <xf numFmtId="0" fontId="2" fillId="0" borderId="7" xfId="6" applyBorder="1" applyAlignment="1">
      <alignment horizontal="center" vertical="center"/>
    </xf>
    <xf numFmtId="0" fontId="2" fillId="0" borderId="13" xfId="6" applyBorder="1" applyAlignment="1">
      <alignment horizontal="center" vertical="center"/>
    </xf>
    <xf numFmtId="0" fontId="28" fillId="0" borderId="15" xfId="6" applyFont="1" applyBorder="1" applyAlignment="1">
      <alignment horizontal="centerContinuous" vertical="center"/>
    </xf>
    <xf numFmtId="3" fontId="28" fillId="0" borderId="14" xfId="6" applyNumberFormat="1" applyFont="1" applyBorder="1" applyAlignment="1">
      <alignment horizontal="center" vertical="center"/>
    </xf>
    <xf numFmtId="0" fontId="31" fillId="0" borderId="0" xfId="6" applyFont="1" applyAlignment="1">
      <alignment horizontal="center" vertical="center"/>
    </xf>
    <xf numFmtId="0" fontId="5" fillId="0" borderId="0" xfId="6" applyFont="1" applyAlignment="1">
      <alignment horizontal="center" vertical="center"/>
    </xf>
    <xf numFmtId="0" fontId="9" fillId="0" borderId="6" xfId="6" applyFont="1" applyBorder="1" applyAlignment="1">
      <alignment horizontal="center" vertical="center"/>
    </xf>
    <xf numFmtId="0" fontId="9" fillId="0" borderId="6" xfId="6" applyFont="1" applyBorder="1" applyAlignment="1">
      <alignment horizontal="left" vertical="center"/>
    </xf>
    <xf numFmtId="0" fontId="28" fillId="0" borderId="13" xfId="6" applyFont="1" applyBorder="1" applyAlignment="1">
      <alignment horizontal="center" vertical="center"/>
    </xf>
    <xf numFmtId="0" fontId="9" fillId="0" borderId="3" xfId="6" applyFont="1" applyBorder="1" applyAlignment="1">
      <alignment horizontal="center" vertical="center"/>
    </xf>
    <xf numFmtId="0" fontId="22" fillId="5" borderId="0" xfId="6" applyFont="1" applyFill="1" applyAlignment="1">
      <alignment horizontal="centerContinuous" vertical="center"/>
    </xf>
    <xf numFmtId="0" fontId="31" fillId="5" borderId="0" xfId="6" applyFont="1" applyFill="1" applyAlignment="1">
      <alignment horizontal="centerContinuous" vertical="center"/>
    </xf>
    <xf numFmtId="0" fontId="22" fillId="0" borderId="0" xfId="6" applyFont="1" applyAlignment="1">
      <alignment horizontal="centerContinuous" vertical="center"/>
    </xf>
    <xf numFmtId="0" fontId="11" fillId="0" borderId="0" xfId="6" applyFont="1" applyAlignment="1">
      <alignment horizontal="center" vertical="center"/>
    </xf>
    <xf numFmtId="0" fontId="31" fillId="0" borderId="0" xfId="6" applyFont="1" applyAlignment="1">
      <alignment horizontal="centerContinuous"/>
    </xf>
    <xf numFmtId="0" fontId="31" fillId="0" borderId="0" xfId="6" applyFont="1"/>
    <xf numFmtId="0" fontId="11" fillId="0" borderId="0" xfId="6" applyFont="1" applyAlignment="1"/>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centerContinuous" vertical="center"/>
    </xf>
    <xf numFmtId="1" fontId="2" fillId="0" borderId="6" xfId="4" applyNumberFormat="1" applyBorder="1" applyAlignment="1">
      <alignment horizontal="center" vertical="center"/>
    </xf>
    <xf numFmtId="0" fontId="19" fillId="0" borderId="13" xfId="0" applyFont="1" applyBorder="1" applyAlignment="1">
      <alignment vertical="center"/>
    </xf>
    <xf numFmtId="0" fontId="19" fillId="0" borderId="8" xfId="0" applyFont="1" applyBorder="1" applyAlignment="1">
      <alignment horizontal="center" vertical="center"/>
    </xf>
    <xf numFmtId="3" fontId="9" fillId="0" borderId="0" xfId="0" applyNumberFormat="1" applyFont="1" applyFill="1" applyBorder="1" applyAlignment="1">
      <alignment horizontal="center"/>
    </xf>
    <xf numFmtId="0" fontId="0" fillId="0" borderId="0" xfId="0" applyFill="1" applyBorder="1" applyAlignment="1">
      <alignment horizontal="center"/>
    </xf>
    <xf numFmtId="3" fontId="6" fillId="0" borderId="5" xfId="0" applyNumberFormat="1" applyFont="1" applyBorder="1" applyAlignment="1">
      <alignment horizontal="left" vertical="center"/>
    </xf>
    <xf numFmtId="3" fontId="6" fillId="0" borderId="6" xfId="0" applyNumberFormat="1" applyFont="1" applyBorder="1" applyAlignment="1">
      <alignment horizontal="left" vertical="center"/>
    </xf>
    <xf numFmtId="3" fontId="6" fillId="0" borderId="3" xfId="0" applyNumberFormat="1" applyFont="1" applyBorder="1" applyAlignment="1">
      <alignment horizontal="left" vertical="center"/>
    </xf>
    <xf numFmtId="0" fontId="63" fillId="0" borderId="17" xfId="0" applyNumberFormat="1" applyFont="1" applyFill="1" applyBorder="1" applyAlignment="1" applyProtection="1">
      <alignment vertical="center"/>
    </xf>
    <xf numFmtId="165" fontId="28" fillId="0" borderId="0" xfId="3" applyNumberFormat="1" applyFont="1" applyBorder="1" applyAlignment="1">
      <alignment horizontal="center" vertical="center"/>
    </xf>
    <xf numFmtId="3" fontId="19" fillId="0" borderId="0" xfId="0" applyNumberFormat="1" applyFont="1" applyAlignment="1">
      <alignment horizontal="center"/>
    </xf>
    <xf numFmtId="3" fontId="28" fillId="0" borderId="0" xfId="3" applyNumberFormat="1" applyFont="1"/>
    <xf numFmtId="3" fontId="9" fillId="0" borderId="0" xfId="0" applyNumberFormat="1" applyFont="1" applyFill="1" applyBorder="1" applyAlignment="1">
      <alignment horizontal="center" vertical="center"/>
    </xf>
    <xf numFmtId="0" fontId="0" fillId="0" borderId="0" xfId="0" applyAlignment="1">
      <alignment horizontal="left"/>
    </xf>
    <xf numFmtId="3" fontId="6" fillId="0" borderId="0" xfId="0" applyNumberFormat="1" applyFont="1" applyBorder="1" applyAlignment="1">
      <alignment vertical="center"/>
    </xf>
    <xf numFmtId="3" fontId="6" fillId="0" borderId="7" xfId="0" applyNumberFormat="1" applyFont="1" applyBorder="1" applyAlignment="1">
      <alignment vertical="center"/>
    </xf>
    <xf numFmtId="0" fontId="28" fillId="0" borderId="0" xfId="3" applyNumberFormat="1" applyFont="1" applyAlignment="1">
      <alignment horizontal="center"/>
    </xf>
    <xf numFmtId="0" fontId="9" fillId="0" borderId="14" xfId="0" applyFont="1" applyBorder="1" applyAlignment="1">
      <alignment horizontal="left"/>
    </xf>
    <xf numFmtId="0" fontId="66" fillId="0" borderId="0" xfId="6" applyFont="1" applyAlignment="1">
      <alignment horizontal="center" vertical="center"/>
    </xf>
    <xf numFmtId="0" fontId="15" fillId="0" borderId="9" xfId="0" applyFont="1" applyBorder="1" applyAlignment="1">
      <alignment vertical="center" wrapText="1"/>
    </xf>
    <xf numFmtId="3" fontId="28" fillId="0" borderId="1" xfId="0" applyNumberFormat="1" applyFont="1" applyBorder="1" applyAlignment="1">
      <alignment horizontal="center" vertical="center" wrapText="1"/>
    </xf>
    <xf numFmtId="0" fontId="66" fillId="0" borderId="0" xfId="0" applyFont="1" applyAlignment="1">
      <alignment vertical="center"/>
    </xf>
    <xf numFmtId="0" fontId="14" fillId="0" borderId="15" xfId="0" applyFont="1" applyBorder="1" applyAlignment="1">
      <alignment horizontal="center" vertical="center"/>
    </xf>
    <xf numFmtId="3" fontId="0" fillId="0" borderId="26" xfId="0" applyNumberFormat="1" applyBorder="1" applyAlignment="1">
      <alignment horizontal="center" vertical="center"/>
    </xf>
    <xf numFmtId="2" fontId="0" fillId="0" borderId="27" xfId="0" applyNumberFormat="1" applyBorder="1" applyAlignment="1">
      <alignment horizontal="center" vertical="center"/>
    </xf>
    <xf numFmtId="3" fontId="0" fillId="0" borderId="28" xfId="0" applyNumberFormat="1" applyBorder="1" applyAlignment="1">
      <alignment horizontal="center" vertical="center"/>
    </xf>
    <xf numFmtId="3" fontId="0" fillId="0" borderId="29" xfId="0" applyNumberFormat="1" applyBorder="1" applyAlignment="1">
      <alignment horizontal="center" vertical="center"/>
    </xf>
    <xf numFmtId="2" fontId="0" fillId="0" borderId="30" xfId="0" applyNumberFormat="1" applyBorder="1" applyAlignment="1">
      <alignment horizontal="center" vertical="center"/>
    </xf>
    <xf numFmtId="3" fontId="9" fillId="0" borderId="31" xfId="0" applyNumberFormat="1" applyFont="1" applyBorder="1" applyAlignment="1">
      <alignment horizontal="center" vertical="center"/>
    </xf>
    <xf numFmtId="3" fontId="9" fillId="0" borderId="32" xfId="0" applyNumberFormat="1" applyFont="1" applyBorder="1" applyAlignment="1">
      <alignment horizontal="center" vertical="center" wrapText="1"/>
    </xf>
    <xf numFmtId="3" fontId="9" fillId="0" borderId="33" xfId="0" applyNumberFormat="1" applyFont="1" applyBorder="1" applyAlignment="1">
      <alignment horizontal="center" vertical="center" wrapText="1"/>
    </xf>
    <xf numFmtId="0" fontId="0" fillId="0" borderId="34" xfId="0" applyBorder="1"/>
    <xf numFmtId="3" fontId="9" fillId="0" borderId="32" xfId="0" applyNumberFormat="1" applyFont="1" applyBorder="1" applyAlignment="1">
      <alignment horizontal="center" vertical="center"/>
    </xf>
    <xf numFmtId="0" fontId="19" fillId="0" borderId="35" xfId="0" applyFont="1" applyBorder="1" applyAlignment="1">
      <alignment vertical="top"/>
    </xf>
    <xf numFmtId="173" fontId="0" fillId="0" borderId="0" xfId="0" applyNumberFormat="1" applyAlignment="1">
      <alignment vertical="center"/>
    </xf>
    <xf numFmtId="3" fontId="0" fillId="0" borderId="36" xfId="0" applyNumberFormat="1" applyBorder="1" applyAlignment="1">
      <alignment horizontal="center" vertical="center"/>
    </xf>
    <xf numFmtId="3" fontId="0" fillId="0" borderId="37" xfId="0" applyNumberFormat="1" applyBorder="1" applyAlignment="1">
      <alignment horizontal="center" vertical="center"/>
    </xf>
    <xf numFmtId="2" fontId="0" fillId="0" borderId="38" xfId="0" applyNumberFormat="1" applyBorder="1" applyAlignment="1">
      <alignment horizontal="center" vertical="center"/>
    </xf>
    <xf numFmtId="0" fontId="14" fillId="0" borderId="0" xfId="0" applyFont="1" applyBorder="1" applyAlignment="1">
      <alignment horizontal="center" vertical="center"/>
    </xf>
    <xf numFmtId="2" fontId="0" fillId="0" borderId="0" xfId="0" applyNumberFormat="1" applyBorder="1" applyAlignment="1">
      <alignment horizontal="center" vertical="center"/>
    </xf>
    <xf numFmtId="0" fontId="14" fillId="0" borderId="0" xfId="0" applyFont="1" applyBorder="1" applyAlignment="1">
      <alignment horizontal="left" vertical="center"/>
    </xf>
    <xf numFmtId="3" fontId="66" fillId="0" borderId="15" xfId="3" applyNumberFormat="1" applyFont="1" applyBorder="1" applyAlignment="1" applyProtection="1">
      <alignment horizontal="center" vertical="center"/>
      <protection locked="0"/>
    </xf>
    <xf numFmtId="3" fontId="66" fillId="0" borderId="3" xfId="3" applyNumberFormat="1" applyFont="1" applyBorder="1" applyAlignment="1" applyProtection="1">
      <alignment horizontal="center" vertical="center"/>
      <protection locked="0"/>
    </xf>
    <xf numFmtId="3" fontId="66" fillId="0" borderId="15" xfId="3" applyNumberFormat="1" applyFont="1" applyBorder="1" applyAlignment="1" applyProtection="1">
      <alignment horizontal="center" vertical="center"/>
    </xf>
    <xf numFmtId="3" fontId="2" fillId="0" borderId="0" xfId="6" applyNumberFormat="1" applyAlignment="1">
      <alignment horizontal="center" vertical="center"/>
    </xf>
    <xf numFmtId="4" fontId="28" fillId="0" borderId="13" xfId="0" applyNumberFormat="1" applyFont="1" applyBorder="1" applyAlignment="1">
      <alignment horizontal="centerContinuous" vertical="center"/>
    </xf>
    <xf numFmtId="4" fontId="28" fillId="0" borderId="2" xfId="0" applyNumberFormat="1" applyFont="1" applyBorder="1" applyAlignment="1">
      <alignment horizontal="centerContinuous" vertical="center"/>
    </xf>
    <xf numFmtId="0" fontId="0" fillId="0" borderId="15" xfId="0" applyBorder="1" applyAlignment="1">
      <alignment horizontal="centerContinuous"/>
    </xf>
    <xf numFmtId="165" fontId="9" fillId="0" borderId="14" xfId="0" applyNumberFormat="1" applyFont="1" applyBorder="1" applyAlignment="1">
      <alignment horizontal="center" vertical="center"/>
    </xf>
    <xf numFmtId="0" fontId="2" fillId="0" borderId="6" xfId="0" applyFont="1" applyBorder="1" applyAlignment="1">
      <alignment horizontal="left" vertical="center"/>
    </xf>
    <xf numFmtId="0" fontId="2" fillId="0" borderId="0" xfId="6" applyFont="1" applyBorder="1" applyAlignment="1">
      <alignment horizontal="center" vertical="center"/>
    </xf>
    <xf numFmtId="3" fontId="16" fillId="7" borderId="1" xfId="0" applyNumberFormat="1" applyFont="1" applyFill="1" applyBorder="1" applyAlignment="1">
      <alignment horizontal="center" vertical="center" wrapText="1"/>
    </xf>
    <xf numFmtId="3" fontId="35" fillId="0" borderId="0" xfId="0" applyNumberFormat="1" applyFont="1" applyAlignment="1">
      <alignment vertical="center"/>
    </xf>
    <xf numFmtId="3" fontId="31" fillId="0" borderId="13" xfId="0" applyNumberFormat="1" applyFont="1" applyBorder="1" applyAlignment="1">
      <alignment horizontal="center" vertical="center"/>
    </xf>
    <xf numFmtId="0" fontId="6" fillId="0" borderId="0" xfId="0" applyFont="1" applyFill="1" applyBorder="1" applyAlignment="1">
      <alignment horizontal="centerContinuous" vertical="center"/>
    </xf>
    <xf numFmtId="4" fontId="6" fillId="0" borderId="1" xfId="0" applyNumberFormat="1" applyFont="1" applyBorder="1" applyAlignment="1">
      <alignment horizontal="center" vertical="center"/>
    </xf>
    <xf numFmtId="0" fontId="45" fillId="0" borderId="20" xfId="8" applyNumberFormat="1" applyFont="1" applyFill="1" applyBorder="1" applyAlignment="1" applyProtection="1">
      <alignment horizontal="left" vertical="center" wrapText="1"/>
    </xf>
    <xf numFmtId="0" fontId="45" fillId="0" borderId="19" xfId="8" applyNumberFormat="1" applyFont="1" applyFill="1" applyBorder="1" applyAlignment="1" applyProtection="1">
      <alignment horizontal="left" vertical="center" wrapText="1"/>
    </xf>
    <xf numFmtId="0" fontId="45" fillId="0" borderId="39" xfId="8" applyNumberFormat="1" applyFont="1" applyFill="1" applyBorder="1" applyAlignment="1" applyProtection="1">
      <alignment horizontal="left" vertical="center" wrapText="1"/>
    </xf>
    <xf numFmtId="0" fontId="45" fillId="0" borderId="21" xfId="8" applyNumberFormat="1" applyFont="1" applyFill="1" applyBorder="1" applyAlignment="1" applyProtection="1">
      <alignment horizontal="left" vertical="center" wrapText="1"/>
    </xf>
    <xf numFmtId="3" fontId="45" fillId="0" borderId="10" xfId="0" applyNumberFormat="1" applyFont="1" applyFill="1" applyBorder="1" applyAlignment="1" applyProtection="1">
      <alignment horizontal="center" vertical="center"/>
    </xf>
    <xf numFmtId="3" fontId="64" fillId="0" borderId="0" xfId="0" applyNumberFormat="1" applyFont="1" applyFill="1" applyBorder="1" applyAlignment="1" applyProtection="1">
      <alignment vertical="center"/>
    </xf>
    <xf numFmtId="174" fontId="65" fillId="6" borderId="18" xfId="1" applyNumberFormat="1" applyFont="1" applyFill="1" applyBorder="1" applyAlignment="1">
      <alignment horizontal="left" vertical="center" wrapText="1"/>
    </xf>
    <xf numFmtId="0" fontId="9" fillId="0" borderId="40" xfId="0" applyFont="1" applyBorder="1" applyAlignment="1">
      <alignment vertical="center"/>
    </xf>
    <xf numFmtId="0" fontId="9" fillId="0" borderId="41" xfId="0" applyFont="1" applyBorder="1" applyAlignment="1">
      <alignment vertical="center"/>
    </xf>
    <xf numFmtId="3" fontId="28" fillId="0" borderId="41" xfId="0" applyNumberFormat="1" applyFont="1" applyBorder="1" applyAlignment="1">
      <alignment horizontal="center" vertical="center"/>
    </xf>
    <xf numFmtId="3" fontId="28" fillId="0" borderId="40" xfId="0" applyNumberFormat="1" applyFont="1" applyBorder="1" applyAlignment="1">
      <alignment horizontal="center" vertical="center"/>
    </xf>
    <xf numFmtId="3" fontId="28" fillId="0" borderId="42" xfId="0" applyNumberFormat="1" applyFont="1" applyBorder="1" applyAlignment="1">
      <alignment horizontal="center" vertical="center"/>
    </xf>
    <xf numFmtId="0" fontId="67" fillId="0" borderId="7" xfId="0" applyFont="1" applyBorder="1" applyAlignment="1">
      <alignment vertical="center"/>
    </xf>
    <xf numFmtId="0" fontId="0" fillId="0" borderId="0" xfId="0" applyBorder="1" applyAlignment="1">
      <alignment horizontal="center"/>
    </xf>
    <xf numFmtId="0" fontId="6" fillId="0" borderId="0" xfId="0" applyFont="1" applyBorder="1" applyAlignment="1">
      <alignment horizontal="left" vertical="center"/>
    </xf>
    <xf numFmtId="3" fontId="6" fillId="0" borderId="1" xfId="0" applyNumberFormat="1" applyFont="1" applyBorder="1" applyAlignment="1">
      <alignment horizontal="center" vertical="center"/>
    </xf>
    <xf numFmtId="0" fontId="9" fillId="0" borderId="0" xfId="0" applyFont="1" applyBorder="1" applyAlignment="1">
      <alignment horizontal="centerContinuous" vertical="center" wrapText="1"/>
    </xf>
    <xf numFmtId="0" fontId="9" fillId="0" borderId="5" xfId="0" applyFont="1" applyBorder="1" applyAlignment="1">
      <alignment horizontal="center" vertical="center"/>
    </xf>
    <xf numFmtId="0" fontId="9" fillId="0" borderId="3" xfId="0" applyFont="1" applyBorder="1" applyAlignment="1">
      <alignment horizontal="center" vertical="center" wrapText="1"/>
    </xf>
    <xf numFmtId="0" fontId="6" fillId="0" borderId="0" xfId="0" applyFont="1" applyBorder="1" applyAlignment="1">
      <alignment horizontal="center" vertical="center" wrapText="1"/>
    </xf>
    <xf numFmtId="4" fontId="6" fillId="0" borderId="0" xfId="0" applyNumberFormat="1" applyFont="1" applyBorder="1" applyAlignment="1">
      <alignment horizontal="center" vertical="center"/>
    </xf>
    <xf numFmtId="165" fontId="6" fillId="0" borderId="0" xfId="0" applyNumberFormat="1" applyFont="1" applyBorder="1" applyAlignment="1">
      <alignment horizontal="center" vertical="center"/>
    </xf>
    <xf numFmtId="165" fontId="7" fillId="0" borderId="0" xfId="0" applyNumberFormat="1" applyFont="1" applyBorder="1" applyAlignment="1">
      <alignment horizontal="center" vertical="center"/>
    </xf>
    <xf numFmtId="0" fontId="69" fillId="0" borderId="0" xfId="0" applyFont="1"/>
    <xf numFmtId="0" fontId="0" fillId="0" borderId="11" xfId="0" applyBorder="1" applyAlignment="1">
      <alignment horizontal="right"/>
    </xf>
    <xf numFmtId="3" fontId="39" fillId="0" borderId="2" xfId="0" applyNumberFormat="1" applyFont="1" applyBorder="1" applyAlignment="1">
      <alignment horizontal="right" vertical="center"/>
    </xf>
    <xf numFmtId="0" fontId="0" fillId="0" borderId="7" xfId="0" applyBorder="1" applyAlignment="1">
      <alignment horizontal="right"/>
    </xf>
    <xf numFmtId="3" fontId="39" fillId="0" borderId="13" xfId="0" applyNumberFormat="1" applyFont="1" applyBorder="1" applyAlignment="1">
      <alignment horizontal="right" vertical="center"/>
    </xf>
    <xf numFmtId="3" fontId="10" fillId="0" borderId="3" xfId="0" applyNumberFormat="1" applyFont="1" applyBorder="1" applyAlignment="1">
      <alignment horizontal="center" vertical="center" wrapText="1"/>
    </xf>
    <xf numFmtId="0" fontId="39" fillId="0" borderId="4" xfId="0" applyFont="1" applyBorder="1" applyAlignment="1">
      <alignment horizontal="center" vertical="center"/>
    </xf>
    <xf numFmtId="0" fontId="9" fillId="0" borderId="13" xfId="0" applyFont="1" applyBorder="1" applyAlignment="1">
      <alignment horizontal="center"/>
    </xf>
    <xf numFmtId="3" fontId="66" fillId="0" borderId="0" xfId="0" applyNumberFormat="1" applyFont="1" applyBorder="1" applyAlignment="1">
      <alignment vertical="center"/>
    </xf>
    <xf numFmtId="3" fontId="66" fillId="0" borderId="13" xfId="0" applyNumberFormat="1" applyFont="1" applyBorder="1" applyAlignment="1">
      <alignment vertical="center"/>
    </xf>
    <xf numFmtId="0" fontId="39" fillId="0" borderId="13" xfId="0" applyFont="1" applyBorder="1" applyAlignment="1">
      <alignment horizontal="center"/>
    </xf>
    <xf numFmtId="0" fontId="2" fillId="0" borderId="6" xfId="3" applyNumberFormat="1" applyFont="1" applyBorder="1" applyAlignment="1" applyProtection="1">
      <alignment horizontal="left" vertical="center"/>
    </xf>
    <xf numFmtId="3" fontId="28" fillId="0" borderId="13" xfId="3" applyNumberFormat="1" applyFont="1" applyBorder="1" applyAlignment="1" applyProtection="1">
      <alignment horizontal="center" vertical="center"/>
    </xf>
    <xf numFmtId="0" fontId="6" fillId="0" borderId="7" xfId="0" applyFont="1" applyFill="1" applyBorder="1" applyAlignment="1">
      <alignment horizontal="left" vertical="center"/>
    </xf>
    <xf numFmtId="0" fontId="14" fillId="0" borderId="0" xfId="0" applyFont="1" applyAlignment="1">
      <alignment horizontal="center" vertical="center"/>
    </xf>
    <xf numFmtId="3" fontId="28" fillId="0" borderId="2" xfId="3" applyNumberFormat="1" applyFont="1" applyBorder="1" applyAlignment="1" applyProtection="1">
      <alignment horizontal="centerContinuous" vertical="center"/>
    </xf>
    <xf numFmtId="0" fontId="2" fillId="0" borderId="6" xfId="3" applyNumberFormat="1" applyFont="1" applyBorder="1" applyAlignment="1" applyProtection="1">
      <alignment horizontal="center" vertical="center"/>
    </xf>
    <xf numFmtId="0" fontId="28" fillId="0" borderId="5" xfId="3" applyNumberFormat="1" applyFont="1" applyBorder="1" applyAlignment="1">
      <alignment horizontal="center" vertical="center"/>
    </xf>
    <xf numFmtId="0" fontId="28" fillId="0" borderId="5" xfId="3" applyNumberFormat="1" applyFont="1" applyBorder="1" applyAlignment="1" applyProtection="1">
      <alignment horizontal="center" vertical="center"/>
    </xf>
    <xf numFmtId="0" fontId="28" fillId="0" borderId="3" xfId="3" applyNumberFormat="1" applyFont="1" applyBorder="1" applyAlignment="1" applyProtection="1">
      <alignment horizontal="center" vertical="center"/>
    </xf>
    <xf numFmtId="3" fontId="0" fillId="0" borderId="1" xfId="0" applyNumberFormat="1" applyBorder="1" applyAlignment="1">
      <alignment horizontal="center"/>
    </xf>
    <xf numFmtId="3" fontId="0" fillId="0" borderId="4" xfId="0" applyNumberFormat="1" applyBorder="1"/>
    <xf numFmtId="3" fontId="0" fillId="0" borderId="8" xfId="0" applyNumberFormat="1" applyBorder="1"/>
    <xf numFmtId="0" fontId="2" fillId="0" borderId="0" xfId="4" applyBorder="1" applyAlignment="1">
      <alignment vertical="center"/>
    </xf>
    <xf numFmtId="165" fontId="2" fillId="0" borderId="0" xfId="3" applyNumberFormat="1" applyFont="1" applyBorder="1" applyAlignment="1">
      <alignment horizontal="centerContinuous" vertical="center"/>
    </xf>
    <xf numFmtId="0" fontId="49" fillId="6" borderId="43" xfId="0" applyFont="1" applyFill="1" applyBorder="1" applyAlignment="1" applyProtection="1">
      <alignment horizontal="center" vertical="center"/>
    </xf>
    <xf numFmtId="0" fontId="50" fillId="6" borderId="39" xfId="0" applyFont="1" applyFill="1" applyBorder="1" applyAlignment="1" applyProtection="1">
      <alignment horizontal="left" vertical="center"/>
    </xf>
    <xf numFmtId="0" fontId="50" fillId="6" borderId="18"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xf>
    <xf numFmtId="3" fontId="9" fillId="0" borderId="0" xfId="0" applyNumberFormat="1" applyFont="1" applyAlignment="1">
      <alignment horizontal="center" vertical="center"/>
    </xf>
    <xf numFmtId="0" fontId="0" fillId="0" borderId="0" xfId="0" applyAlignment="1">
      <alignment horizontal="center"/>
    </xf>
    <xf numFmtId="3" fontId="70" fillId="0" borderId="0" xfId="0" applyNumberFormat="1" applyFont="1" applyAlignment="1">
      <alignment horizontal="center" vertical="center"/>
    </xf>
    <xf numFmtId="0" fontId="40" fillId="0" borderId="0" xfId="0" applyFont="1" applyBorder="1" applyAlignment="1">
      <alignment vertic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2" fontId="6" fillId="0" borderId="13" xfId="0" applyNumberFormat="1" applyFont="1" applyBorder="1" applyAlignment="1">
      <alignment horizontal="centerContinuous" vertical="center"/>
    </xf>
    <xf numFmtId="2" fontId="6" fillId="0" borderId="3" xfId="0" applyNumberFormat="1" applyFont="1" applyBorder="1" applyAlignment="1">
      <alignment horizontal="centerContinuous" vertical="center"/>
    </xf>
    <xf numFmtId="2" fontId="6" fillId="0" borderId="14" xfId="0" applyNumberFormat="1" applyFont="1" applyBorder="1" applyAlignment="1">
      <alignment horizontal="centerContinuous" vertical="center"/>
    </xf>
    <xf numFmtId="0" fontId="71" fillId="0" borderId="0" xfId="0" applyFont="1" applyAlignment="1">
      <alignment horizontal="center"/>
    </xf>
    <xf numFmtId="2" fontId="6" fillId="0" borderId="0" xfId="0" applyNumberFormat="1" applyFont="1" applyBorder="1" applyAlignment="1">
      <alignment horizontal="centerContinuous"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19" fillId="0" borderId="11" xfId="0" applyFont="1" applyBorder="1" applyAlignment="1">
      <alignment horizontal="center" vertical="center"/>
    </xf>
    <xf numFmtId="0" fontId="66" fillId="0" borderId="0" xfId="0" applyFont="1"/>
    <xf numFmtId="0" fontId="39" fillId="0" borderId="0" xfId="0" applyFont="1" applyBorder="1" applyAlignment="1">
      <alignment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3" fontId="0" fillId="0" borderId="7" xfId="0" applyNumberFormat="1" applyBorder="1" applyAlignment="1">
      <alignment horizontal="center" vertical="center"/>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horizontal="center" vertical="center" wrapText="1"/>
    </xf>
    <xf numFmtId="0" fontId="2" fillId="0" borderId="1" xfId="3" applyNumberFormat="1" applyFont="1" applyBorder="1" applyAlignment="1" applyProtection="1">
      <alignment horizontal="center" vertical="center"/>
    </xf>
    <xf numFmtId="0" fontId="2" fillId="0" borderId="3" xfId="3" applyNumberFormat="1" applyFont="1" applyBorder="1" applyAlignment="1" applyProtection="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8" fillId="0" borderId="0" xfId="3" applyNumberFormat="1" applyFont="1" applyAlignment="1">
      <alignment horizontal="centerContinuous" vertical="center"/>
    </xf>
    <xf numFmtId="0" fontId="56" fillId="0" borderId="0" xfId="3" applyNumberFormat="1" applyFont="1" applyAlignment="1">
      <alignment horizontal="centerContinuous" vertical="center"/>
    </xf>
    <xf numFmtId="0" fontId="28" fillId="0" borderId="0" xfId="3" applyNumberFormat="1" applyFont="1" applyAlignment="1">
      <alignmen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69" fillId="0" borderId="0" xfId="0" applyNumberFormat="1" applyFont="1" applyAlignment="1">
      <alignment horizontal="center" vertical="center"/>
    </xf>
    <xf numFmtId="3" fontId="6" fillId="0" borderId="0" xfId="0" applyNumberFormat="1" applyFont="1"/>
    <xf numFmtId="3" fontId="19" fillId="0" borderId="1" xfId="0" applyNumberFormat="1" applyFont="1" applyBorder="1" applyAlignment="1">
      <alignment horizontal="center" vertical="center"/>
    </xf>
    <xf numFmtId="3" fontId="68" fillId="0" borderId="14" xfId="0" applyNumberFormat="1" applyFont="1" applyBorder="1" applyAlignment="1">
      <alignment horizontal="centerContinuous"/>
    </xf>
    <xf numFmtId="0" fontId="45" fillId="0" borderId="3" xfId="0" applyNumberFormat="1"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xf>
    <xf numFmtId="0" fontId="0" fillId="0" borderId="14" xfId="0" applyBorder="1" applyAlignment="1">
      <alignment horizontal="center" vertical="center"/>
    </xf>
    <xf numFmtId="0" fontId="0" fillId="0" borderId="0" xfId="0" applyBorder="1" applyAlignment="1">
      <alignment horizontal="centerContinuous"/>
    </xf>
    <xf numFmtId="0" fontId="2" fillId="0" borderId="10" xfId="11" applyBorder="1" applyAlignment="1">
      <alignment horizontal="center" vertical="center"/>
    </xf>
    <xf numFmtId="0" fontId="2" fillId="0" borderId="7" xfId="11" applyBorder="1" applyAlignment="1">
      <alignment horizontal="center" vertical="center"/>
    </xf>
    <xf numFmtId="0" fontId="2" fillId="0" borderId="0" xfId="11" applyBorder="1" applyAlignment="1">
      <alignment horizontal="center" vertical="center"/>
    </xf>
    <xf numFmtId="0" fontId="2" fillId="0" borderId="6" xfId="11"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2" fillId="0" borderId="13" xfId="6" applyNumberFormat="1" applyFont="1" applyBorder="1" applyAlignment="1">
      <alignment horizontal="centerContinuous" vertical="center"/>
    </xf>
    <xf numFmtId="165" fontId="0" fillId="0" borderId="2" xfId="0" applyNumberFormat="1" applyBorder="1" applyAlignment="1">
      <alignment horizontal="center" vertical="center"/>
    </xf>
    <xf numFmtId="165"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5" fontId="1" fillId="0" borderId="14" xfId="0" applyNumberFormat="1" applyFont="1" applyBorder="1" applyAlignment="1">
      <alignment horizontal="center" vertical="center"/>
    </xf>
    <xf numFmtId="3" fontId="7" fillId="0" borderId="15" xfId="0" applyNumberFormat="1" applyFont="1" applyBorder="1" applyAlignment="1">
      <alignment horizontal="center" vertical="center"/>
    </xf>
    <xf numFmtId="3" fontId="7" fillId="0" borderId="14" xfId="0" applyNumberFormat="1" applyFont="1" applyBorder="1" applyAlignment="1">
      <alignment horizontal="center" vertical="center"/>
    </xf>
    <xf numFmtId="0" fontId="45" fillId="0" borderId="17" xfId="0" applyFont="1" applyBorder="1" applyAlignment="1">
      <alignment vertical="center" wrapText="1"/>
    </xf>
    <xf numFmtId="0" fontId="45" fillId="0" borderId="16" xfId="0" applyFont="1" applyBorder="1" applyAlignment="1">
      <alignment vertical="center" wrapText="1"/>
    </xf>
    <xf numFmtId="0" fontId="45" fillId="0" borderId="17" xfId="7" applyNumberFormat="1" applyFont="1" applyFill="1" applyBorder="1" applyAlignment="1" applyProtection="1">
      <alignment vertical="center" wrapText="1"/>
      <protection hidden="1"/>
    </xf>
    <xf numFmtId="0" fontId="45" fillId="0" borderId="13" xfId="7" applyNumberFormat="1" applyFont="1" applyFill="1" applyBorder="1" applyAlignment="1" applyProtection="1">
      <alignment vertical="center" wrapText="1"/>
      <protection hidden="1"/>
    </xf>
    <xf numFmtId="0" fontId="45" fillId="0" borderId="13" xfId="0" applyFont="1" applyBorder="1" applyAlignment="1">
      <alignment vertical="center" wrapText="1"/>
    </xf>
    <xf numFmtId="0" fontId="73" fillId="0" borderId="0" xfId="0" applyFont="1" applyAlignment="1">
      <alignment horizontal="center" vertical="center"/>
    </xf>
    <xf numFmtId="3" fontId="73" fillId="0" borderId="0" xfId="0" applyNumberFormat="1" applyFont="1" applyBorder="1" applyAlignment="1">
      <alignment horizontal="center" vertical="center"/>
    </xf>
    <xf numFmtId="3" fontId="2" fillId="0" borderId="0" xfId="0" applyNumberFormat="1" applyFont="1" applyAlignment="1">
      <alignment vertical="center"/>
    </xf>
    <xf numFmtId="3" fontId="2" fillId="0" borderId="0" xfId="0" applyNumberFormat="1" applyFont="1" applyBorder="1" applyAlignment="1">
      <alignment horizontal="center" vertical="center"/>
    </xf>
    <xf numFmtId="3" fontId="74" fillId="0" borderId="0" xfId="0" applyNumberFormat="1" applyFont="1" applyAlignment="1">
      <alignment horizontal="center" vertical="center"/>
    </xf>
    <xf numFmtId="3" fontId="74" fillId="0" borderId="0" xfId="0" applyNumberFormat="1" applyFont="1" applyBorder="1" applyAlignment="1">
      <alignment horizontal="center" vertical="center"/>
    </xf>
    <xf numFmtId="0" fontId="0" fillId="0" borderId="0" xfId="0" applyAlignment="1">
      <alignment horizontal="center"/>
    </xf>
    <xf numFmtId="0" fontId="22" fillId="0" borderId="0" xfId="0" applyFont="1" applyAlignment="1">
      <alignment horizont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45" fillId="0" borderId="14" xfId="0" applyNumberFormat="1" applyFont="1" applyFill="1" applyBorder="1" applyAlignment="1" applyProtection="1">
      <alignment horizontal="center" vertical="center"/>
    </xf>
    <xf numFmtId="3" fontId="14" fillId="0" borderId="4" xfId="0" applyNumberFormat="1" applyFont="1" applyBorder="1" applyAlignment="1">
      <alignment horizontal="center" vertical="center"/>
    </xf>
    <xf numFmtId="0" fontId="45" fillId="0" borderId="10" xfId="0" applyNumberFormat="1" applyFont="1" applyFill="1" applyBorder="1" applyAlignment="1" applyProtection="1">
      <alignment horizontal="center" vertical="center" wrapText="1"/>
    </xf>
    <xf numFmtId="3" fontId="0" fillId="0" borderId="9" xfId="0" applyNumberFormat="1" applyBorder="1" applyAlignment="1">
      <alignment horizontal="center" vertical="center"/>
    </xf>
    <xf numFmtId="166" fontId="2" fillId="0" borderId="34" xfId="0" applyNumberFormat="1" applyFont="1" applyBorder="1" applyAlignment="1">
      <alignment horizontal="center" vertical="center"/>
    </xf>
    <xf numFmtId="166" fontId="2" fillId="0" borderId="44" xfId="0" applyNumberFormat="1" applyFont="1" applyBorder="1" applyAlignment="1">
      <alignment horizontal="center" vertical="center"/>
    </xf>
    <xf numFmtId="166" fontId="2" fillId="0" borderId="35" xfId="0" applyNumberFormat="1" applyFont="1" applyBorder="1" applyAlignment="1">
      <alignment horizontal="center" vertical="center"/>
    </xf>
    <xf numFmtId="0" fontId="62" fillId="0" borderId="17" xfId="0" applyNumberFormat="1" applyFont="1" applyFill="1" applyBorder="1" applyAlignment="1" applyProtection="1">
      <alignment vertical="center"/>
    </xf>
    <xf numFmtId="3" fontId="0" fillId="0" borderId="13" xfId="0" applyNumberForma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3" fontId="0" fillId="0" borderId="0" xfId="0" applyNumberFormat="1" applyBorder="1" applyAlignment="1">
      <alignment horizontal="center"/>
    </xf>
    <xf numFmtId="0" fontId="69" fillId="0" borderId="0" xfId="0" applyFont="1" applyAlignment="1">
      <alignment horizontal="center" vertical="center"/>
    </xf>
    <xf numFmtId="0" fontId="32" fillId="0" borderId="0" xfId="0" applyFont="1" applyAlignment="1">
      <alignment horizontal="left"/>
    </xf>
    <xf numFmtId="0" fontId="0" fillId="0" borderId="0" xfId="0" applyAlignment="1">
      <alignment horizontal="center"/>
    </xf>
    <xf numFmtId="0" fontId="32" fillId="0" borderId="0" xfId="0" applyFont="1" applyAlignment="1">
      <alignment horizontal="centerContinuous"/>
    </xf>
    <xf numFmtId="0" fontId="45" fillId="0" borderId="0"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3"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48" fillId="0" borderId="0" xfId="0" applyFont="1" applyAlignment="1">
      <alignment vertical="center"/>
    </xf>
    <xf numFmtId="3" fontId="1" fillId="0" borderId="0" xfId="0" applyNumberFormat="1"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xf>
    <xf numFmtId="0" fontId="1" fillId="0" borderId="0" xfId="0" applyFont="1" applyAlignment="1">
      <alignment horizontal="center"/>
    </xf>
    <xf numFmtId="4" fontId="75" fillId="0" borderId="1" xfId="0" applyNumberFormat="1" applyFont="1" applyBorder="1" applyAlignment="1">
      <alignment horizontal="center" vertical="center"/>
    </xf>
    <xf numFmtId="0" fontId="77" fillId="0" borderId="0" xfId="13" applyFont="1" applyAlignment="1">
      <alignment vertical="center" wrapText="1"/>
    </xf>
    <xf numFmtId="0" fontId="77" fillId="0" borderId="0" xfId="13" applyFont="1" applyAlignment="1">
      <alignment vertical="center"/>
    </xf>
    <xf numFmtId="0" fontId="72" fillId="0" borderId="0" xfId="0" applyFont="1"/>
    <xf numFmtId="3" fontId="28" fillId="0" borderId="13" xfId="3" applyNumberFormat="1" applyFont="1" applyBorder="1" applyAlignment="1" applyProtection="1">
      <alignment horizontal="centerContinuous" vertical="center"/>
    </xf>
    <xf numFmtId="3" fontId="2" fillId="0" borderId="12" xfId="0" applyNumberFormat="1" applyFont="1" applyBorder="1" applyAlignment="1">
      <alignment horizontal="center" vertical="center"/>
    </xf>
    <xf numFmtId="0" fontId="0" fillId="0" borderId="0" xfId="0" applyAlignment="1">
      <alignment horizontal="center"/>
    </xf>
    <xf numFmtId="0" fontId="1" fillId="0" borderId="0" xfId="0" applyFont="1" applyAlignment="1">
      <alignment vertical="top"/>
    </xf>
    <xf numFmtId="0" fontId="48" fillId="0" borderId="0" xfId="12" applyNumberFormat="1" applyFont="1" applyFill="1" applyBorder="1" applyAlignment="1" applyProtection="1">
      <alignment horizontal="center" vertical="center" wrapText="1"/>
      <protection hidden="1"/>
    </xf>
    <xf numFmtId="0" fontId="0" fillId="0" borderId="0" xfId="0" quotePrefix="1" applyAlignment="1">
      <alignment horizontal="centerContinuous" vertical="center"/>
    </xf>
    <xf numFmtId="0" fontId="29" fillId="0" borderId="0" xfId="0" applyFont="1" applyAlignment="1">
      <alignment horizontal="centerContinuous" vertical="center"/>
    </xf>
    <xf numFmtId="0" fontId="29" fillId="0" borderId="0" xfId="0" applyFont="1" applyAlignment="1">
      <alignment horizontal="center" vertical="center"/>
    </xf>
    <xf numFmtId="0" fontId="19" fillId="8" borderId="0" xfId="0" applyFont="1" applyFill="1"/>
    <xf numFmtId="0" fontId="0" fillId="8" borderId="0" xfId="0" applyFill="1"/>
    <xf numFmtId="0" fontId="39" fillId="8" borderId="11" xfId="0" applyFont="1" applyFill="1" applyBorder="1" applyAlignment="1"/>
    <xf numFmtId="0" fontId="39" fillId="8" borderId="10" xfId="0" applyFont="1" applyFill="1" applyBorder="1" applyAlignment="1">
      <alignment vertical="center"/>
    </xf>
    <xf numFmtId="0" fontId="39" fillId="8" borderId="10" xfId="0" applyFont="1" applyFill="1" applyBorder="1" applyAlignment="1">
      <alignment horizontal="center" vertical="center"/>
    </xf>
    <xf numFmtId="0" fontId="39" fillId="8" borderId="14" xfId="0" applyFont="1" applyFill="1" applyBorder="1" applyAlignment="1">
      <alignment horizontal="center" vertical="center"/>
    </xf>
    <xf numFmtId="0" fontId="39" fillId="8" borderId="15" xfId="0" applyFont="1" applyFill="1" applyBorder="1" applyAlignment="1">
      <alignment horizontal="center" vertical="center"/>
    </xf>
    <xf numFmtId="0" fontId="5" fillId="0" borderId="7" xfId="0" applyFont="1" applyBorder="1" applyAlignment="1">
      <alignment horizontal="centerContinuous" vertical="center"/>
    </xf>
    <xf numFmtId="0" fontId="0" fillId="0" borderId="0" xfId="0" applyBorder="1" applyAlignment="1">
      <alignment horizontal="centerContinuous" vertical="center"/>
    </xf>
    <xf numFmtId="0" fontId="1" fillId="0" borderId="7" xfId="0" applyFont="1" applyBorder="1" applyAlignment="1">
      <alignment vertical="center"/>
    </xf>
    <xf numFmtId="0" fontId="1" fillId="0" borderId="7" xfId="0" applyFont="1" applyBorder="1" applyAlignment="1">
      <alignment horizontal="center" vertical="center"/>
    </xf>
    <xf numFmtId="0" fontId="0" fillId="0" borderId="7" xfId="0" applyBorder="1" applyAlignment="1">
      <alignment horizontal="right" vertical="center"/>
    </xf>
    <xf numFmtId="0" fontId="2" fillId="0" borderId="7" xfId="0" applyFont="1" applyBorder="1" applyAlignment="1">
      <alignment horizontal="right" vertical="center"/>
    </xf>
    <xf numFmtId="0" fontId="2" fillId="0" borderId="0" xfId="0" applyFont="1" applyBorder="1" applyAlignment="1">
      <alignment vertical="center" wrapText="1"/>
    </xf>
    <xf numFmtId="0" fontId="2" fillId="0" borderId="0" xfId="0" applyFont="1" applyBorder="1" applyAlignment="1">
      <alignment vertical="center"/>
    </xf>
    <xf numFmtId="0" fontId="0" fillId="0" borderId="15" xfId="0" applyBorder="1" applyAlignment="1">
      <alignment vertical="center"/>
    </xf>
    <xf numFmtId="0" fontId="78" fillId="8" borderId="9" xfId="0" applyFont="1" applyFill="1" applyBorder="1" applyAlignment="1">
      <alignment horizontal="centerContinuous" vertical="center"/>
    </xf>
    <xf numFmtId="0" fontId="48" fillId="8" borderId="8" xfId="0" applyFont="1" applyFill="1" applyBorder="1" applyAlignment="1">
      <alignment horizontal="centerContinuous" vertical="center"/>
    </xf>
    <xf numFmtId="0" fontId="32" fillId="8" borderId="4" xfId="0" applyFont="1" applyFill="1" applyBorder="1" applyAlignment="1">
      <alignment horizontal="center" vertical="center"/>
    </xf>
    <xf numFmtId="0" fontId="0" fillId="8" borderId="9" xfId="0" applyFill="1" applyBorder="1" applyAlignment="1">
      <alignment vertical="center"/>
    </xf>
    <xf numFmtId="0" fontId="2" fillId="8" borderId="8" xfId="0" applyFont="1" applyFill="1" applyBorder="1" applyAlignment="1">
      <alignment vertical="center"/>
    </xf>
    <xf numFmtId="0" fontId="1" fillId="8" borderId="1" xfId="0" applyFont="1" applyFill="1" applyBorder="1" applyAlignment="1">
      <alignment horizontal="center" vertical="center"/>
    </xf>
    <xf numFmtId="0" fontId="1" fillId="10" borderId="9" xfId="0" applyFont="1" applyFill="1" applyBorder="1" applyAlignment="1">
      <alignment vertical="center"/>
    </xf>
    <xf numFmtId="0" fontId="0" fillId="10" borderId="8" xfId="0" applyFill="1" applyBorder="1" applyAlignment="1">
      <alignment vertical="center"/>
    </xf>
    <xf numFmtId="0" fontId="0" fillId="10" borderId="1" xfId="0" applyFill="1" applyBorder="1" applyAlignment="1">
      <alignment horizontal="center" vertical="center"/>
    </xf>
    <xf numFmtId="0" fontId="1" fillId="9" borderId="9" xfId="0" applyFont="1" applyFill="1" applyBorder="1" applyAlignment="1">
      <alignment vertical="center"/>
    </xf>
    <xf numFmtId="0" fontId="0" fillId="9" borderId="8" xfId="0" applyFill="1" applyBorder="1" applyAlignment="1">
      <alignment vertical="center"/>
    </xf>
    <xf numFmtId="0" fontId="0" fillId="9" borderId="1" xfId="0" applyFill="1" applyBorder="1" applyAlignment="1">
      <alignment horizontal="center" vertical="center"/>
    </xf>
    <xf numFmtId="0" fontId="1" fillId="11" borderId="9" xfId="0" applyFont="1" applyFill="1" applyBorder="1" applyAlignment="1">
      <alignment vertical="center"/>
    </xf>
    <xf numFmtId="0" fontId="0" fillId="11" borderId="8" xfId="0" applyFill="1" applyBorder="1" applyAlignment="1">
      <alignment vertical="center"/>
    </xf>
    <xf numFmtId="0" fontId="0" fillId="11" borderId="1" xfId="0" applyFill="1" applyBorder="1" applyAlignment="1">
      <alignment horizontal="center" vertical="center"/>
    </xf>
    <xf numFmtId="0" fontId="1" fillId="8" borderId="7" xfId="0" applyFont="1" applyFill="1" applyBorder="1" applyAlignment="1">
      <alignment vertical="center"/>
    </xf>
    <xf numFmtId="0" fontId="1" fillId="8" borderId="9" xfId="0" applyFont="1" applyFill="1" applyBorder="1" applyAlignment="1">
      <alignment vertical="center"/>
    </xf>
    <xf numFmtId="0" fontId="0" fillId="8" borderId="8" xfId="0" applyFill="1" applyBorder="1" applyAlignment="1">
      <alignment vertical="center"/>
    </xf>
    <xf numFmtId="0" fontId="0" fillId="8" borderId="1" xfId="0" applyFill="1" applyBorder="1" applyAlignment="1">
      <alignment horizontal="center" vertical="center"/>
    </xf>
    <xf numFmtId="0" fontId="2" fillId="8" borderId="7" xfId="0" applyFont="1" applyFill="1" applyBorder="1" applyAlignment="1">
      <alignment vertical="center"/>
    </xf>
    <xf numFmtId="0" fontId="2" fillId="8" borderId="13" xfId="0" applyFont="1" applyFill="1" applyBorder="1" applyAlignment="1">
      <alignment horizontal="left" vertical="center"/>
    </xf>
    <xf numFmtId="0" fontId="1" fillId="8" borderId="7" xfId="0" applyFont="1" applyFill="1" applyBorder="1" applyAlignment="1">
      <alignment vertical="center" wrapText="1"/>
    </xf>
    <xf numFmtId="0" fontId="2" fillId="8" borderId="13" xfId="0" applyFont="1" applyFill="1" applyBorder="1" applyAlignment="1">
      <alignment horizontal="left" vertical="center" wrapText="1"/>
    </xf>
    <xf numFmtId="0" fontId="1" fillId="8" borderId="13" xfId="0" applyFont="1" applyFill="1" applyBorder="1" applyAlignment="1">
      <alignment horizontal="left" vertical="center"/>
    </xf>
    <xf numFmtId="0" fontId="1" fillId="8" borderId="13" xfId="0" applyFont="1" applyFill="1" applyBorder="1" applyAlignment="1">
      <alignment horizontal="left" vertical="center" wrapText="1"/>
    </xf>
    <xf numFmtId="0" fontId="1" fillId="8" borderId="7" xfId="0" applyFont="1" applyFill="1" applyBorder="1" applyAlignment="1">
      <alignment horizontal="left" vertical="center" wrapText="1"/>
    </xf>
    <xf numFmtId="0" fontId="2" fillId="8" borderId="10" xfId="0" applyFont="1" applyFill="1" applyBorder="1" applyAlignment="1">
      <alignment vertical="center"/>
    </xf>
    <xf numFmtId="0" fontId="2" fillId="8" borderId="14" xfId="0" applyFont="1" applyFill="1" applyBorder="1" applyAlignment="1">
      <alignment horizontal="left" vertical="center"/>
    </xf>
    <xf numFmtId="0" fontId="3" fillId="12" borderId="9" xfId="0" applyFont="1" applyFill="1" applyBorder="1" applyAlignment="1">
      <alignment horizontal="centerContinuous" vertical="center"/>
    </xf>
    <xf numFmtId="0" fontId="79" fillId="12" borderId="4" xfId="0" applyFont="1" applyFill="1" applyBorder="1" applyAlignment="1">
      <alignment horizontal="left" vertical="center"/>
    </xf>
    <xf numFmtId="0" fontId="1" fillId="8" borderId="7" xfId="0" applyFont="1" applyFill="1" applyBorder="1" applyAlignment="1">
      <alignment vertical="top" wrapText="1"/>
    </xf>
    <xf numFmtId="165" fontId="39" fillId="0" borderId="2" xfId="0" applyNumberFormat="1"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0" fillId="0" borderId="9" xfId="0" applyBorder="1" applyAlignment="1">
      <alignment horizontal="center" vertical="center"/>
    </xf>
    <xf numFmtId="3" fontId="39" fillId="0" borderId="7" xfId="0" applyNumberFormat="1" applyFont="1" applyBorder="1" applyAlignment="1">
      <alignment horizontal="right"/>
    </xf>
    <xf numFmtId="3" fontId="39" fillId="0" borderId="7" xfId="0" applyNumberFormat="1" applyFont="1" applyBorder="1" applyAlignment="1"/>
    <xf numFmtId="3" fontId="39" fillId="0" borderId="11" xfId="0" applyNumberFormat="1" applyFont="1" applyBorder="1" applyAlignment="1">
      <alignment horizontal="right"/>
    </xf>
    <xf numFmtId="3" fontId="39" fillId="0" borderId="12" xfId="0" applyNumberFormat="1" applyFont="1" applyBorder="1" applyAlignment="1">
      <alignment horizontal="right"/>
    </xf>
    <xf numFmtId="3" fontId="39" fillId="0" borderId="10" xfId="0" applyNumberFormat="1" applyFont="1" applyBorder="1" applyAlignment="1">
      <alignment horizontal="right"/>
    </xf>
    <xf numFmtId="0" fontId="0" fillId="0" borderId="12" xfId="0" applyBorder="1" applyAlignment="1">
      <alignment horizontal="center" vertical="center"/>
    </xf>
    <xf numFmtId="3" fontId="19"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42" fillId="0" borderId="7" xfId="0" applyNumberFormat="1" applyFont="1" applyBorder="1" applyAlignment="1">
      <alignment horizontal="center" vertical="center"/>
    </xf>
    <xf numFmtId="3" fontId="42" fillId="0" borderId="13" xfId="0" applyNumberFormat="1" applyFont="1" applyBorder="1" applyAlignment="1">
      <alignment horizontal="center" vertical="center"/>
    </xf>
    <xf numFmtId="0" fontId="39" fillId="0" borderId="4" xfId="0" applyFont="1" applyBorder="1" applyAlignment="1">
      <alignment horizontal="center" vertical="center"/>
    </xf>
    <xf numFmtId="3" fontId="19" fillId="0" borderId="1" xfId="0" applyNumberFormat="1" applyFont="1" applyBorder="1" applyAlignment="1">
      <alignment horizontal="center" vertical="center"/>
    </xf>
    <xf numFmtId="0" fontId="0" fillId="0" borderId="0" xfId="0" applyAlignment="1">
      <alignment horizontal="center"/>
    </xf>
    <xf numFmtId="0" fontId="10" fillId="0" borderId="11" xfId="0" applyFont="1" applyBorder="1" applyAlignment="1">
      <alignment horizontal="centerContinuous" vertical="center"/>
    </xf>
    <xf numFmtId="0" fontId="80" fillId="0" borderId="0" xfId="12" applyNumberFormat="1" applyFont="1" applyFill="1" applyBorder="1" applyAlignment="1" applyProtection="1">
      <alignment horizontal="center" vertical="center" wrapText="1"/>
      <protection hidden="1"/>
    </xf>
    <xf numFmtId="0" fontId="6" fillId="0" borderId="9" xfId="0" applyFont="1" applyBorder="1" applyAlignment="1">
      <alignment horizontal="center" vertical="center"/>
    </xf>
    <xf numFmtId="0" fontId="23" fillId="0" borderId="0" xfId="0" applyFont="1" applyBorder="1" applyAlignment="1">
      <alignment horizontal="center" vertical="center"/>
    </xf>
    <xf numFmtId="0" fontId="23" fillId="0" borderId="6" xfId="0" applyFont="1" applyBorder="1" applyAlignment="1">
      <alignment horizontal="center" vertical="center"/>
    </xf>
    <xf numFmtId="0" fontId="0" fillId="0" borderId="45" xfId="0" applyBorder="1" applyAlignment="1">
      <alignment wrapText="1"/>
    </xf>
    <xf numFmtId="0" fontId="81" fillId="0" borderId="0" xfId="3" applyNumberFormat="1" applyFont="1"/>
    <xf numFmtId="3" fontId="66" fillId="0" borderId="0" xfId="6" applyNumberFormat="1" applyFont="1" applyBorder="1" applyAlignment="1">
      <alignment horizontal="centerContinuous" vertical="center"/>
    </xf>
    <xf numFmtId="0" fontId="45" fillId="0" borderId="0" xfId="12" applyNumberFormat="1" applyFont="1" applyFill="1" applyBorder="1" applyAlignment="1" applyProtection="1">
      <alignment horizontal="center" vertical="center" wrapText="1"/>
      <protection hidden="1"/>
    </xf>
    <xf numFmtId="3" fontId="2" fillId="0" borderId="13" xfId="0" applyNumberFormat="1" applyFont="1" applyBorder="1" applyAlignment="1">
      <alignment horizontal="center" vertical="center"/>
    </xf>
    <xf numFmtId="3" fontId="2" fillId="0" borderId="3" xfId="0" applyNumberFormat="1" applyFont="1" applyBorder="1" applyAlignment="1">
      <alignment horizontal="center" vertical="center"/>
    </xf>
    <xf numFmtId="3" fontId="2" fillId="0" borderId="14" xfId="0" applyNumberFormat="1" applyFont="1" applyBorder="1" applyAlignment="1">
      <alignment horizontal="center" vertical="center"/>
    </xf>
    <xf numFmtId="0" fontId="75" fillId="0" borderId="0" xfId="0" applyFont="1" applyAlignment="1">
      <alignment vertical="center"/>
    </xf>
    <xf numFmtId="0" fontId="9" fillId="0" borderId="0" xfId="0" applyFont="1" applyFill="1" applyBorder="1" applyAlignment="1">
      <alignment horizontal="center" vertical="center"/>
    </xf>
    <xf numFmtId="0" fontId="0" fillId="0" borderId="0" xfId="0" applyAlignment="1">
      <alignment horizontal="center"/>
    </xf>
    <xf numFmtId="2" fontId="6" fillId="0" borderId="0" xfId="0" applyNumberFormat="1" applyFont="1" applyAlignment="1">
      <alignment vertical="center"/>
    </xf>
    <xf numFmtId="3" fontId="68" fillId="0" borderId="0" xfId="0" applyNumberFormat="1" applyFont="1" applyBorder="1" applyAlignment="1">
      <alignment vertical="center"/>
    </xf>
    <xf numFmtId="3" fontId="68" fillId="0" borderId="13" xfId="0" applyNumberFormat="1" applyFont="1" applyBorder="1" applyAlignment="1">
      <alignment vertical="center"/>
    </xf>
    <xf numFmtId="0" fontId="0" fillId="0" borderId="9" xfId="0" applyBorder="1" applyAlignment="1">
      <alignment horizontal="center" vertical="center"/>
    </xf>
    <xf numFmtId="0" fontId="0" fillId="0" borderId="9" xfId="0" applyBorder="1" applyAlignment="1">
      <alignment horizontal="center" vertical="center"/>
    </xf>
    <xf numFmtId="3" fontId="53" fillId="0" borderId="4" xfId="0" applyNumberFormat="1" applyFont="1" applyBorder="1" applyAlignment="1">
      <alignment horizontal="center" vertical="center"/>
    </xf>
    <xf numFmtId="0" fontId="9" fillId="0" borderId="11" xfId="0" applyFont="1" applyBorder="1" applyAlignment="1">
      <alignment horizontal="centerContinuous" vertical="center" wrapText="1"/>
    </xf>
    <xf numFmtId="0" fontId="2" fillId="0" borderId="11" xfId="0" applyFont="1" applyBorder="1" applyAlignment="1">
      <alignment vertical="center"/>
    </xf>
    <xf numFmtId="0" fontId="2" fillId="0" borderId="2" xfId="0" applyFont="1" applyBorder="1" applyAlignment="1">
      <alignment vertical="center"/>
    </xf>
    <xf numFmtId="0" fontId="2" fillId="0" borderId="10" xfId="0" applyFont="1" applyBorder="1" applyAlignment="1">
      <alignment vertical="center"/>
    </xf>
    <xf numFmtId="0" fontId="2" fillId="0" borderId="14" xfId="0" applyFont="1" applyBorder="1" applyAlignment="1">
      <alignment vertical="center"/>
    </xf>
    <xf numFmtId="0" fontId="2" fillId="0" borderId="7" xfId="0" applyFont="1" applyBorder="1" applyAlignment="1">
      <alignment vertical="center"/>
    </xf>
    <xf numFmtId="0" fontId="2" fillId="0" borderId="1" xfId="0" applyFont="1" applyBorder="1" applyAlignment="1">
      <alignment vertical="center"/>
    </xf>
    <xf numFmtId="0" fontId="2" fillId="0" borderId="5" xfId="0" applyFont="1" applyBorder="1" applyAlignment="1">
      <alignment vertical="center"/>
    </xf>
    <xf numFmtId="0" fontId="2" fillId="0" borderId="10" xfId="0" applyFont="1" applyBorder="1"/>
    <xf numFmtId="175" fontId="0" fillId="0" borderId="0" xfId="0" applyNumberFormat="1"/>
    <xf numFmtId="0" fontId="26" fillId="0" borderId="0" xfId="0" applyFont="1" applyAlignment="1">
      <alignment horizontal="center"/>
    </xf>
    <xf numFmtId="3" fontId="2" fillId="0" borderId="6" xfId="0" applyNumberFormat="1" applyFont="1" applyBorder="1" applyAlignment="1">
      <alignment horizontal="center" vertical="center" wrapText="1"/>
    </xf>
    <xf numFmtId="0" fontId="10" fillId="0" borderId="15" xfId="0" applyFont="1" applyBorder="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0" fontId="9" fillId="0" borderId="0" xfId="0" applyFont="1" applyAlignment="1">
      <alignment horizontal="center" vertical="center"/>
    </xf>
    <xf numFmtId="0" fontId="14" fillId="0" borderId="0" xfId="0" applyFont="1" applyAlignment="1">
      <alignment horizontal="center"/>
    </xf>
    <xf numFmtId="0" fontId="16" fillId="0" borderId="0" xfId="0"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0" xfId="6" applyBorder="1"/>
    <xf numFmtId="0" fontId="9" fillId="0" borderId="1" xfId="6" applyFont="1" applyBorder="1" applyAlignment="1">
      <alignment horizontal="centerContinuous" vertical="center"/>
    </xf>
    <xf numFmtId="0" fontId="2" fillId="0" borderId="2" xfId="6" applyBorder="1" applyAlignment="1">
      <alignment vertical="center"/>
    </xf>
    <xf numFmtId="0" fontId="28" fillId="0" borderId="7" xfId="6" applyFont="1" applyBorder="1" applyAlignment="1">
      <alignment horizontal="center" vertical="center"/>
    </xf>
    <xf numFmtId="0" fontId="2" fillId="0" borderId="13" xfId="6" applyFont="1" applyBorder="1" applyAlignment="1">
      <alignment horizontal="center" vertical="center"/>
    </xf>
    <xf numFmtId="0" fontId="28" fillId="0" borderId="10" xfId="6" applyFont="1" applyBorder="1" applyAlignment="1">
      <alignment horizontal="center" vertical="center"/>
    </xf>
    <xf numFmtId="0" fontId="28" fillId="0" borderId="14" xfId="6" applyFont="1" applyBorder="1" applyAlignment="1">
      <alignment horizontal="center" vertical="center"/>
    </xf>
    <xf numFmtId="0" fontId="2" fillId="0" borderId="11" xfId="6" applyBorder="1" applyAlignment="1">
      <alignment horizontal="center" vertical="center"/>
    </xf>
    <xf numFmtId="0" fontId="2" fillId="0" borderId="14" xfId="6" applyBorder="1" applyAlignment="1">
      <alignment vertical="center"/>
    </xf>
    <xf numFmtId="0" fontId="10" fillId="0" borderId="11" xfId="6" applyFont="1" applyBorder="1" applyAlignment="1"/>
    <xf numFmtId="0" fontId="10" fillId="0" borderId="7" xfId="6" applyFont="1" applyBorder="1" applyAlignment="1">
      <alignment vertical="top" wrapText="1"/>
    </xf>
    <xf numFmtId="0" fontId="6" fillId="0" borderId="13" xfId="6" applyFont="1" applyBorder="1" applyAlignment="1">
      <alignment vertical="top"/>
    </xf>
    <xf numFmtId="0" fontId="10" fillId="0" borderId="10" xfId="6" applyFont="1" applyBorder="1" applyAlignment="1">
      <alignment vertical="center"/>
    </xf>
    <xf numFmtId="0" fontId="2" fillId="0" borderId="7" xfId="6" applyFont="1" applyBorder="1" applyAlignment="1">
      <alignment horizontal="center" vertical="center"/>
    </xf>
    <xf numFmtId="0" fontId="2" fillId="0" borderId="14" xfId="6" applyBorder="1" applyAlignment="1">
      <alignment horizontal="center" vertical="center"/>
    </xf>
    <xf numFmtId="0" fontId="2" fillId="0" borderId="12" xfId="6" applyBorder="1" applyAlignment="1">
      <alignment horizontal="center" vertical="center"/>
    </xf>
    <xf numFmtId="0" fontId="2" fillId="0" borderId="11" xfId="6" applyBorder="1" applyAlignment="1">
      <alignment horizontal="center" vertical="center"/>
    </xf>
    <xf numFmtId="0" fontId="2" fillId="0" borderId="12" xfId="6" applyBorder="1"/>
    <xf numFmtId="0" fontId="28" fillId="0" borderId="10" xfId="6" applyFont="1" applyBorder="1" applyAlignment="1">
      <alignment horizontal="centerContinuous" vertical="center"/>
    </xf>
    <xf numFmtId="0" fontId="28" fillId="0" borderId="11" xfId="6" applyFont="1" applyBorder="1" applyAlignment="1">
      <alignment horizontal="center" vertical="center"/>
    </xf>
    <xf numFmtId="0" fontId="2" fillId="0" borderId="2" xfId="6" applyBorder="1"/>
    <xf numFmtId="0" fontId="2" fillId="0" borderId="13" xfId="6" applyBorder="1"/>
    <xf numFmtId="0" fontId="28" fillId="0" borderId="14" xfId="6" applyFont="1" applyBorder="1" applyAlignment="1">
      <alignment horizontal="centerContinuous" vertical="center"/>
    </xf>
    <xf numFmtId="0" fontId="28" fillId="0" borderId="11" xfId="6" applyFont="1" applyBorder="1" applyAlignment="1">
      <alignment horizontal="centerContinuous" vertical="center"/>
    </xf>
    <xf numFmtId="0" fontId="28" fillId="0" borderId="7" xfId="6" applyFont="1" applyBorder="1" applyAlignment="1">
      <alignment horizontal="centerContinuous" vertical="center"/>
    </xf>
    <xf numFmtId="0" fontId="26" fillId="0" borderId="0" xfId="6"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 fillId="0" borderId="36" xfId="6" applyBorder="1" applyAlignment="1">
      <alignment horizontal="center" vertical="center"/>
    </xf>
    <xf numFmtId="0" fontId="2" fillId="0" borderId="38" xfId="6" applyBorder="1" applyAlignment="1">
      <alignment horizontal="center" vertical="center"/>
    </xf>
    <xf numFmtId="0" fontId="2" fillId="0" borderId="26" xfId="6" applyBorder="1" applyAlignment="1">
      <alignment horizontal="center" vertical="center"/>
    </xf>
    <xf numFmtId="0" fontId="2" fillId="0" borderId="27" xfId="6" applyBorder="1" applyAlignment="1">
      <alignment horizontal="center" vertical="center"/>
    </xf>
    <xf numFmtId="0" fontId="28" fillId="0" borderId="28" xfId="6" applyFont="1" applyBorder="1" applyAlignment="1">
      <alignment horizontal="center" vertical="center"/>
    </xf>
    <xf numFmtId="0" fontId="28" fillId="0" borderId="30" xfId="6" applyFont="1" applyBorder="1" applyAlignment="1">
      <alignment horizontal="center" vertical="center"/>
    </xf>
    <xf numFmtId="0" fontId="9" fillId="0" borderId="7" xfId="6" applyFont="1" applyBorder="1" applyAlignment="1">
      <alignment vertical="center"/>
    </xf>
    <xf numFmtId="0" fontId="9" fillId="0" borderId="10" xfId="6" applyFont="1" applyBorder="1" applyAlignment="1">
      <alignment vertical="center"/>
    </xf>
    <xf numFmtId="0" fontId="28" fillId="0" borderId="36" xfId="6" applyFont="1" applyBorder="1" applyAlignment="1">
      <alignment horizontal="center" vertical="center"/>
    </xf>
    <xf numFmtId="0" fontId="28" fillId="0" borderId="38" xfId="6" applyFont="1" applyBorder="1" applyAlignment="1">
      <alignment horizontal="center" vertical="center"/>
    </xf>
    <xf numFmtId="0" fontId="28" fillId="0" borderId="26" xfId="6" applyFont="1" applyBorder="1" applyAlignment="1">
      <alignment horizontal="center" vertical="center"/>
    </xf>
    <xf numFmtId="0" fontId="28" fillId="0" borderId="27" xfId="6" applyFont="1" applyBorder="1" applyAlignment="1">
      <alignment horizontal="center" vertical="center"/>
    </xf>
    <xf numFmtId="0" fontId="28" fillId="0" borderId="34" xfId="6" applyFont="1" applyBorder="1" applyAlignment="1">
      <alignment horizontal="center" vertical="center"/>
    </xf>
    <xf numFmtId="0" fontId="28" fillId="0" borderId="44" xfId="6" applyFont="1" applyBorder="1" applyAlignment="1">
      <alignment horizontal="center" vertical="center"/>
    </xf>
    <xf numFmtId="3" fontId="28" fillId="0" borderId="35" xfId="6" applyNumberFormat="1" applyFont="1" applyBorder="1" applyAlignment="1">
      <alignment horizontal="center" vertical="center"/>
    </xf>
    <xf numFmtId="0" fontId="6" fillId="0" borderId="6" xfId="6" applyFont="1" applyBorder="1" applyAlignment="1">
      <alignment vertical="top"/>
    </xf>
    <xf numFmtId="0" fontId="2" fillId="0" borderId="3" xfId="6" applyBorder="1" applyAlignment="1">
      <alignment vertical="center"/>
    </xf>
    <xf numFmtId="0" fontId="2" fillId="0" borderId="11" xfId="6" applyFont="1" applyBorder="1" applyAlignment="1">
      <alignment horizontal="center" vertical="center"/>
    </xf>
    <xf numFmtId="0" fontId="2" fillId="0" borderId="2" xfId="6" applyFont="1" applyBorder="1" applyAlignment="1">
      <alignment horizontal="center" vertical="center"/>
    </xf>
    <xf numFmtId="0" fontId="28" fillId="0" borderId="2" xfId="6" applyFont="1" applyBorder="1" applyAlignment="1">
      <alignment horizontal="center" vertical="center"/>
    </xf>
    <xf numFmtId="0" fontId="2" fillId="0" borderId="7" xfId="6" applyBorder="1" applyAlignment="1">
      <alignment vertical="center"/>
    </xf>
    <xf numFmtId="0" fontId="66" fillId="0" borderId="7" xfId="6" applyFont="1" applyBorder="1" applyAlignment="1">
      <alignment horizontal="center" vertical="center"/>
    </xf>
    <xf numFmtId="0" fontId="66" fillId="0" borderId="13" xfId="6" applyFont="1" applyBorder="1" applyAlignment="1">
      <alignment horizontal="center" vertical="center"/>
    </xf>
    <xf numFmtId="0" fontId="36" fillId="0" borderId="7" xfId="6" applyFont="1" applyBorder="1" applyAlignment="1">
      <alignment horizontal="center" vertical="center"/>
    </xf>
    <xf numFmtId="0" fontId="36" fillId="0" borderId="13"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5" fillId="0" borderId="7" xfId="6" applyFont="1" applyBorder="1" applyAlignment="1">
      <alignment horizontal="center" vertical="center"/>
    </xf>
    <xf numFmtId="0" fontId="25" fillId="0" borderId="13" xfId="6" applyFont="1" applyBorder="1" applyAlignment="1">
      <alignment horizontal="center" vertical="center"/>
    </xf>
    <xf numFmtId="0" fontId="2" fillId="0" borderId="12" xfId="6" applyBorder="1" applyAlignment="1">
      <alignment horizontal="center" vertical="center"/>
    </xf>
    <xf numFmtId="3" fontId="28" fillId="0" borderId="11" xfId="6" applyNumberFormat="1" applyFont="1" applyBorder="1" applyAlignment="1">
      <alignment horizontal="centerContinuous" vertical="center"/>
    </xf>
    <xf numFmtId="3" fontId="28" fillId="0" borderId="2" xfId="6" applyNumberFormat="1" applyFont="1" applyBorder="1" applyAlignment="1">
      <alignment horizontal="centerContinuous" vertical="center"/>
    </xf>
    <xf numFmtId="3" fontId="28" fillId="0" borderId="7" xfId="6" applyNumberFormat="1" applyFont="1" applyBorder="1" applyAlignment="1">
      <alignment horizontal="centerContinuous" vertical="center"/>
    </xf>
    <xf numFmtId="3" fontId="28" fillId="0" borderId="10" xfId="6" applyNumberFormat="1" applyFont="1" applyBorder="1" applyAlignment="1">
      <alignment horizontal="centerContinuous" vertical="center"/>
    </xf>
    <xf numFmtId="3" fontId="2" fillId="0" borderId="7" xfId="6" applyNumberFormat="1" applyFont="1" applyBorder="1" applyAlignment="1">
      <alignment horizontal="centerContinuous" vertical="center"/>
    </xf>
    <xf numFmtId="3" fontId="23" fillId="0" borderId="7" xfId="6" applyNumberFormat="1" applyFont="1" applyBorder="1" applyAlignment="1">
      <alignment horizontal="centerContinuous" vertical="center"/>
    </xf>
    <xf numFmtId="3" fontId="23" fillId="0" borderId="13" xfId="6" applyNumberFormat="1" applyFont="1" applyBorder="1" applyAlignment="1">
      <alignment horizontal="centerContinuous" vertical="center"/>
    </xf>
    <xf numFmtId="3" fontId="28" fillId="0" borderId="11" xfId="6" applyNumberFormat="1" applyFont="1" applyBorder="1" applyAlignment="1">
      <alignment horizontal="center" vertical="center"/>
    </xf>
    <xf numFmtId="3" fontId="28" fillId="0" borderId="2" xfId="6" applyNumberFormat="1" applyFont="1" applyBorder="1" applyAlignment="1">
      <alignment horizontal="center" vertical="center"/>
    </xf>
    <xf numFmtId="3" fontId="28" fillId="0" borderId="13" xfId="6" applyNumberFormat="1" applyFont="1" applyBorder="1" applyAlignment="1">
      <alignment horizontal="center" vertical="center"/>
    </xf>
    <xf numFmtId="3" fontId="28" fillId="0" borderId="7" xfId="6" applyNumberFormat="1" applyFont="1" applyBorder="1" applyAlignment="1">
      <alignment horizontal="center" vertical="center"/>
    </xf>
    <xf numFmtId="3" fontId="2" fillId="0" borderId="36" xfId="6" applyNumberFormat="1" applyBorder="1" applyAlignment="1">
      <alignment horizontal="center" vertical="center"/>
    </xf>
    <xf numFmtId="3" fontId="2" fillId="0" borderId="38" xfId="6" applyNumberFormat="1" applyBorder="1" applyAlignment="1">
      <alignment horizontal="center" vertical="center"/>
    </xf>
    <xf numFmtId="3" fontId="28" fillId="0" borderId="34" xfId="6" applyNumberFormat="1" applyFont="1" applyBorder="1" applyAlignment="1">
      <alignment horizontal="center" vertical="center"/>
    </xf>
    <xf numFmtId="3" fontId="2" fillId="0" borderId="26" xfId="6" applyNumberFormat="1" applyBorder="1" applyAlignment="1">
      <alignment horizontal="center" vertical="center"/>
    </xf>
    <xf numFmtId="3" fontId="2" fillId="0" borderId="27" xfId="6" applyNumberFormat="1" applyBorder="1" applyAlignment="1">
      <alignment horizontal="center" vertical="center"/>
    </xf>
    <xf numFmtId="3" fontId="28" fillId="0" borderId="44" xfId="6" applyNumberFormat="1" applyFont="1" applyBorder="1" applyAlignment="1">
      <alignment horizontal="center" vertical="center"/>
    </xf>
    <xf numFmtId="3" fontId="28" fillId="0" borderId="28" xfId="6" applyNumberFormat="1" applyFont="1" applyBorder="1" applyAlignment="1">
      <alignment horizontal="center" vertical="center"/>
    </xf>
    <xf numFmtId="3" fontId="28" fillId="0" borderId="30" xfId="6" applyNumberFormat="1" applyFont="1" applyBorder="1" applyAlignment="1">
      <alignment horizontal="center" vertical="center"/>
    </xf>
    <xf numFmtId="0" fontId="6" fillId="0" borderId="4" xfId="0" applyFont="1" applyBorder="1" applyAlignment="1">
      <alignment horizontal="center" vertical="center"/>
    </xf>
    <xf numFmtId="0" fontId="9" fillId="0" borderId="6" xfId="0" applyFont="1" applyBorder="1" applyAlignment="1">
      <alignment horizontal="left" vertical="center"/>
    </xf>
    <xf numFmtId="0" fontId="9" fillId="0" borderId="6" xfId="0" applyFont="1" applyFill="1" applyBorder="1" applyAlignment="1">
      <alignment horizontal="left" vertical="center"/>
    </xf>
    <xf numFmtId="3" fontId="19" fillId="0" borderId="1" xfId="0" applyNumberFormat="1" applyFont="1" applyBorder="1" applyAlignment="1">
      <alignment horizontal="center" vertical="center"/>
    </xf>
    <xf numFmtId="3" fontId="32" fillId="0" borderId="14" xfId="0" applyNumberFormat="1" applyFont="1" applyBorder="1" applyAlignment="1">
      <alignment horizontal="center" vertical="center"/>
    </xf>
    <xf numFmtId="174" fontId="65" fillId="6" borderId="10" xfId="1" applyNumberFormat="1" applyFont="1" applyFill="1" applyBorder="1" applyAlignment="1">
      <alignment horizontal="left" vertical="center" wrapText="1"/>
    </xf>
    <xf numFmtId="0" fontId="49" fillId="6" borderId="21" xfId="0" applyFont="1" applyFill="1" applyBorder="1" applyAlignment="1" applyProtection="1">
      <alignment horizontal="center" vertical="center"/>
    </xf>
    <xf numFmtId="3" fontId="19" fillId="0" borderId="1" xfId="0" applyNumberFormat="1" applyFont="1" applyBorder="1" applyAlignment="1">
      <alignment horizontal="center" vertical="center"/>
    </xf>
    <xf numFmtId="0" fontId="45" fillId="0" borderId="9" xfId="0" applyNumberFormat="1" applyFont="1" applyFill="1" applyBorder="1" applyAlignment="1" applyProtection="1">
      <alignment horizontal="center" vertical="center" wrapText="1"/>
    </xf>
    <xf numFmtId="3" fontId="14" fillId="0" borderId="9" xfId="0" applyNumberFormat="1" applyFont="1" applyBorder="1" applyAlignment="1">
      <alignment horizontal="center" vertical="center"/>
    </xf>
    <xf numFmtId="0" fontId="45" fillId="0" borderId="49" xfId="0" applyNumberFormat="1" applyFont="1" applyFill="1" applyBorder="1" applyAlignment="1" applyProtection="1">
      <alignment horizontal="center" vertical="center"/>
    </xf>
    <xf numFmtId="0" fontId="45" fillId="0" borderId="50" xfId="0" applyNumberFormat="1" applyFont="1" applyFill="1" applyBorder="1" applyAlignment="1" applyProtection="1">
      <alignment horizontal="center" vertical="center" wrapText="1"/>
    </xf>
    <xf numFmtId="3" fontId="14" fillId="0" borderId="51" xfId="0" applyNumberFormat="1" applyFont="1" applyBorder="1" applyAlignment="1">
      <alignment horizontal="center" vertical="center"/>
    </xf>
    <xf numFmtId="3" fontId="19" fillId="0" borderId="50" xfId="0" applyNumberFormat="1" applyFont="1" applyBorder="1" applyAlignment="1">
      <alignment horizontal="center" vertical="center"/>
    </xf>
    <xf numFmtId="3" fontId="14" fillId="0" borderId="52" xfId="0" applyNumberFormat="1" applyFont="1" applyBorder="1" applyAlignment="1">
      <alignment horizontal="center" vertical="center"/>
    </xf>
    <xf numFmtId="3" fontId="19" fillId="0" borderId="53" xfId="0" applyNumberFormat="1" applyFont="1" applyBorder="1" applyAlignment="1">
      <alignment horizontal="center" vertical="center"/>
    </xf>
    <xf numFmtId="3" fontId="19" fillId="0" borderId="54" xfId="0" applyNumberFormat="1" applyFont="1" applyBorder="1" applyAlignment="1">
      <alignment horizontal="center" vertical="center"/>
    </xf>
    <xf numFmtId="0" fontId="10" fillId="0" borderId="11" xfId="0" applyFont="1" applyFill="1" applyBorder="1" applyAlignment="1">
      <alignment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13" xfId="0" applyFont="1" applyBorder="1" applyAlignment="1">
      <alignment horizontal="left" vertical="center"/>
    </xf>
    <xf numFmtId="0" fontId="6" fillId="0" borderId="6" xfId="0" applyFont="1" applyBorder="1" applyAlignment="1"/>
    <xf numFmtId="0" fontId="6" fillId="0" borderId="6" xfId="0" applyFont="1" applyBorder="1" applyAlignment="1">
      <alignment horizontal="center" vertical="center" wrapText="1"/>
    </xf>
    <xf numFmtId="0" fontId="6" fillId="0" borderId="6" xfId="0" applyFont="1" applyBorder="1" applyAlignment="1">
      <alignment horizontal="center" wrapText="1"/>
    </xf>
    <xf numFmtId="0" fontId="6" fillId="0" borderId="6" xfId="0" applyFont="1" applyBorder="1" applyAlignment="1">
      <alignment horizontal="left"/>
    </xf>
    <xf numFmtId="0" fontId="0" fillId="0" borderId="6" xfId="0" applyBorder="1" applyAlignment="1"/>
    <xf numFmtId="3" fontId="6" fillId="0" borderId="0" xfId="0" applyNumberFormat="1" applyFont="1" applyAlignment="1">
      <alignment horizontal="center"/>
    </xf>
    <xf numFmtId="166" fontId="0" fillId="0" borderId="0" xfId="0" applyNumberFormat="1"/>
    <xf numFmtId="0" fontId="9" fillId="0" borderId="0" xfId="0" applyFont="1" applyAlignment="1">
      <alignment horizontal="center"/>
    </xf>
    <xf numFmtId="2" fontId="9" fillId="0" borderId="0" xfId="0" applyNumberFormat="1" applyFont="1" applyAlignment="1">
      <alignment horizontal="center"/>
    </xf>
    <xf numFmtId="0" fontId="6" fillId="0" borderId="14" xfId="0" applyFont="1" applyBorder="1" applyAlignment="1">
      <alignment vertical="center"/>
    </xf>
    <xf numFmtId="3" fontId="19" fillId="0" borderId="13" xfId="0" applyNumberFormat="1" applyFont="1" applyBorder="1" applyAlignment="1">
      <alignment horizontal="center"/>
    </xf>
    <xf numFmtId="0" fontId="6" fillId="0" borderId="55" xfId="0" applyFont="1" applyBorder="1" applyAlignment="1">
      <alignment horizontal="centerContinuous" vertical="center"/>
    </xf>
    <xf numFmtId="0" fontId="6" fillId="0" borderId="56" xfId="0" applyFont="1" applyBorder="1" applyAlignment="1">
      <alignment horizontal="centerContinuous" vertical="center"/>
    </xf>
    <xf numFmtId="165" fontId="19" fillId="0" borderId="57" xfId="0" applyNumberFormat="1" applyFont="1" applyBorder="1" applyAlignment="1">
      <alignment horizontal="center"/>
    </xf>
    <xf numFmtId="0" fontId="2" fillId="0" borderId="0"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Continuous" vertical="center"/>
    </xf>
    <xf numFmtId="3" fontId="2" fillId="0" borderId="14" xfId="0" applyNumberFormat="1" applyFont="1" applyBorder="1" applyAlignment="1">
      <alignment horizontal="centerContinuous" vertical="center"/>
    </xf>
    <xf numFmtId="0" fontId="6" fillId="0" borderId="11"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30" xfId="0" applyFont="1" applyBorder="1" applyAlignment="1">
      <alignment horizontal="center" vertical="center"/>
    </xf>
    <xf numFmtId="0" fontId="2" fillId="0" borderId="30" xfId="6" applyBorder="1" applyAlignment="1">
      <alignment horizontal="center" vertical="center"/>
    </xf>
    <xf numFmtId="0" fontId="2" fillId="0" borderId="58" xfId="6" applyBorder="1" applyAlignment="1">
      <alignment horizontal="center" vertical="center"/>
    </xf>
    <xf numFmtId="0" fontId="2" fillId="0" borderId="59" xfId="6" applyBorder="1" applyAlignment="1">
      <alignment horizontal="center" vertical="center"/>
    </xf>
    <xf numFmtId="0" fontId="6" fillId="0" borderId="28" xfId="0" applyFont="1" applyBorder="1" applyAlignment="1">
      <alignment horizontal="centerContinuous" vertical="center"/>
    </xf>
    <xf numFmtId="0" fontId="6" fillId="0" borderId="30" xfId="0" applyFont="1" applyBorder="1" applyAlignment="1">
      <alignment horizontal="centerContinuous" vertical="center"/>
    </xf>
    <xf numFmtId="0" fontId="6" fillId="0" borderId="27" xfId="0" applyFont="1" applyBorder="1" applyAlignment="1">
      <alignment horizontal="centerContinuous" vertical="center"/>
    </xf>
    <xf numFmtId="0" fontId="6" fillId="0" borderId="29" xfId="0" applyFont="1" applyBorder="1" applyAlignment="1">
      <alignment horizontal="centerContinuous" vertical="center"/>
    </xf>
    <xf numFmtId="3" fontId="6" fillId="0" borderId="30" xfId="0" applyNumberFormat="1" applyFont="1" applyBorder="1" applyAlignment="1">
      <alignment horizontal="centerContinuous" vertical="center"/>
    </xf>
    <xf numFmtId="0" fontId="9" fillId="0" borderId="59" xfId="0" applyFont="1" applyBorder="1" applyAlignment="1">
      <alignment horizontal="centerContinuous" vertical="center"/>
    </xf>
    <xf numFmtId="0" fontId="69" fillId="0" borderId="7" xfId="0" applyFont="1" applyBorder="1" applyAlignment="1">
      <alignment horizontal="center" vertical="center"/>
    </xf>
    <xf numFmtId="0" fontId="69" fillId="0" borderId="13" xfId="0" applyFont="1" applyBorder="1" applyAlignment="1">
      <alignment horizontal="center" vertical="center"/>
    </xf>
    <xf numFmtId="0" fontId="6" fillId="0" borderId="26" xfId="0" applyFont="1" applyBorder="1" applyAlignment="1">
      <alignment horizontal="centerContinuous" vertical="center"/>
    </xf>
    <xf numFmtId="0" fontId="2" fillId="0" borderId="27" xfId="0" applyFont="1" applyBorder="1" applyAlignment="1">
      <alignment horizontal="center" vertical="center"/>
    </xf>
    <xf numFmtId="0" fontId="0" fillId="0" borderId="27" xfId="0" applyBorder="1" applyAlignment="1">
      <alignment horizontal="center" vertical="center"/>
    </xf>
    <xf numFmtId="3" fontId="6" fillId="0" borderId="28" xfId="0" applyNumberFormat="1" applyFont="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10" fillId="0" borderId="5" xfId="0" applyFont="1" applyBorder="1" applyAlignment="1">
      <alignment horizontal="center"/>
    </xf>
    <xf numFmtId="0" fontId="2" fillId="0" borderId="29" xfId="6" applyBorder="1" applyAlignment="1">
      <alignment horizontal="center" vertical="center"/>
    </xf>
    <xf numFmtId="0" fontId="0" fillId="0" borderId="0" xfId="0" applyAlignment="1">
      <alignment horizontal="center"/>
    </xf>
    <xf numFmtId="0" fontId="39" fillId="0" borderId="2"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6" fillId="0" borderId="8" xfId="0" applyFont="1" applyBorder="1" applyAlignment="1">
      <alignment horizontal="center" vertical="center"/>
    </xf>
    <xf numFmtId="0" fontId="14" fillId="0" borderId="3" xfId="0" applyFont="1" applyBorder="1" applyAlignment="1">
      <alignment horizontal="center" vertical="center" wrapText="1"/>
    </xf>
    <xf numFmtId="3" fontId="28" fillId="0" borderId="15"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82" fillId="0" borderId="1" xfId="0" applyNumberFormat="1" applyFont="1" applyFill="1" applyBorder="1" applyAlignment="1" applyProtection="1">
      <alignment vertical="center"/>
    </xf>
    <xf numFmtId="0" fontId="83" fillId="0" borderId="18" xfId="0" applyNumberFormat="1" applyFont="1" applyFill="1" applyBorder="1" applyAlignment="1" applyProtection="1">
      <alignment horizontal="left" vertical="center"/>
    </xf>
    <xf numFmtId="0" fontId="83" fillId="0" borderId="19" xfId="0" applyNumberFormat="1" applyFont="1" applyFill="1" applyBorder="1" applyAlignment="1" applyProtection="1">
      <alignment vertical="center"/>
    </xf>
    <xf numFmtId="3" fontId="82" fillId="0" borderId="1" xfId="0" quotePrefix="1" applyNumberFormat="1" applyFont="1" applyFill="1" applyBorder="1" applyAlignment="1" applyProtection="1">
      <alignment horizontal="left" vertical="center"/>
    </xf>
    <xf numFmtId="3" fontId="82" fillId="0" borderId="16" xfId="0" applyNumberFormat="1" applyFont="1" applyFill="1" applyBorder="1" applyAlignment="1" applyProtection="1">
      <alignment vertical="center"/>
    </xf>
    <xf numFmtId="3" fontId="82" fillId="0" borderId="17" xfId="0" applyNumberFormat="1" applyFont="1" applyFill="1" applyBorder="1" applyAlignment="1" applyProtection="1">
      <alignment vertical="center"/>
    </xf>
    <xf numFmtId="3" fontId="82" fillId="0" borderId="17" xfId="0" quotePrefix="1" applyNumberFormat="1" applyFont="1" applyFill="1" applyBorder="1" applyAlignment="1" applyProtection="1">
      <alignment horizontal="left" vertical="center"/>
    </xf>
    <xf numFmtId="0" fontId="26" fillId="0" borderId="0" xfId="0" applyFont="1" applyAlignment="1">
      <alignment horizontal="center"/>
    </xf>
    <xf numFmtId="0" fontId="9" fillId="0" borderId="2" xfId="0" applyFont="1" applyBorder="1" applyAlignment="1">
      <alignment horizontal="center" vertical="center"/>
    </xf>
    <xf numFmtId="1" fontId="45" fillId="0" borderId="62" xfId="0" applyNumberFormat="1" applyFont="1" applyFill="1" applyBorder="1" applyAlignment="1" applyProtection="1">
      <alignment horizontal="left" vertical="center" wrapText="1"/>
    </xf>
    <xf numFmtId="1" fontId="45" fillId="0" borderId="6" xfId="0" applyNumberFormat="1" applyFont="1" applyFill="1" applyBorder="1" applyAlignment="1" applyProtection="1">
      <alignment horizontal="left" vertical="center" wrapText="1"/>
    </xf>
    <xf numFmtId="0" fontId="84" fillId="0" borderId="7" xfId="6" applyFont="1" applyBorder="1" applyAlignment="1">
      <alignment horizontal="center" vertical="center"/>
    </xf>
    <xf numFmtId="0" fontId="0" fillId="0" borderId="9" xfId="0" applyBorder="1" applyAlignment="1">
      <alignment horizontal="center" vertical="center"/>
    </xf>
    <xf numFmtId="3" fontId="66" fillId="0" borderId="7" xfId="0" applyNumberFormat="1" applyFont="1" applyBorder="1" applyAlignment="1">
      <alignment vertical="center"/>
    </xf>
    <xf numFmtId="41" fontId="0" fillId="0" borderId="13" xfId="0" applyNumberFormat="1" applyBorder="1" applyAlignment="1">
      <alignment horizontal="lef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3" fontId="0" fillId="0" borderId="7" xfId="0" applyNumberFormat="1" applyBorder="1" applyAlignment="1">
      <alignment horizontal="center"/>
    </xf>
    <xf numFmtId="3" fontId="69" fillId="0" borderId="0" xfId="0" applyNumberFormat="1" applyFont="1"/>
    <xf numFmtId="0" fontId="2" fillId="8" borderId="13" xfId="0" applyFont="1" applyFill="1" applyBorder="1" applyAlignment="1">
      <alignment horizontal="left" vertical="top" wrapText="1"/>
    </xf>
    <xf numFmtId="4" fontId="85" fillId="0" borderId="13" xfId="0" applyNumberFormat="1" applyFont="1" applyBorder="1" applyAlignment="1">
      <alignment horizontal="center" vertical="center"/>
    </xf>
    <xf numFmtId="0" fontId="45" fillId="0" borderId="19" xfId="9" applyNumberFormat="1" applyFont="1" applyFill="1" applyBorder="1" applyAlignment="1" applyProtection="1">
      <alignment horizontal="left" vertical="center"/>
    </xf>
    <xf numFmtId="3" fontId="6" fillId="0" borderId="15" xfId="0" applyNumberFormat="1" applyFont="1" applyBorder="1" applyAlignment="1">
      <alignment horizontal="centerContinuous" vertical="center"/>
    </xf>
    <xf numFmtId="0" fontId="9" fillId="0" borderId="9" xfId="0" applyFont="1" applyBorder="1" applyAlignment="1">
      <alignment vertical="center"/>
    </xf>
    <xf numFmtId="0" fontId="10" fillId="0" borderId="10" xfId="0" applyFont="1" applyFill="1" applyBorder="1" applyAlignment="1">
      <alignment vertical="center"/>
    </xf>
    <xf numFmtId="3" fontId="6" fillId="0" borderId="8" xfId="0" applyNumberFormat="1" applyFont="1" applyBorder="1" applyAlignment="1">
      <alignment horizontal="center"/>
    </xf>
    <xf numFmtId="3" fontId="6" fillId="0" borderId="9" xfId="0" applyNumberFormat="1" applyFont="1" applyBorder="1" applyAlignment="1">
      <alignment horizontal="center"/>
    </xf>
    <xf numFmtId="3" fontId="6" fillId="0" borderId="4" xfId="0" applyNumberFormat="1" applyFont="1" applyBorder="1" applyAlignment="1">
      <alignment horizontal="center"/>
    </xf>
    <xf numFmtId="0" fontId="6"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39" fillId="0" borderId="4"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3" fontId="0" fillId="0" borderId="11" xfId="0" applyNumberFormat="1" applyBorder="1" applyAlignment="1">
      <alignment horizontal="center"/>
    </xf>
    <xf numFmtId="2" fontId="6" fillId="0" borderId="0" xfId="0" applyNumberFormat="1" applyFont="1"/>
    <xf numFmtId="0" fontId="0" fillId="0" borderId="0" xfId="0" applyAlignment="1">
      <alignment horizontal="center"/>
    </xf>
    <xf numFmtId="3" fontId="2" fillId="0" borderId="0" xfId="0" applyNumberFormat="1" applyFont="1"/>
    <xf numFmtId="2" fontId="0" fillId="0" borderId="0" xfId="0" applyNumberFormat="1" applyAlignment="1">
      <alignment horizontal="center"/>
    </xf>
    <xf numFmtId="0" fontId="22" fillId="0" borderId="0" xfId="0" applyFont="1" applyAlignment="1">
      <alignment horizontal="center"/>
    </xf>
    <xf numFmtId="17" fontId="22" fillId="0" borderId="0" xfId="0" quotePrefix="1" applyNumberFormat="1" applyFont="1" applyAlignment="1">
      <alignment horizontal="center"/>
    </xf>
    <xf numFmtId="0" fontId="6" fillId="0" borderId="2" xfId="0" applyFont="1" applyBorder="1" applyAlignment="1">
      <alignment horizontal="center"/>
    </xf>
    <xf numFmtId="165" fontId="19" fillId="0" borderId="6" xfId="0" applyNumberFormat="1" applyFont="1" applyBorder="1" applyAlignment="1">
      <alignment horizontal="center"/>
    </xf>
    <xf numFmtId="3" fontId="19" fillId="0" borderId="7" xfId="0" applyNumberFormat="1" applyFont="1" applyBorder="1" applyAlignment="1">
      <alignment horizontal="center"/>
    </xf>
    <xf numFmtId="166" fontId="19" fillId="0" borderId="13" xfId="0" applyNumberFormat="1" applyFont="1" applyBorder="1" applyAlignment="1">
      <alignment horizontal="center"/>
    </xf>
    <xf numFmtId="166" fontId="19" fillId="0" borderId="11" xfId="0" applyNumberFormat="1" applyFont="1" applyBorder="1" applyAlignment="1">
      <alignment horizontal="center"/>
    </xf>
    <xf numFmtId="165" fontId="14" fillId="0" borderId="0" xfId="0" applyNumberFormat="1" applyFont="1" applyBorder="1" applyAlignment="1">
      <alignment horizontal="center"/>
    </xf>
    <xf numFmtId="3" fontId="14" fillId="0" borderId="6" xfId="0" applyNumberFormat="1" applyFont="1" applyBorder="1" applyAlignment="1">
      <alignment horizontal="center"/>
    </xf>
    <xf numFmtId="165" fontId="14" fillId="0" borderId="57" xfId="0" applyNumberFormat="1" applyFont="1" applyBorder="1" applyAlignment="1">
      <alignment horizontal="center"/>
    </xf>
    <xf numFmtId="3" fontId="14" fillId="0" borderId="13" xfId="0" applyNumberFormat="1" applyFont="1" applyBorder="1" applyAlignment="1">
      <alignment horizontal="center"/>
    </xf>
    <xf numFmtId="165" fontId="14" fillId="0" borderId="6" xfId="0" applyNumberFormat="1" applyFont="1" applyBorder="1" applyAlignment="1">
      <alignment horizontal="center"/>
    </xf>
    <xf numFmtId="166" fontId="14" fillId="0" borderId="13" xfId="0" applyNumberFormat="1" applyFont="1" applyBorder="1" applyAlignment="1">
      <alignment horizontal="center"/>
    </xf>
    <xf numFmtId="3" fontId="9" fillId="0" borderId="7" xfId="0" applyNumberFormat="1" applyFont="1" applyBorder="1" applyAlignment="1">
      <alignment horizontal="center"/>
    </xf>
    <xf numFmtId="3" fontId="14" fillId="0" borderId="7" xfId="0" applyNumberFormat="1" applyFont="1" applyBorder="1" applyAlignment="1">
      <alignment horizontal="center"/>
    </xf>
    <xf numFmtId="3" fontId="14" fillId="0" borderId="3" xfId="0" applyNumberFormat="1" applyFont="1" applyBorder="1" applyAlignment="1">
      <alignment horizontal="center"/>
    </xf>
    <xf numFmtId="165" fontId="14" fillId="0" borderId="15" xfId="0" applyNumberFormat="1" applyFont="1" applyBorder="1" applyAlignment="1">
      <alignment horizontal="center"/>
    </xf>
    <xf numFmtId="3" fontId="14" fillId="0" borderId="10" xfId="0" applyNumberFormat="1" applyFont="1" applyBorder="1" applyAlignment="1">
      <alignment horizontal="center"/>
    </xf>
    <xf numFmtId="165" fontId="14" fillId="0" borderId="3" xfId="0" applyNumberFormat="1" applyFont="1" applyBorder="1" applyAlignment="1">
      <alignment horizontal="center"/>
    </xf>
    <xf numFmtId="3" fontId="14" fillId="0" borderId="14" xfId="0" applyNumberFormat="1" applyFont="1" applyBorder="1" applyAlignment="1">
      <alignment horizontal="center"/>
    </xf>
    <xf numFmtId="165" fontId="19" fillId="0" borderId="65" xfId="0" applyNumberFormat="1" applyFont="1" applyBorder="1" applyAlignment="1">
      <alignment horizontal="center"/>
    </xf>
    <xf numFmtId="165" fontId="14" fillId="0" borderId="65" xfId="0" applyNumberFormat="1" applyFont="1" applyBorder="1" applyAlignment="1">
      <alignment horizontal="center"/>
    </xf>
    <xf numFmtId="165" fontId="14" fillId="0" borderId="64" xfId="0" applyNumberFormat="1" applyFont="1" applyBorder="1" applyAlignment="1">
      <alignment horizontal="center"/>
    </xf>
    <xf numFmtId="166" fontId="14" fillId="0" borderId="14" xfId="0" applyNumberFormat="1" applyFont="1" applyBorder="1" applyAlignment="1">
      <alignment horizontal="center"/>
    </xf>
    <xf numFmtId="0" fontId="0" fillId="0" borderId="0" xfId="0" applyAlignment="1">
      <alignment horizontal="center"/>
    </xf>
    <xf numFmtId="0" fontId="39" fillId="0" borderId="8" xfId="0" applyFont="1" applyBorder="1" applyAlignment="1">
      <alignment horizontal="center"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3" fontId="6" fillId="0" borderId="11" xfId="0" applyNumberFormat="1" applyFont="1" applyBorder="1" applyAlignment="1">
      <alignment horizontal="centerContinuous" vertical="center"/>
    </xf>
    <xf numFmtId="3" fontId="6" fillId="0" borderId="2" xfId="0" applyNumberFormat="1" applyFont="1" applyBorder="1" applyAlignment="1">
      <alignment horizontal="centerContinuous" vertical="center"/>
    </xf>
    <xf numFmtId="3" fontId="6" fillId="0" borderId="12" xfId="0" applyNumberFormat="1" applyFont="1" applyBorder="1" applyAlignment="1">
      <alignment horizontal="centerContinuous" vertical="center"/>
    </xf>
    <xf numFmtId="0" fontId="6" fillId="0" borderId="6" xfId="0" applyFont="1" applyBorder="1" applyAlignment="1">
      <alignment horizontal="center" vertical="center"/>
    </xf>
    <xf numFmtId="0" fontId="6" fillId="0" borderId="6" xfId="0" applyFont="1" applyBorder="1" applyAlignment="1">
      <alignment horizontal="center" vertical="center"/>
    </xf>
    <xf numFmtId="0" fontId="6" fillId="0" borderId="12"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39" fillId="8" borderId="9" xfId="0" applyFont="1" applyFill="1" applyBorder="1" applyAlignment="1">
      <alignment horizontal="center" vertical="center"/>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5" xfId="0" applyFont="1" applyBorder="1" applyAlignment="1">
      <alignment vertical="center"/>
    </xf>
    <xf numFmtId="3" fontId="19" fillId="0" borderId="1" xfId="0" applyNumberFormat="1" applyFont="1" applyBorder="1" applyAlignment="1">
      <alignment horizontal="center" vertical="center"/>
    </xf>
    <xf numFmtId="3" fontId="45" fillId="0" borderId="0" xfId="0" applyNumberFormat="1" applyFont="1" applyFill="1" applyBorder="1" applyAlignment="1" applyProtection="1">
      <alignment horizontal="center" vertical="center"/>
    </xf>
    <xf numFmtId="3" fontId="82" fillId="0" borderId="3" xfId="0" applyNumberFormat="1" applyFont="1" applyFill="1" applyBorder="1" applyAlignment="1" applyProtection="1">
      <alignment horizontal="left" vertical="center"/>
    </xf>
    <xf numFmtId="3" fontId="82" fillId="0" borderId="0" xfId="0" applyNumberFormat="1" applyFont="1" applyFill="1" applyBorder="1" applyAlignment="1" applyProtection="1">
      <alignment horizontal="left" vertical="center"/>
    </xf>
    <xf numFmtId="3" fontId="82" fillId="0" borderId="15" xfId="0" applyNumberFormat="1" applyFont="1" applyFill="1" applyBorder="1" applyAlignment="1" applyProtection="1">
      <alignment horizontal="left" vertical="center"/>
    </xf>
    <xf numFmtId="3" fontId="46" fillId="0" borderId="15" xfId="0" applyNumberFormat="1" applyFont="1" applyFill="1" applyBorder="1" applyAlignment="1" applyProtection="1">
      <alignment horizontal="center" vertical="center"/>
    </xf>
    <xf numFmtId="0" fontId="0" fillId="0" borderId="0" xfId="0" applyAlignment="1">
      <alignment horizontal="center"/>
    </xf>
    <xf numFmtId="0" fontId="73" fillId="0" borderId="0" xfId="6" applyFont="1" applyAlignment="1">
      <alignment horizontal="center" vertical="center"/>
    </xf>
    <xf numFmtId="0" fontId="73" fillId="0" borderId="7" xfId="6" applyFont="1" applyBorder="1" applyAlignment="1">
      <alignment horizontal="center" vertical="center"/>
    </xf>
    <xf numFmtId="3" fontId="7" fillId="0" borderId="13" xfId="0" applyNumberFormat="1" applyFont="1" applyBorder="1" applyAlignment="1">
      <alignment horizontal="center" vertical="center"/>
    </xf>
    <xf numFmtId="3" fontId="7" fillId="0" borderId="6" xfId="0" applyNumberFormat="1" applyFont="1" applyBorder="1" applyAlignment="1">
      <alignment horizontal="center" vertical="center"/>
    </xf>
    <xf numFmtId="3" fontId="7" fillId="0" borderId="3" xfId="0" applyNumberFormat="1" applyFont="1" applyBorder="1" applyAlignment="1">
      <alignment horizontal="center" vertical="center"/>
    </xf>
    <xf numFmtId="0" fontId="6" fillId="0" borderId="8" xfId="0" applyFont="1" applyBorder="1" applyAlignment="1">
      <alignment horizontal="center" vertical="center"/>
    </xf>
    <xf numFmtId="2" fontId="6" fillId="0" borderId="0" xfId="0" applyNumberFormat="1" applyFont="1" applyBorder="1" applyAlignment="1">
      <alignment horizontal="center"/>
    </xf>
    <xf numFmtId="1" fontId="6" fillId="0" borderId="13" xfId="0" applyNumberFormat="1" applyFont="1" applyBorder="1" applyAlignment="1">
      <alignment horizontal="center"/>
    </xf>
    <xf numFmtId="0" fontId="32" fillId="0" borderId="0" xfId="0" applyFont="1" applyAlignment="1">
      <alignment horizontal="left" wrapText="1"/>
    </xf>
    <xf numFmtId="0" fontId="29" fillId="0" borderId="0" xfId="0" applyFont="1" applyAlignment="1">
      <alignment horizontal="center"/>
    </xf>
    <xf numFmtId="0" fontId="32" fillId="0" borderId="0" xfId="0" applyFont="1" applyBorder="1" applyAlignment="1">
      <alignment horizontal="left" wrapText="1"/>
    </xf>
    <xf numFmtId="0" fontId="12" fillId="0" borderId="0" xfId="0" applyFont="1" applyAlignment="1">
      <alignment horizontal="center" vertical="center"/>
    </xf>
    <xf numFmtId="0" fontId="0" fillId="0" borderId="0" xfId="0" applyBorder="1" applyAlignment="1">
      <alignment horizontal="center"/>
    </xf>
    <xf numFmtId="0" fontId="0" fillId="0" borderId="0" xfId="0" applyAlignment="1">
      <alignment horizontal="center"/>
    </xf>
    <xf numFmtId="0" fontId="22" fillId="5" borderId="0" xfId="0" applyFont="1" applyFill="1" applyAlignment="1">
      <alignment horizontal="center"/>
    </xf>
    <xf numFmtId="0" fontId="4" fillId="0" borderId="0" xfId="0" applyFont="1" applyAlignment="1">
      <alignment horizontal="center"/>
    </xf>
    <xf numFmtId="0" fontId="18" fillId="0" borderId="0" xfId="0" applyFont="1" applyAlignment="1">
      <alignment horizontal="center"/>
    </xf>
    <xf numFmtId="0" fontId="2" fillId="0" borderId="0" xfId="0" applyFont="1" applyAlignment="1">
      <alignment horizontal="left" wrapText="1"/>
    </xf>
    <xf numFmtId="0" fontId="48" fillId="0" borderId="0" xfId="0" applyFont="1" applyAlignment="1">
      <alignment horizontal="center"/>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60" xfId="0" applyFont="1" applyBorder="1" applyAlignment="1">
      <alignment horizontal="center" vertical="center"/>
    </xf>
    <xf numFmtId="0" fontId="9" fillId="0" borderId="15" xfId="0" applyFont="1" applyBorder="1" applyAlignment="1">
      <alignment horizontal="center" vertical="center"/>
    </xf>
    <xf numFmtId="0" fontId="9" fillId="0" borderId="61"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9" fillId="0" borderId="8" xfId="0" applyFont="1" applyBorder="1" applyAlignment="1">
      <alignment horizontal="center" vertical="center"/>
    </xf>
    <xf numFmtId="0" fontId="9" fillId="0" borderId="47" xfId="0" applyFont="1" applyBorder="1" applyAlignment="1">
      <alignment horizontal="center" vertical="top" wrapText="1"/>
    </xf>
    <xf numFmtId="0" fontId="9" fillId="0" borderId="48" xfId="0" applyFont="1" applyBorder="1" applyAlignment="1">
      <alignment horizontal="center" vertical="top" wrapText="1"/>
    </xf>
    <xf numFmtId="0" fontId="9" fillId="0" borderId="46" xfId="0" applyFont="1" applyBorder="1" applyAlignment="1">
      <alignment horizontal="center" vertical="top" wrapText="1"/>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8" xfId="0" applyFont="1" applyBorder="1" applyAlignment="1">
      <alignment horizontal="center" vertical="center"/>
    </xf>
    <xf numFmtId="0" fontId="22" fillId="0" borderId="0" xfId="0" applyFont="1" applyAlignment="1">
      <alignment horizont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3" fillId="0" borderId="0" xfId="0" applyFont="1" applyAlignment="1">
      <alignment horizontal="center"/>
    </xf>
    <xf numFmtId="0" fontId="2" fillId="0" borderId="0" xfId="0" applyFont="1" applyAlignment="1">
      <alignment horizontal="left" vertical="center" wrapText="1"/>
    </xf>
    <xf numFmtId="0" fontId="29" fillId="0" borderId="0" xfId="0" applyFont="1" applyAlignment="1">
      <alignment horizontal="center" vertical="center"/>
    </xf>
    <xf numFmtId="0" fontId="6" fillId="0" borderId="9" xfId="0" applyFont="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xf>
    <xf numFmtId="0" fontId="6" fillId="0" borderId="14" xfId="0" applyFont="1" applyBorder="1" applyAlignment="1">
      <alignment horizontal="center" vertical="center"/>
    </xf>
    <xf numFmtId="17" fontId="22" fillId="0" borderId="0" xfId="0" quotePrefix="1" applyNumberFormat="1" applyFont="1" applyAlignment="1">
      <alignment horizontal="center"/>
    </xf>
    <xf numFmtId="0" fontId="6" fillId="0" borderId="11"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0" fontId="6" fillId="0" borderId="15" xfId="0" applyFont="1" applyBorder="1" applyAlignment="1">
      <alignment horizontal="center" vertical="center"/>
    </xf>
    <xf numFmtId="0" fontId="6" fillId="0" borderId="63" xfId="0" applyFont="1" applyBorder="1" applyAlignment="1">
      <alignment horizontal="center" vertical="center"/>
    </xf>
    <xf numFmtId="0" fontId="6" fillId="0" borderId="56" xfId="0" applyFont="1" applyBorder="1" applyAlignment="1">
      <alignment horizontal="center" vertical="center"/>
    </xf>
    <xf numFmtId="0" fontId="6" fillId="0" borderId="6" xfId="0" applyFont="1"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0" fontId="6" fillId="0" borderId="12" xfId="0" applyFont="1" applyBorder="1" applyAlignment="1">
      <alignment horizontal="center" vertical="center" wrapText="1"/>
    </xf>
    <xf numFmtId="0" fontId="6" fillId="0" borderId="11" xfId="0" applyFont="1" applyBorder="1" applyAlignment="1">
      <alignment horizontal="center" vertical="center" wrapText="1"/>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0" fillId="0" borderId="9" xfId="0" applyBorder="1" applyAlignment="1">
      <alignment horizontal="center"/>
    </xf>
    <xf numFmtId="0" fontId="0" fillId="0" borderId="8" xfId="0" applyBorder="1" applyAlignment="1">
      <alignment horizontal="center"/>
    </xf>
    <xf numFmtId="0" fontId="27" fillId="0" borderId="0" xfId="0" applyFont="1" applyAlignment="1">
      <alignment horizontal="center"/>
    </xf>
    <xf numFmtId="0" fontId="39" fillId="0" borderId="7" xfId="0" applyFont="1" applyBorder="1" applyAlignment="1">
      <alignment horizontal="center"/>
    </xf>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19" fillId="0" borderId="11" xfId="0" applyFont="1" applyBorder="1" applyAlignment="1">
      <alignment horizontal="center"/>
    </xf>
    <xf numFmtId="0" fontId="19" fillId="0" borderId="2" xfId="0" applyFont="1" applyBorder="1" applyAlignment="1">
      <alignment horizont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22" fillId="0" borderId="0" xfId="0" applyFont="1" applyAlignment="1">
      <alignment horizontal="center" wrapText="1"/>
    </xf>
    <xf numFmtId="0" fontId="28" fillId="0" borderId="0" xfId="0" applyFont="1" applyBorder="1" applyAlignment="1">
      <alignment horizontal="left" vertical="center" wrapText="1"/>
    </xf>
    <xf numFmtId="0" fontId="28" fillId="0" borderId="12" xfId="0" applyFont="1" applyBorder="1" applyAlignment="1">
      <alignment horizontal="left" vertical="center" wrapText="1"/>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6"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15" xfId="0" applyFont="1" applyBorder="1" applyAlignment="1">
      <alignment horizontal="center" vertical="center"/>
    </xf>
    <xf numFmtId="0" fontId="14" fillId="0" borderId="14" xfId="0" applyFont="1" applyBorder="1" applyAlignment="1">
      <alignment horizontal="center" vertical="center"/>
    </xf>
    <xf numFmtId="0" fontId="27" fillId="0" borderId="0" xfId="0" applyFont="1" applyAlignment="1">
      <alignment horizontal="center" wrapText="1"/>
    </xf>
    <xf numFmtId="0" fontId="44" fillId="0" borderId="0" xfId="0" applyFont="1" applyAlignment="1">
      <alignment horizont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9" fillId="0" borderId="9" xfId="0" applyFont="1" applyBorder="1" applyAlignment="1">
      <alignment horizontal="center" vertical="center"/>
    </xf>
    <xf numFmtId="0" fontId="9" fillId="0" borderId="4"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1" fillId="0" borderId="0" xfId="0" applyFont="1" applyAlignment="1">
      <alignment horizontal="center"/>
    </xf>
    <xf numFmtId="0" fontId="6" fillId="0" borderId="1" xfId="0" applyFont="1" applyBorder="1" applyAlignment="1">
      <alignment horizontal="center" vertical="center"/>
    </xf>
    <xf numFmtId="3" fontId="9" fillId="7" borderId="9" xfId="2" applyNumberFormat="1" applyFont="1" applyFill="1" applyBorder="1" applyAlignment="1" applyProtection="1">
      <alignment horizontal="center" vertical="center" wrapText="1"/>
      <protection locked="0"/>
    </xf>
    <xf numFmtId="3" fontId="9" fillId="7" borderId="4" xfId="2" applyNumberFormat="1" applyFont="1" applyFill="1" applyBorder="1" applyAlignment="1" applyProtection="1">
      <alignment horizontal="center" vertical="center" wrapText="1"/>
      <protection locked="0"/>
    </xf>
    <xf numFmtId="3" fontId="9" fillId="7" borderId="1" xfId="2" applyNumberFormat="1" applyFont="1" applyFill="1" applyBorder="1" applyAlignment="1" applyProtection="1">
      <alignment horizontal="center" vertical="center" wrapText="1"/>
      <protection locked="0"/>
    </xf>
    <xf numFmtId="0" fontId="1" fillId="0" borderId="0" xfId="0" applyFont="1" applyBorder="1" applyAlignment="1">
      <alignment horizontal="center"/>
    </xf>
    <xf numFmtId="0" fontId="14" fillId="7" borderId="4" xfId="2" applyNumberFormat="1" applyFont="1" applyFill="1" applyBorder="1" applyAlignment="1" applyProtection="1">
      <alignment horizontal="center" vertical="center" wrapText="1"/>
    </xf>
    <xf numFmtId="0" fontId="14" fillId="7" borderId="1" xfId="2" applyNumberFormat="1" applyFont="1" applyFill="1" applyBorder="1" applyAlignment="1" applyProtection="1">
      <alignment horizontal="center" vertical="center" wrapText="1"/>
    </xf>
    <xf numFmtId="3" fontId="10" fillId="7" borderId="1" xfId="2" applyNumberFormat="1" applyFont="1" applyFill="1" applyBorder="1" applyAlignment="1" applyProtection="1">
      <alignment horizontal="center" vertical="center" wrapText="1"/>
      <protection locked="0"/>
    </xf>
    <xf numFmtId="3" fontId="9" fillId="0" borderId="1"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47" fillId="0" borderId="9"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3" fontId="19" fillId="0" borderId="9" xfId="0" applyNumberFormat="1" applyFont="1" applyBorder="1" applyAlignment="1">
      <alignment horizontal="center" vertical="center"/>
    </xf>
    <xf numFmtId="3" fontId="9" fillId="0" borderId="46" xfId="0" applyNumberFormat="1" applyFont="1" applyBorder="1" applyAlignment="1">
      <alignment horizontal="center" vertical="center" wrapText="1"/>
    </xf>
    <xf numFmtId="3" fontId="9" fillId="0" borderId="47" xfId="0" applyNumberFormat="1" applyFont="1" applyBorder="1" applyAlignment="1">
      <alignment horizontal="center" vertical="center" wrapText="1"/>
    </xf>
    <xf numFmtId="3" fontId="9" fillId="0" borderId="48" xfId="0" applyNumberFormat="1" applyFont="1" applyBorder="1" applyAlignment="1">
      <alignment horizontal="center" vertical="center" wrapText="1"/>
    </xf>
    <xf numFmtId="3" fontId="9" fillId="0" borderId="8" xfId="0" applyNumberFormat="1" applyFont="1" applyBorder="1" applyAlignment="1">
      <alignment horizontal="center" vertical="center" wrapText="1"/>
    </xf>
    <xf numFmtId="3" fontId="0" fillId="0" borderId="34" xfId="0" applyNumberFormat="1" applyBorder="1" applyAlignment="1">
      <alignment horizontal="center" vertical="center"/>
    </xf>
    <xf numFmtId="3" fontId="0" fillId="0" borderId="35" xfId="0" applyNumberFormat="1" applyBorder="1" applyAlignment="1">
      <alignment horizontal="center" vertical="center"/>
    </xf>
    <xf numFmtId="0" fontId="1" fillId="0" borderId="0" xfId="0" applyFont="1" applyBorder="1" applyAlignment="1">
      <alignment horizontal="center" vertical="center"/>
    </xf>
    <xf numFmtId="0" fontId="48" fillId="0" borderId="0" xfId="0" applyFont="1" applyAlignment="1">
      <alignment horizontal="center" wrapText="1"/>
    </xf>
    <xf numFmtId="0" fontId="28" fillId="0" borderId="32" xfId="0" applyFont="1" applyBorder="1" applyAlignment="1">
      <alignment horizontal="center" vertical="center"/>
    </xf>
    <xf numFmtId="0" fontId="28" fillId="0" borderId="33" xfId="0" applyFont="1" applyBorder="1" applyAlignment="1">
      <alignment horizontal="center" vertical="center"/>
    </xf>
    <xf numFmtId="0" fontId="28" fillId="0" borderId="31" xfId="0" applyFont="1" applyBorder="1" applyAlignment="1">
      <alignment horizontal="center" vertic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9" xfId="0" applyFont="1" applyBorder="1" applyAlignment="1">
      <alignment horizontal="center"/>
    </xf>
    <xf numFmtId="0" fontId="15" fillId="0" borderId="8" xfId="0" applyFont="1" applyBorder="1" applyAlignment="1">
      <alignment horizontal="center"/>
    </xf>
    <xf numFmtId="0" fontId="15" fillId="0" borderId="4" xfId="0" applyFont="1" applyBorder="1" applyAlignment="1">
      <alignment horizontal="center"/>
    </xf>
    <xf numFmtId="0" fontId="18" fillId="0" borderId="0"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9" fillId="0" borderId="9"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51" fillId="0" borderId="0" xfId="0" applyFont="1" applyAlignment="1">
      <alignment horizontal="center"/>
    </xf>
    <xf numFmtId="0" fontId="26" fillId="0" borderId="0" xfId="0" applyFont="1" applyAlignment="1">
      <alignment horizontal="center"/>
    </xf>
    <xf numFmtId="0" fontId="45" fillId="0" borderId="9" xfId="0" applyFont="1" applyFill="1" applyBorder="1" applyAlignment="1" applyProtection="1">
      <alignment horizontal="center" vertical="center" wrapText="1"/>
    </xf>
    <xf numFmtId="0" fontId="45" fillId="0" borderId="8"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72" fillId="0" borderId="4" xfId="0" applyFont="1" applyFill="1" applyBorder="1" applyAlignment="1" applyProtection="1"/>
    <xf numFmtId="0" fontId="48" fillId="0" borderId="7"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0" fontId="26" fillId="0" borderId="0" xfId="0" applyFont="1" applyAlignment="1">
      <alignment horizontal="center" wrapText="1"/>
    </xf>
    <xf numFmtId="0" fontId="21" fillId="0" borderId="0" xfId="0" applyFont="1" applyAlignment="1">
      <alignment horizontal="center"/>
    </xf>
    <xf numFmtId="0" fontId="9" fillId="0" borderId="5" xfId="10" applyNumberFormat="1" applyFont="1" applyFill="1" applyBorder="1" applyAlignment="1" applyProtection="1">
      <alignment horizontal="center" wrapText="1"/>
    </xf>
    <xf numFmtId="0" fontId="9" fillId="0" borderId="6" xfId="10" applyNumberFormat="1" applyFont="1" applyFill="1" applyBorder="1" applyAlignment="1" applyProtection="1">
      <alignment horizontal="center" wrapText="1"/>
    </xf>
    <xf numFmtId="0" fontId="6" fillId="0" borderId="8" xfId="3" applyNumberFormat="1" applyFont="1" applyBorder="1" applyAlignment="1" applyProtection="1">
      <alignment horizontal="center" vertical="center"/>
    </xf>
    <xf numFmtId="0" fontId="56" fillId="0" borderId="0" xfId="3" applyNumberFormat="1" applyFont="1" applyAlignment="1">
      <alignment horizontal="center"/>
    </xf>
    <xf numFmtId="0" fontId="6" fillId="0" borderId="1" xfId="3" applyNumberFormat="1" applyFont="1" applyBorder="1" applyAlignment="1" applyProtection="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56" fillId="0" borderId="0" xfId="3" applyNumberFormat="1" applyFont="1" applyAlignment="1">
      <alignment horizontal="center" vertical="center"/>
    </xf>
    <xf numFmtId="0" fontId="9" fillId="0" borderId="11" xfId="3" applyNumberFormat="1" applyFont="1" applyBorder="1" applyAlignment="1" applyProtection="1">
      <alignment horizontal="center"/>
    </xf>
    <xf numFmtId="0" fontId="9" fillId="0" borderId="2" xfId="3" applyNumberFormat="1" applyFont="1" applyBorder="1" applyAlignment="1" applyProtection="1">
      <alignment horizontal="center"/>
    </xf>
    <xf numFmtId="0" fontId="9" fillId="0" borderId="1" xfId="6" applyFont="1" applyBorder="1" applyAlignment="1">
      <alignment horizontal="center" vertical="center"/>
    </xf>
    <xf numFmtId="0" fontId="9" fillId="0" borderId="12" xfId="6" applyFont="1" applyBorder="1" applyAlignment="1">
      <alignment horizontal="center" vertical="top" wrapText="1"/>
    </xf>
    <xf numFmtId="0" fontId="9" fillId="0" borderId="2" xfId="6" applyFont="1" applyBorder="1" applyAlignment="1">
      <alignment horizontal="center" vertical="top" wrapText="1"/>
    </xf>
    <xf numFmtId="0" fontId="9" fillId="0" borderId="4" xfId="6" applyFont="1" applyBorder="1" applyAlignment="1">
      <alignment horizontal="center" vertical="center"/>
    </xf>
    <xf numFmtId="0" fontId="9" fillId="0" borderId="9" xfId="6" applyFont="1" applyBorder="1" applyAlignment="1">
      <alignment horizontal="center" vertical="top" wrapText="1"/>
    </xf>
    <xf numFmtId="0" fontId="9" fillId="0" borderId="4" xfId="6" applyFont="1" applyBorder="1" applyAlignment="1">
      <alignment horizontal="center" vertical="top" wrapText="1"/>
    </xf>
    <xf numFmtId="0" fontId="9" fillId="0" borderId="9" xfId="6" applyFont="1" applyBorder="1" applyAlignment="1">
      <alignment horizontal="center" vertical="center"/>
    </xf>
    <xf numFmtId="0" fontId="9" fillId="0" borderId="8"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6" fillId="0" borderId="0" xfId="6" applyFont="1" applyAlignment="1">
      <alignment horizontal="center" vertical="center"/>
    </xf>
    <xf numFmtId="0" fontId="22" fillId="0" borderId="0" xfId="6" applyFont="1" applyAlignment="1">
      <alignment horizontal="center" vertical="center"/>
    </xf>
    <xf numFmtId="0" fontId="22" fillId="5" borderId="0" xfId="6" applyFont="1" applyFill="1" applyAlignment="1">
      <alignment horizontal="center" vertical="center"/>
    </xf>
    <xf numFmtId="0" fontId="22" fillId="0" borderId="0" xfId="6" applyFont="1" applyAlignment="1">
      <alignment horizontal="center"/>
    </xf>
  </cellXfs>
  <cellStyles count="14">
    <cellStyle name="Hipervínculo" xfId="13" builtinId="8"/>
    <cellStyle name="Millares" xfId="1" builtinId="3"/>
    <cellStyle name="Normal" xfId="0" builtinId="0"/>
    <cellStyle name="Normal 2" xfId="11"/>
    <cellStyle name="Normal_APS" xfId="2"/>
    <cellStyle name="Normal_cap III-1" xfId="3"/>
    <cellStyle name="Normal_EGRE" xfId="4"/>
    <cellStyle name="Normal_ESTUDIO CAMAS 2009" xfId="5"/>
    <cellStyle name="Normal_ind" xfId="6"/>
    <cellStyle name="Normal_REM 04-2002" xfId="12"/>
    <cellStyle name="Normal_REM 06-2002" xfId="7"/>
    <cellStyle name="Normal_REM 09-2002" xfId="8"/>
    <cellStyle name="Normal_REM 17-2002" xfId="9"/>
    <cellStyle name="Normal_REM 20-2002"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6.xml"/><Relationship Id="rId133" Type="http://schemas.openxmlformats.org/officeDocument/2006/relationships/externalLink" Target="externalLinks/externalLink37.xml"/><Relationship Id="rId138" Type="http://schemas.openxmlformats.org/officeDocument/2006/relationships/externalLink" Target="externalLinks/externalLink42.xml"/><Relationship Id="rId154" Type="http://schemas.openxmlformats.org/officeDocument/2006/relationships/externalLink" Target="externalLinks/externalLink58.xml"/><Relationship Id="rId159" Type="http://schemas.openxmlformats.org/officeDocument/2006/relationships/externalLink" Target="externalLinks/externalLink63.xml"/><Relationship Id="rId175" Type="http://schemas.openxmlformats.org/officeDocument/2006/relationships/externalLink" Target="externalLinks/externalLink79.xml"/><Relationship Id="rId170"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1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6.xml"/><Relationship Id="rId123" Type="http://schemas.openxmlformats.org/officeDocument/2006/relationships/externalLink" Target="externalLinks/externalLink27.xml"/><Relationship Id="rId128" Type="http://schemas.openxmlformats.org/officeDocument/2006/relationships/externalLink" Target="externalLinks/externalLink32.xml"/><Relationship Id="rId144" Type="http://schemas.openxmlformats.org/officeDocument/2006/relationships/externalLink" Target="externalLinks/externalLink48.xml"/><Relationship Id="rId149"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64.xml"/><Relationship Id="rId165" Type="http://schemas.openxmlformats.org/officeDocument/2006/relationships/externalLink" Target="externalLinks/externalLink6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7.xml"/><Relationship Id="rId118" Type="http://schemas.openxmlformats.org/officeDocument/2006/relationships/externalLink" Target="externalLinks/externalLink22.xml"/><Relationship Id="rId134" Type="http://schemas.openxmlformats.org/officeDocument/2006/relationships/externalLink" Target="externalLinks/externalLink38.xml"/><Relationship Id="rId139" Type="http://schemas.openxmlformats.org/officeDocument/2006/relationships/externalLink" Target="externalLinks/externalLink43.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4.xml"/><Relationship Id="rId155" Type="http://schemas.openxmlformats.org/officeDocument/2006/relationships/externalLink" Target="externalLinks/externalLink59.xml"/><Relationship Id="rId171" Type="http://schemas.openxmlformats.org/officeDocument/2006/relationships/externalLink" Target="externalLinks/externalLink75.xml"/><Relationship Id="rId176" Type="http://schemas.openxmlformats.org/officeDocument/2006/relationships/externalLink" Target="externalLinks/externalLink8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7.xml"/><Relationship Id="rId108" Type="http://schemas.openxmlformats.org/officeDocument/2006/relationships/externalLink" Target="externalLinks/externalLink12.xml"/><Relationship Id="rId124" Type="http://schemas.openxmlformats.org/officeDocument/2006/relationships/externalLink" Target="externalLinks/externalLink28.xml"/><Relationship Id="rId129" Type="http://schemas.openxmlformats.org/officeDocument/2006/relationships/externalLink" Target="externalLinks/externalLink3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4.xml"/><Relationship Id="rId145" Type="http://schemas.openxmlformats.org/officeDocument/2006/relationships/externalLink" Target="externalLinks/externalLink49.xml"/><Relationship Id="rId161" Type="http://schemas.openxmlformats.org/officeDocument/2006/relationships/externalLink" Target="externalLinks/externalLink65.xml"/><Relationship Id="rId166"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8.xml"/><Relationship Id="rId119"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122" Type="http://schemas.openxmlformats.org/officeDocument/2006/relationships/externalLink" Target="externalLinks/externalLink26.xml"/><Relationship Id="rId130" Type="http://schemas.openxmlformats.org/officeDocument/2006/relationships/externalLink" Target="externalLinks/externalLink34.xml"/><Relationship Id="rId135" Type="http://schemas.openxmlformats.org/officeDocument/2006/relationships/externalLink" Target="externalLinks/externalLink39.xml"/><Relationship Id="rId143" Type="http://schemas.openxmlformats.org/officeDocument/2006/relationships/externalLink" Target="externalLinks/externalLink47.xml"/><Relationship Id="rId148" Type="http://schemas.openxmlformats.org/officeDocument/2006/relationships/externalLink" Target="externalLinks/externalLink52.xml"/><Relationship Id="rId151" Type="http://schemas.openxmlformats.org/officeDocument/2006/relationships/externalLink" Target="externalLinks/externalLink55.xml"/><Relationship Id="rId156" Type="http://schemas.openxmlformats.org/officeDocument/2006/relationships/externalLink" Target="externalLinks/externalLink60.xml"/><Relationship Id="rId164" Type="http://schemas.openxmlformats.org/officeDocument/2006/relationships/externalLink" Target="externalLinks/externalLink68.xml"/><Relationship Id="rId169" Type="http://schemas.openxmlformats.org/officeDocument/2006/relationships/externalLink" Target="externalLinks/externalLink73.xml"/><Relationship Id="rId177"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76.xml"/><Relationship Id="rId18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120" Type="http://schemas.openxmlformats.org/officeDocument/2006/relationships/externalLink" Target="externalLinks/externalLink24.xml"/><Relationship Id="rId125" Type="http://schemas.openxmlformats.org/officeDocument/2006/relationships/externalLink" Target="externalLinks/externalLink29.xml"/><Relationship Id="rId141" Type="http://schemas.openxmlformats.org/officeDocument/2006/relationships/externalLink" Target="externalLinks/externalLink45.xml"/><Relationship Id="rId146" Type="http://schemas.openxmlformats.org/officeDocument/2006/relationships/externalLink" Target="externalLinks/externalLink50.xml"/><Relationship Id="rId167"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4.xml"/><Relationship Id="rId115" Type="http://schemas.openxmlformats.org/officeDocument/2006/relationships/externalLink" Target="externalLinks/externalLink19.xml"/><Relationship Id="rId131" Type="http://schemas.openxmlformats.org/officeDocument/2006/relationships/externalLink" Target="externalLinks/externalLink35.xml"/><Relationship Id="rId136" Type="http://schemas.openxmlformats.org/officeDocument/2006/relationships/externalLink" Target="externalLinks/externalLink40.xml"/><Relationship Id="rId157" Type="http://schemas.openxmlformats.org/officeDocument/2006/relationships/externalLink" Target="externalLinks/externalLink61.xml"/><Relationship Id="rId178"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6.xml"/><Relationship Id="rId173" Type="http://schemas.openxmlformats.org/officeDocument/2006/relationships/externalLink" Target="externalLinks/externalLink7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126" Type="http://schemas.openxmlformats.org/officeDocument/2006/relationships/externalLink" Target="externalLinks/externalLink30.xml"/><Relationship Id="rId147" Type="http://schemas.openxmlformats.org/officeDocument/2006/relationships/externalLink" Target="externalLinks/externalLink51.xml"/><Relationship Id="rId168"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121" Type="http://schemas.openxmlformats.org/officeDocument/2006/relationships/externalLink" Target="externalLinks/externalLink25.xml"/><Relationship Id="rId142" Type="http://schemas.openxmlformats.org/officeDocument/2006/relationships/externalLink" Target="externalLinks/externalLink46.xml"/><Relationship Id="rId163" Type="http://schemas.openxmlformats.org/officeDocument/2006/relationships/externalLink" Target="externalLinks/externalLink6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0.xml"/><Relationship Id="rId137" Type="http://schemas.openxmlformats.org/officeDocument/2006/relationships/externalLink" Target="externalLinks/externalLink41.xml"/><Relationship Id="rId158" Type="http://schemas.openxmlformats.org/officeDocument/2006/relationships/externalLink" Target="externalLinks/externalLink6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5.xml"/><Relationship Id="rId132" Type="http://schemas.openxmlformats.org/officeDocument/2006/relationships/externalLink" Target="externalLinks/externalLink36.xml"/><Relationship Id="rId153" Type="http://schemas.openxmlformats.org/officeDocument/2006/relationships/externalLink" Target="externalLinks/externalLink57.xml"/><Relationship Id="rId174" Type="http://schemas.openxmlformats.org/officeDocument/2006/relationships/externalLink" Target="externalLinks/externalLink78.xml"/><Relationship Id="rId179"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0.xml"/><Relationship Id="rId127" Type="http://schemas.openxmlformats.org/officeDocument/2006/relationships/externalLink" Target="externalLinks/externalLink3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2013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52164208"/>
        <c:axId val="157965264"/>
      </c:barChart>
      <c:catAx>
        <c:axId val="252164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157965264"/>
        <c:crosses val="autoZero"/>
        <c:auto val="0"/>
        <c:lblAlgn val="ctr"/>
        <c:lblOffset val="100"/>
        <c:tickLblSkip val="1"/>
        <c:tickMarkSkip val="1"/>
        <c:noMultiLvlLbl val="0"/>
      </c:catAx>
      <c:valAx>
        <c:axId val="157965264"/>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52164208"/>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2014 - 2020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2014</c:v>
                </c:pt>
                <c:pt idx="1">
                  <c:v>2015</c:v>
                </c:pt>
                <c:pt idx="2">
                  <c:v>2016</c:v>
                </c:pt>
                <c:pt idx="3">
                  <c:v>2017</c:v>
                </c:pt>
                <c:pt idx="4">
                  <c:v>2018</c:v>
                </c:pt>
                <c:pt idx="5">
                  <c:v>2019</c:v>
                </c:pt>
                <c:pt idx="6">
                  <c:v>2020</c:v>
                </c:pt>
              </c:numCache>
            </c:numRef>
          </c:cat>
          <c:val>
            <c:numRef>
              <c:f>'12'!$B$19:$H$19</c:f>
              <c:numCache>
                <c:formatCode>#,##0.00</c:formatCode>
                <c:ptCount val="7"/>
                <c:pt idx="0">
                  <c:v>50.331825821767083</c:v>
                </c:pt>
                <c:pt idx="1">
                  <c:v>52.092194902652423</c:v>
                </c:pt>
                <c:pt idx="2">
                  <c:v>54.048548047374055</c:v>
                </c:pt>
                <c:pt idx="3">
                  <c:v>56.299586883999098</c:v>
                </c:pt>
                <c:pt idx="4">
                  <c:v>58.908568361640611</c:v>
                </c:pt>
                <c:pt idx="5">
                  <c:v>61.427310640801572</c:v>
                </c:pt>
                <c:pt idx="6">
                  <c:v>64.031101511879058</c:v>
                </c:pt>
              </c:numCache>
            </c:numRef>
          </c:val>
          <c:smooth val="0"/>
        </c:ser>
        <c:dLbls>
          <c:showLegendKey val="0"/>
          <c:showVal val="0"/>
          <c:showCatName val="0"/>
          <c:showSerName val="0"/>
          <c:showPercent val="0"/>
          <c:showBubbleSize val="0"/>
        </c:dLbls>
        <c:smooth val="0"/>
        <c:axId val="249878520"/>
        <c:axId val="271502152"/>
      </c:lineChart>
      <c:catAx>
        <c:axId val="2498785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1502152"/>
        <c:crosses val="autoZero"/>
        <c:auto val="1"/>
        <c:lblAlgn val="ctr"/>
        <c:lblOffset val="100"/>
        <c:tickLblSkip val="1"/>
        <c:tickMarkSkip val="1"/>
        <c:noMultiLvlLbl val="0"/>
      </c:catAx>
      <c:valAx>
        <c:axId val="271502152"/>
        <c:scaling>
          <c:orientation val="minMax"/>
          <c:max val="66"/>
          <c:min val="50"/>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80"/>
                </a:solidFill>
                <a:latin typeface="Arial"/>
                <a:ea typeface="Arial"/>
                <a:cs typeface="Arial"/>
              </a:defRPr>
            </a:pPr>
            <a:endParaRPr lang="es-CL"/>
          </a:p>
        </c:txPr>
        <c:crossAx val="249878520"/>
        <c:crosses val="autoZero"/>
        <c:crossBetween val="between"/>
        <c:majorUnit val="4"/>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'13'!$I$9:$I$17</c:f>
              <c:numCache>
                <c:formatCode>0.0</c:formatCode>
                <c:ptCount val="9"/>
                <c:pt idx="0">
                  <c:v>53.3</c:v>
                </c:pt>
                <c:pt idx="1">
                  <c:v>51.7</c:v>
                </c:pt>
                <c:pt idx="2">
                  <c:v>54.8</c:v>
                </c:pt>
                <c:pt idx="3">
                  <c:v>52.7</c:v>
                </c:pt>
                <c:pt idx="4">
                  <c:v>47.8</c:v>
                </c:pt>
                <c:pt idx="5">
                  <c:v>43.342088216429964</c:v>
                </c:pt>
                <c:pt idx="6">
                  <c:v>45.068171838640112</c:v>
                </c:pt>
                <c:pt idx="7">
                  <c:v>42</c:v>
                </c:pt>
                <c:pt idx="8">
                  <c:v>37.631588201976889</c:v>
                </c:pt>
              </c:numCache>
            </c:numRef>
          </c:val>
          <c:smooth val="0"/>
        </c:ser>
        <c:dLbls>
          <c:showLegendKey val="0"/>
          <c:showVal val="0"/>
          <c:showCatName val="0"/>
          <c:showSerName val="0"/>
          <c:showPercent val="0"/>
          <c:showBubbleSize val="0"/>
        </c:dLbls>
        <c:smooth val="0"/>
        <c:axId val="271502936"/>
        <c:axId val="271503328"/>
      </c:lineChart>
      <c:catAx>
        <c:axId val="271502936"/>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1503328"/>
        <c:crosses val="autoZero"/>
        <c:auto val="1"/>
        <c:lblAlgn val="ctr"/>
        <c:lblOffset val="100"/>
        <c:tickLblSkip val="1"/>
        <c:tickMarkSkip val="1"/>
        <c:noMultiLvlLbl val="0"/>
      </c:catAx>
      <c:valAx>
        <c:axId val="271503328"/>
        <c:scaling>
          <c:orientation val="minMax"/>
          <c:max val="60"/>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71502936"/>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2013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35.538942980398282</c:v>
                </c:pt>
                <c:pt idx="1">
                  <c:v>31.602144313449294</c:v>
                </c:pt>
                <c:pt idx="2">
                  <c:v>32.264320961583508</c:v>
                </c:pt>
                <c:pt idx="3">
                  <c:v>32.288976796018176</c:v>
                </c:pt>
                <c:pt idx="4">
                  <c:v>42.110944390494033</c:v>
                </c:pt>
                <c:pt idx="5">
                  <c:v>43.264790597184394</c:v>
                </c:pt>
                <c:pt idx="6">
                  <c:v>34.480852731770916</c:v>
                </c:pt>
                <c:pt idx="7">
                  <c:v>34.45132178955668</c:v>
                </c:pt>
                <c:pt idx="8">
                  <c:v>40.305677641521768</c:v>
                </c:pt>
                <c:pt idx="9">
                  <c:v>34.473894439849431</c:v>
                </c:pt>
              </c:numCache>
            </c:numRef>
          </c:val>
        </c:ser>
        <c:dLbls>
          <c:showLegendKey val="0"/>
          <c:showVal val="0"/>
          <c:showCatName val="0"/>
          <c:showSerName val="0"/>
          <c:showPercent val="0"/>
          <c:showBubbleSize val="0"/>
        </c:dLbls>
        <c:gapWidth val="150"/>
        <c:axId val="271504112"/>
        <c:axId val="271504504"/>
      </c:barChart>
      <c:catAx>
        <c:axId val="27150411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504504"/>
        <c:crosses val="autoZero"/>
        <c:auto val="0"/>
        <c:lblAlgn val="ctr"/>
        <c:lblOffset val="100"/>
        <c:tickLblSkip val="1"/>
        <c:tickMarkSkip val="1"/>
        <c:noMultiLvlLbl val="0"/>
      </c:catAx>
      <c:valAx>
        <c:axId val="271504504"/>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150411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'13'!$I$9:$I$17</c:f>
              <c:numCache>
                <c:formatCode>0.0</c:formatCode>
                <c:ptCount val="9"/>
                <c:pt idx="0">
                  <c:v>53.3</c:v>
                </c:pt>
                <c:pt idx="1">
                  <c:v>51.7</c:v>
                </c:pt>
                <c:pt idx="2">
                  <c:v>54.8</c:v>
                </c:pt>
                <c:pt idx="3">
                  <c:v>52.7</c:v>
                </c:pt>
                <c:pt idx="4">
                  <c:v>47.8</c:v>
                </c:pt>
                <c:pt idx="5">
                  <c:v>43.342088216429964</c:v>
                </c:pt>
                <c:pt idx="6">
                  <c:v>45.068171838640112</c:v>
                </c:pt>
                <c:pt idx="7">
                  <c:v>42</c:v>
                </c:pt>
                <c:pt idx="8">
                  <c:v>37.631588201976889</c:v>
                </c:pt>
              </c:numCache>
            </c:numRef>
          </c:val>
          <c:smooth val="0"/>
        </c:ser>
        <c:dLbls>
          <c:showLegendKey val="0"/>
          <c:showVal val="0"/>
          <c:showCatName val="0"/>
          <c:showSerName val="0"/>
          <c:showPercent val="0"/>
          <c:showBubbleSize val="0"/>
        </c:dLbls>
        <c:smooth val="0"/>
        <c:axId val="271505288"/>
        <c:axId val="271505680"/>
      </c:lineChart>
      <c:catAx>
        <c:axId val="271505288"/>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1505680"/>
        <c:crosses val="autoZero"/>
        <c:auto val="1"/>
        <c:lblAlgn val="ctr"/>
        <c:lblOffset val="100"/>
        <c:tickLblSkip val="1"/>
        <c:tickMarkSkip val="1"/>
        <c:noMultiLvlLbl val="0"/>
      </c:catAx>
      <c:valAx>
        <c:axId val="271505680"/>
        <c:scaling>
          <c:orientation val="minMax"/>
          <c:max val="56"/>
          <c:min val="3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71505288"/>
        <c:crosses val="autoZero"/>
        <c:crossBetween val="between"/>
        <c:majorUnit val="5"/>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2020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35.538942980398282</c:v>
                </c:pt>
                <c:pt idx="1">
                  <c:v>31.602144313449294</c:v>
                </c:pt>
                <c:pt idx="2">
                  <c:v>32.264320961583508</c:v>
                </c:pt>
                <c:pt idx="3">
                  <c:v>32.288976796018176</c:v>
                </c:pt>
                <c:pt idx="4">
                  <c:v>42.110944390494033</c:v>
                </c:pt>
                <c:pt idx="5">
                  <c:v>43.264790597184394</c:v>
                </c:pt>
                <c:pt idx="6">
                  <c:v>34.480852731770916</c:v>
                </c:pt>
                <c:pt idx="7">
                  <c:v>34.45132178955668</c:v>
                </c:pt>
                <c:pt idx="8">
                  <c:v>40.305677641521768</c:v>
                </c:pt>
                <c:pt idx="9">
                  <c:v>34.473894439849431</c:v>
                </c:pt>
              </c:numCache>
            </c:numRef>
          </c:val>
        </c:ser>
        <c:dLbls>
          <c:showLegendKey val="0"/>
          <c:showVal val="0"/>
          <c:showCatName val="0"/>
          <c:showSerName val="0"/>
          <c:showPercent val="0"/>
          <c:showBubbleSize val="0"/>
        </c:dLbls>
        <c:gapWidth val="150"/>
        <c:axId val="272001616"/>
        <c:axId val="272002008"/>
      </c:barChart>
      <c:catAx>
        <c:axId val="2720016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2002008"/>
        <c:crosses val="autoZero"/>
        <c:auto val="0"/>
        <c:lblAlgn val="ctr"/>
        <c:lblOffset val="100"/>
        <c:tickLblSkip val="1"/>
        <c:tickMarkSkip val="1"/>
        <c:noMultiLvlLbl val="0"/>
      </c:catAx>
      <c:valAx>
        <c:axId val="272002008"/>
        <c:scaling>
          <c:orientation val="minMax"/>
          <c:min val="25"/>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2001616"/>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4816414687012E-2"/>
          <c:y val="0.25352170793378631"/>
          <c:w val="0.91792656587470856"/>
          <c:h val="0.56338157318619164"/>
        </c:manualLayout>
      </c:layout>
      <c:lineChart>
        <c:grouping val="standard"/>
        <c:varyColors val="0"/>
        <c:ser>
          <c:idx val="0"/>
          <c:order val="0"/>
          <c:tx>
            <c:v>PAIS</c:v>
          </c:tx>
          <c:spPr>
            <a:ln w="38100">
              <a:solidFill>
                <a:srgbClr val="FF0000"/>
              </a:solidFill>
              <a:prstDash val="solid"/>
            </a:ln>
          </c:spPr>
          <c:marker>
            <c:symbol val="none"/>
          </c:marker>
          <c:cat>
            <c:numRef>
              <c:f>'18'!$A$11:$A$20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'18'!$C$11:$C$20</c:f>
              <c:numCache>
                <c:formatCode>0.0</c:formatCode>
                <c:ptCount val="10"/>
                <c:pt idx="0">
                  <c:v>14.424290398622151</c:v>
                </c:pt>
                <c:pt idx="1">
                  <c:v>13.979885104420898</c:v>
                </c:pt>
                <c:pt idx="2">
                  <c:v>13.740991745241372</c:v>
                </c:pt>
                <c:pt idx="3">
                  <c:v>13.709424933086876</c:v>
                </c:pt>
                <c:pt idx="4">
                  <c:v>13.614392138007101</c:v>
                </c:pt>
                <c:pt idx="5">
                  <c:v>12.707003471706372</c:v>
                </c:pt>
                <c:pt idx="6">
                  <c:v>11.907851332458014</c:v>
                </c:pt>
                <c:pt idx="7">
                  <c:v>11.69688351352872</c:v>
                </c:pt>
                <c:pt idx="8">
                  <c:v>10.923255381631735</c:v>
                </c:pt>
                <c:pt idx="9">
                  <c:v>0</c:v>
                </c:pt>
              </c:numCache>
            </c:numRef>
          </c:val>
          <c:smooth val="0"/>
        </c:ser>
        <c:ser>
          <c:idx val="1"/>
          <c:order val="1"/>
          <c:tx>
            <c:v>REGION</c:v>
          </c:tx>
          <c:spPr>
            <a:ln w="38100">
              <a:solidFill>
                <a:srgbClr val="333399"/>
              </a:solidFill>
              <a:prstDash val="solid"/>
            </a:ln>
          </c:spPr>
          <c:marker>
            <c:symbol val="none"/>
          </c:marker>
          <c:cat>
            <c:numRef>
              <c:f>'18'!$A$11:$A$20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'18'!$E$11:$E$20</c:f>
              <c:numCache>
                <c:formatCode>0.0</c:formatCode>
                <c:ptCount val="10"/>
                <c:pt idx="0">
                  <c:v>13.412523109912044</c:v>
                </c:pt>
                <c:pt idx="1">
                  <c:v>13.216391481389671</c:v>
                </c:pt>
                <c:pt idx="2">
                  <c:v>12.807243427337294</c:v>
                </c:pt>
                <c:pt idx="3">
                  <c:v>13.28662974657532</c:v>
                </c:pt>
                <c:pt idx="4">
                  <c:v>12.792955038167982</c:v>
                </c:pt>
                <c:pt idx="5">
                  <c:v>9.6007304215534433</c:v>
                </c:pt>
                <c:pt idx="6">
                  <c:v>10.781315285469166</c:v>
                </c:pt>
                <c:pt idx="7">
                  <c:v>10.643404339962887</c:v>
                </c:pt>
                <c:pt idx="8">
                  <c:v>10.041049778992537</c:v>
                </c:pt>
                <c:pt idx="9">
                  <c:v>0</c:v>
                </c:pt>
              </c:numCache>
            </c:numRef>
          </c:val>
          <c:smooth val="0"/>
        </c:ser>
        <c:ser>
          <c:idx val="2"/>
          <c:order val="2"/>
          <c:tx>
            <c:v>S. SALUD</c:v>
          </c:tx>
          <c:spPr>
            <a:ln w="38100">
              <a:solidFill>
                <a:srgbClr val="336666"/>
              </a:solidFill>
              <a:prstDash val="solid"/>
            </a:ln>
          </c:spPr>
          <c:marker>
            <c:symbol val="none"/>
          </c:marker>
          <c:cat>
            <c:numRef>
              <c:f>'18'!$A$11:$A$20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'18'!$G$11:$G$20</c:f>
              <c:numCache>
                <c:formatCode>0.0</c:formatCode>
                <c:ptCount val="10"/>
                <c:pt idx="0">
                  <c:v>14.510724123588362</c:v>
                </c:pt>
                <c:pt idx="1">
                  <c:v>14.774428217994556</c:v>
                </c:pt>
                <c:pt idx="2">
                  <c:v>14.261651619735332</c:v>
                </c:pt>
                <c:pt idx="3">
                  <c:v>14.24510075571531</c:v>
                </c:pt>
                <c:pt idx="4">
                  <c:v>14.488128669900433</c:v>
                </c:pt>
                <c:pt idx="5">
                  <c:v>12.223340600730205</c:v>
                </c:pt>
                <c:pt idx="6">
                  <c:v>10.933995955265679</c:v>
                </c:pt>
                <c:pt idx="7">
                  <c:v>11.273156701225123</c:v>
                </c:pt>
                <c:pt idx="8">
                  <c:v>11.09335506958819</c:v>
                </c:pt>
                <c:pt idx="9">
                  <c:v>9.2107027660340339</c:v>
                </c:pt>
              </c:numCache>
            </c:numRef>
          </c:val>
          <c:smooth val="0"/>
        </c:ser>
        <c:dLbls>
          <c:showLegendKey val="0"/>
          <c:showVal val="0"/>
          <c:showCatName val="0"/>
          <c:showSerName val="0"/>
          <c:showPercent val="0"/>
          <c:showBubbleSize val="0"/>
        </c:dLbls>
        <c:smooth val="0"/>
        <c:axId val="272003184"/>
        <c:axId val="272003576"/>
      </c:lineChart>
      <c:catAx>
        <c:axId val="27200318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3995680345572524E-3"/>
              <c:y val="0.11502372062647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72003576"/>
        <c:crosses val="autoZero"/>
        <c:auto val="1"/>
        <c:lblAlgn val="ctr"/>
        <c:lblOffset val="100"/>
        <c:tickLblSkip val="1"/>
        <c:tickMarkSkip val="1"/>
        <c:noMultiLvlLbl val="0"/>
      </c:catAx>
      <c:valAx>
        <c:axId val="272003576"/>
        <c:scaling>
          <c:orientation val="minMax"/>
          <c:max val="15"/>
          <c:min val="9"/>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72003184"/>
        <c:crosses val="autoZero"/>
        <c:crossBetween val="between"/>
      </c:valAx>
      <c:spPr>
        <a:noFill/>
        <a:ln w="25400">
          <a:noFill/>
        </a:ln>
      </c:spPr>
    </c:plotArea>
    <c:legend>
      <c:legendPos val="r"/>
      <c:layout>
        <c:manualLayout>
          <c:xMode val="edge"/>
          <c:yMode val="edge"/>
          <c:x val="0.17879962491223614"/>
          <c:y val="0.91079997558444736"/>
          <c:w val="0.56049006441519778"/>
          <c:h val="6.338052813820810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s-ES" sz="1400"/>
              <a:t>TASA MORT. FETAL PAIS REGION SERV. SALUD
AÑOS  2011 - 2020 (tasa  x mil nac. vivos)
 </a:t>
            </a:r>
          </a:p>
        </c:rich>
      </c:tx>
      <c:layout>
        <c:manualLayout>
          <c:xMode val="edge"/>
          <c:yMode val="edge"/>
          <c:x val="0.16607248738457456"/>
          <c:y val="3.0588307609089854E-2"/>
        </c:manualLayout>
      </c:layout>
      <c:overlay val="0"/>
      <c:spPr>
        <a:noFill/>
        <a:ln w="25400">
          <a:noFill/>
        </a:ln>
      </c:spPr>
    </c:title>
    <c:autoTitleDeleted val="0"/>
    <c:plotArea>
      <c:layout>
        <c:manualLayout>
          <c:layoutTarget val="inner"/>
          <c:xMode val="edge"/>
          <c:yMode val="edge"/>
          <c:x val="7.3612724738067112E-2"/>
          <c:y val="0.32000000000001261"/>
          <c:w val="0.92185781441212844"/>
          <c:h val="0.47764705882351505"/>
        </c:manualLayout>
      </c:layout>
      <c:lineChart>
        <c:grouping val="standard"/>
        <c:varyColors val="0"/>
        <c:ser>
          <c:idx val="0"/>
          <c:order val="0"/>
          <c:tx>
            <c:v>PAIS</c:v>
          </c:tx>
          <c:spPr>
            <a:ln w="38100">
              <a:solidFill>
                <a:srgbClr val="FF0000"/>
              </a:solidFill>
              <a:prstDash val="solid"/>
            </a:ln>
          </c:spPr>
          <c:marker>
            <c:symbol val="none"/>
          </c:marker>
          <c:cat>
            <c:numRef>
              <c:f>'19'!$A$11:$A$20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'19'!$C$11:$C$18</c:f>
              <c:numCache>
                <c:formatCode>0.0</c:formatCode>
                <c:ptCount val="8"/>
                <c:pt idx="0">
                  <c:v>8.42979921970114</c:v>
                </c:pt>
                <c:pt idx="1">
                  <c:v>8.4639421302561324</c:v>
                </c:pt>
                <c:pt idx="2">
                  <c:v>8.6361852027850663</c:v>
                </c:pt>
                <c:pt idx="3">
                  <c:v>8.4639421302561324</c:v>
                </c:pt>
                <c:pt idx="4">
                  <c:v>8.2887154125965576</c:v>
                </c:pt>
                <c:pt idx="7">
                  <c:v>0.78419572066218945</c:v>
                </c:pt>
              </c:numCache>
            </c:numRef>
          </c:val>
          <c:smooth val="0"/>
        </c:ser>
        <c:ser>
          <c:idx val="1"/>
          <c:order val="1"/>
          <c:tx>
            <c:v>REGION</c:v>
          </c:tx>
          <c:spPr>
            <a:ln w="38100">
              <a:solidFill>
                <a:srgbClr val="333399"/>
              </a:solidFill>
              <a:prstDash val="solid"/>
            </a:ln>
          </c:spPr>
          <c:marker>
            <c:symbol val="none"/>
          </c:marker>
          <c:cat>
            <c:numRef>
              <c:f>'19'!$A$11:$A$20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'19'!$E$11:$E$18</c:f>
              <c:numCache>
                <c:formatCode>0.0</c:formatCode>
                <c:ptCount val="8"/>
                <c:pt idx="0">
                  <c:v>7.6390647421288094</c:v>
                </c:pt>
                <c:pt idx="1">
                  <c:v>7.4092891316313141</c:v>
                </c:pt>
                <c:pt idx="2">
                  <c:v>6.9615600812902665</c:v>
                </c:pt>
                <c:pt idx="3">
                  <c:v>0</c:v>
                </c:pt>
                <c:pt idx="4">
                  <c:v>6.864988558352402</c:v>
                </c:pt>
                <c:pt idx="7">
                  <c:v>0.88526041410514933</c:v>
                </c:pt>
              </c:numCache>
            </c:numRef>
          </c:val>
          <c:smooth val="0"/>
        </c:ser>
        <c:ser>
          <c:idx val="2"/>
          <c:order val="2"/>
          <c:tx>
            <c:v>S. SALUD</c:v>
          </c:tx>
          <c:spPr>
            <a:ln w="38100">
              <a:solidFill>
                <a:srgbClr val="336666"/>
              </a:solidFill>
              <a:prstDash val="solid"/>
            </a:ln>
          </c:spPr>
          <c:marker>
            <c:symbol val="none"/>
          </c:marker>
          <c:cat>
            <c:numRef>
              <c:f>'19'!$A$11:$A$20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'19'!$G$11:$G$20</c:f>
              <c:numCache>
                <c:formatCode>0.0</c:formatCode>
                <c:ptCount val="10"/>
                <c:pt idx="0">
                  <c:v>7.5716603569497023</c:v>
                </c:pt>
                <c:pt idx="1">
                  <c:v>9.1863517060367457</c:v>
                </c:pt>
                <c:pt idx="2">
                  <c:v>8.0710250201775615</c:v>
                </c:pt>
                <c:pt idx="3">
                  <c:v>0</c:v>
                </c:pt>
                <c:pt idx="4">
                  <c:v>7.2557657424203166</c:v>
                </c:pt>
                <c:pt idx="7">
                  <c:v>0.96401028277634959</c:v>
                </c:pt>
                <c:pt idx="8">
                  <c:v>0.6445375443119562</c:v>
                </c:pt>
                <c:pt idx="9">
                  <c:v>0</c:v>
                </c:pt>
              </c:numCache>
            </c:numRef>
          </c:val>
          <c:smooth val="0"/>
        </c:ser>
        <c:dLbls>
          <c:showLegendKey val="0"/>
          <c:showVal val="0"/>
          <c:showCatName val="0"/>
          <c:showSerName val="0"/>
          <c:showPercent val="0"/>
          <c:showBubbleSize val="0"/>
        </c:dLbls>
        <c:smooth val="0"/>
        <c:axId val="272004360"/>
        <c:axId val="272004752"/>
      </c:lineChart>
      <c:catAx>
        <c:axId val="27200436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6625141562853245E-3"/>
              <c:y val="0.18588235294117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72004752"/>
        <c:crosses val="autoZero"/>
        <c:auto val="1"/>
        <c:lblAlgn val="ctr"/>
        <c:lblOffset val="100"/>
        <c:tickLblSkip val="1"/>
        <c:tickMarkSkip val="1"/>
        <c:noMultiLvlLbl val="0"/>
      </c:catAx>
      <c:valAx>
        <c:axId val="272004752"/>
        <c:scaling>
          <c:orientation val="minMax"/>
          <c:max val="18"/>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72004360"/>
        <c:crosses val="autoZero"/>
        <c:crossBetween val="between"/>
      </c:valAx>
      <c:spPr>
        <a:noFill/>
        <a:ln w="25400">
          <a:noFill/>
        </a:ln>
      </c:spPr>
    </c:plotArea>
    <c:legend>
      <c:legendPos val="b"/>
      <c:layout>
        <c:manualLayout>
          <c:xMode val="edge"/>
          <c:yMode val="edge"/>
          <c:x val="0.19728891708441665"/>
          <c:y val="0.92941176470588238"/>
          <c:w val="0.5127909011373577"/>
          <c:h val="6.352941176471005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PERINATAL PAIS REGION SERV. SALUD
AÑOS  2011 - 2020 (tasa x mil nac. vivos)
 </a:t>
            </a:r>
          </a:p>
        </c:rich>
      </c:tx>
      <c:layout>
        <c:manualLayout>
          <c:xMode val="edge"/>
          <c:yMode val="edge"/>
          <c:x val="0.16867576146005006"/>
          <c:y val="3.1674186794066472E-2"/>
        </c:manualLayout>
      </c:layout>
      <c:overlay val="0"/>
      <c:spPr>
        <a:noFill/>
        <a:ln w="25400">
          <a:noFill/>
        </a:ln>
      </c:spPr>
    </c:title>
    <c:autoTitleDeleted val="0"/>
    <c:plotArea>
      <c:layout>
        <c:manualLayout>
          <c:layoutTarget val="inner"/>
          <c:xMode val="edge"/>
          <c:yMode val="edge"/>
          <c:x val="3.7542703825707291E-2"/>
          <c:y val="0.26470617477615815"/>
          <c:w val="0.94766885717620064"/>
          <c:h val="0.59502328176176245"/>
        </c:manualLayout>
      </c:layout>
      <c:lineChart>
        <c:grouping val="standard"/>
        <c:varyColors val="0"/>
        <c:ser>
          <c:idx val="0"/>
          <c:order val="0"/>
          <c:tx>
            <c:v>PAIS</c:v>
          </c:tx>
          <c:spPr>
            <a:ln w="38100">
              <a:solidFill>
                <a:srgbClr val="FF0000"/>
              </a:solidFill>
              <a:prstDash val="solid"/>
            </a:ln>
          </c:spPr>
          <c:marker>
            <c:symbol val="none"/>
          </c:marker>
          <c:cat>
            <c:numRef>
              <c:f>'20'!$A$11:$A$20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'20'!$C$11:$C$20</c:f>
              <c:numCache>
                <c:formatCode>0.0</c:formatCode>
                <c:ptCount val="10"/>
                <c:pt idx="0">
                  <c:v>12.721041148509919</c:v>
                </c:pt>
                <c:pt idx="1">
                  <c:v>12.704114689696462</c:v>
                </c:pt>
                <c:pt idx="2">
                  <c:v>12.826181277246338</c:v>
                </c:pt>
                <c:pt idx="3">
                  <c:v>12.704114689696462</c:v>
                </c:pt>
                <c:pt idx="4">
                  <c:v>12.330894674459476</c:v>
                </c:pt>
                <c:pt idx="5">
                  <c:v>4.0762399826727309</c:v>
                </c:pt>
                <c:pt idx="6">
                  <c:v>3.1914942119972824</c:v>
                </c:pt>
                <c:pt idx="7">
                  <c:v>3.4741694136313277</c:v>
                </c:pt>
                <c:pt idx="8">
                  <c:v>2.9610038665535927</c:v>
                </c:pt>
              </c:numCache>
            </c:numRef>
          </c:val>
          <c:smooth val="0"/>
        </c:ser>
        <c:ser>
          <c:idx val="1"/>
          <c:order val="1"/>
          <c:tx>
            <c:v>REGION</c:v>
          </c:tx>
          <c:spPr>
            <a:ln w="38100">
              <a:solidFill>
                <a:srgbClr val="333399"/>
              </a:solidFill>
              <a:prstDash val="solid"/>
            </a:ln>
          </c:spPr>
          <c:marker>
            <c:symbol val="none"/>
          </c:marker>
          <c:cat>
            <c:numRef>
              <c:f>'20'!$A$11:$A$20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'20'!$E$11:$E$20</c:f>
              <c:numCache>
                <c:formatCode>0.0</c:formatCode>
                <c:ptCount val="10"/>
                <c:pt idx="0">
                  <c:v>11.310880391660337</c:v>
                </c:pt>
                <c:pt idx="1">
                  <c:v>11.643168635420635</c:v>
                </c:pt>
                <c:pt idx="2">
                  <c:v>10.982833917066632</c:v>
                </c:pt>
                <c:pt idx="3">
                  <c:v>2.6808545739503424</c:v>
                </c:pt>
                <c:pt idx="4">
                  <c:v>9.5770828036274249</c:v>
                </c:pt>
                <c:pt idx="5">
                  <c:v>3.8553947588981394</c:v>
                </c:pt>
                <c:pt idx="6">
                  <c:v>3.4918605223036443</c:v>
                </c:pt>
                <c:pt idx="7">
                  <c:v>3.6394039246545025</c:v>
                </c:pt>
                <c:pt idx="8">
                  <c:v>4.1679530719357825</c:v>
                </c:pt>
              </c:numCache>
            </c:numRef>
          </c:val>
          <c:smooth val="0"/>
        </c:ser>
        <c:ser>
          <c:idx val="2"/>
          <c:order val="2"/>
          <c:tx>
            <c:v>S. SALUD</c:v>
          </c:tx>
          <c:spPr>
            <a:ln w="38100">
              <a:solidFill>
                <a:srgbClr val="336666"/>
              </a:solidFill>
              <a:prstDash val="solid"/>
            </a:ln>
          </c:spPr>
          <c:marker>
            <c:symbol val="none"/>
          </c:marker>
          <c:cat>
            <c:numRef>
              <c:f>'20'!$A$11:$A$20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'20'!$G$11:$G$20</c:f>
              <c:numCache>
                <c:formatCode>0.0</c:formatCode>
                <c:ptCount val="10"/>
                <c:pt idx="0">
                  <c:v>12.709572742022715</c:v>
                </c:pt>
                <c:pt idx="1">
                  <c:v>13.910761154855642</c:v>
                </c:pt>
                <c:pt idx="2">
                  <c:v>11.030400860909337</c:v>
                </c:pt>
                <c:pt idx="3">
                  <c:v>3.4638955502264852</c:v>
                </c:pt>
                <c:pt idx="4">
                  <c:v>10.624514122829748</c:v>
                </c:pt>
                <c:pt idx="5">
                  <c:v>2.4308720753570343</c:v>
                </c:pt>
                <c:pt idx="6">
                  <c:v>1.3427324605572339</c:v>
                </c:pt>
                <c:pt idx="7">
                  <c:v>4.1773778920308482</c:v>
                </c:pt>
                <c:pt idx="8">
                  <c:v>3.5449564937157589</c:v>
                </c:pt>
                <c:pt idx="9">
                  <c:v>4.5977011494252871</c:v>
                </c:pt>
              </c:numCache>
            </c:numRef>
          </c:val>
          <c:smooth val="0"/>
        </c:ser>
        <c:dLbls>
          <c:showLegendKey val="0"/>
          <c:showVal val="0"/>
          <c:showCatName val="0"/>
          <c:showSerName val="0"/>
          <c:showPercent val="0"/>
          <c:showBubbleSize val="0"/>
        </c:dLbls>
        <c:smooth val="0"/>
        <c:axId val="272121648"/>
        <c:axId val="272122040"/>
      </c:lineChart>
      <c:catAx>
        <c:axId val="272121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5.6882821387942133E-3"/>
              <c:y val="0.17873326920107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2122040"/>
        <c:crosses val="autoZero"/>
        <c:auto val="1"/>
        <c:lblAlgn val="ctr"/>
        <c:lblOffset val="100"/>
        <c:tickLblSkip val="1"/>
        <c:tickMarkSkip val="1"/>
        <c:noMultiLvlLbl val="0"/>
      </c:catAx>
      <c:valAx>
        <c:axId val="272122040"/>
        <c:scaling>
          <c:orientation val="minMax"/>
          <c:max val="25"/>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72121648"/>
        <c:crosses val="autoZero"/>
        <c:crossBetween val="between"/>
        <c:majorUnit val="4"/>
      </c:valAx>
      <c:spPr>
        <a:noFill/>
        <a:ln w="25400">
          <a:noFill/>
        </a:ln>
      </c:spPr>
    </c:plotArea>
    <c:legend>
      <c:legendPos val="b"/>
      <c:layout>
        <c:manualLayout>
          <c:xMode val="edge"/>
          <c:yMode val="edge"/>
          <c:x val="0.18521282275612991"/>
          <c:y val="0.93891497725680262"/>
          <c:w val="0.47804168068734998"/>
          <c:h val="5.429864253393393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6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NEO-PRECOZ PAIS REGION SERV. SALUD
AÑOS  2011 - 2020 (tasa x mil nac. vivos)
 </a:t>
            </a:r>
          </a:p>
        </c:rich>
      </c:tx>
      <c:layout>
        <c:manualLayout>
          <c:xMode val="edge"/>
          <c:yMode val="edge"/>
          <c:x val="0.1581482331861177"/>
          <c:y val="2.5510204081632647E-3"/>
        </c:manualLayout>
      </c:layout>
      <c:overlay val="0"/>
      <c:spPr>
        <a:noFill/>
        <a:ln w="25400">
          <a:noFill/>
        </a:ln>
      </c:spPr>
    </c:title>
    <c:autoTitleDeleted val="0"/>
    <c:plotArea>
      <c:layout>
        <c:manualLayout>
          <c:layoutTarget val="inner"/>
          <c:xMode val="edge"/>
          <c:yMode val="edge"/>
          <c:x val="6.1050133845264143E-2"/>
          <c:y val="0.22959183673469391"/>
          <c:w val="0.93609468627742287"/>
          <c:h val="0.57653061224490065"/>
        </c:manualLayout>
      </c:layout>
      <c:lineChart>
        <c:grouping val="standard"/>
        <c:varyColors val="0"/>
        <c:ser>
          <c:idx val="0"/>
          <c:order val="0"/>
          <c:tx>
            <c:v>PAIS</c:v>
          </c:tx>
          <c:spPr>
            <a:ln w="38100">
              <a:solidFill>
                <a:srgbClr val="FF0000"/>
              </a:solidFill>
              <a:prstDash val="solid"/>
            </a:ln>
          </c:spPr>
          <c:marker>
            <c:symbol val="none"/>
          </c:marker>
          <c:cat>
            <c:numRef>
              <c:f>'21'!$A$11:$A$20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'21'!$C$11:$C$20</c:f>
              <c:numCache>
                <c:formatCode>0.0</c:formatCode>
                <c:ptCount val="10"/>
                <c:pt idx="0">
                  <c:v>4.2912419288087786</c:v>
                </c:pt>
                <c:pt idx="1">
                  <c:v>4.2401725594403308</c:v>
                </c:pt>
                <c:pt idx="2">
                  <c:v>4.1899960744612716</c:v>
                </c:pt>
                <c:pt idx="3">
                  <c:v>4.2401725594403308</c:v>
                </c:pt>
                <c:pt idx="4">
                  <c:v>4.042179261862918</c:v>
                </c:pt>
                <c:pt idx="5">
                  <c:v>4.0762399826727309</c:v>
                </c:pt>
                <c:pt idx="6">
                  <c:v>3.1914942119972824</c:v>
                </c:pt>
                <c:pt idx="7">
                  <c:v>2.6899736929691382</c:v>
                </c:pt>
                <c:pt idx="8">
                  <c:v>2.9610038665535927</c:v>
                </c:pt>
              </c:numCache>
            </c:numRef>
          </c:val>
          <c:smooth val="0"/>
        </c:ser>
        <c:ser>
          <c:idx val="1"/>
          <c:order val="1"/>
          <c:tx>
            <c:v>REGION</c:v>
          </c:tx>
          <c:spPr>
            <a:ln w="38100">
              <a:solidFill>
                <a:srgbClr val="333399"/>
              </a:solidFill>
              <a:prstDash val="solid"/>
            </a:ln>
          </c:spPr>
          <c:marker>
            <c:symbol val="none"/>
          </c:marker>
          <c:cat>
            <c:numRef>
              <c:f>'21'!$A$11:$A$20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'21'!$E$11:$E$20</c:f>
              <c:numCache>
                <c:formatCode>0.0</c:formatCode>
                <c:ptCount val="10"/>
                <c:pt idx="0">
                  <c:v>3.6718156495315268</c:v>
                </c:pt>
                <c:pt idx="1">
                  <c:v>4.2338795037893222</c:v>
                </c:pt>
                <c:pt idx="2">
                  <c:v>4.0212738357763653</c:v>
                </c:pt>
                <c:pt idx="3">
                  <c:v>2.6808545739503424</c:v>
                </c:pt>
                <c:pt idx="4">
                  <c:v>2.7120942452750234</c:v>
                </c:pt>
                <c:pt idx="5">
                  <c:v>3.8553947588981394</c:v>
                </c:pt>
                <c:pt idx="6">
                  <c:v>3.4918605223036443</c:v>
                </c:pt>
                <c:pt idx="7">
                  <c:v>2.7541435105493535</c:v>
                </c:pt>
                <c:pt idx="8">
                  <c:v>3.3961099104661931</c:v>
                </c:pt>
              </c:numCache>
            </c:numRef>
          </c:val>
          <c:smooth val="0"/>
        </c:ser>
        <c:ser>
          <c:idx val="2"/>
          <c:order val="2"/>
          <c:tx>
            <c:v>S. SALUD</c:v>
          </c:tx>
          <c:spPr>
            <a:ln w="38100">
              <a:solidFill>
                <a:srgbClr val="336666"/>
              </a:solidFill>
              <a:prstDash val="solid"/>
            </a:ln>
          </c:spPr>
          <c:marker>
            <c:symbol val="none"/>
          </c:marker>
          <c:cat>
            <c:numRef>
              <c:f>'21'!$A$11:$A$20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'21'!$G$11:$G$20</c:f>
              <c:numCache>
                <c:formatCode>0.0</c:formatCode>
                <c:ptCount val="10"/>
                <c:pt idx="0">
                  <c:v>5.1379123850730126</c:v>
                </c:pt>
                <c:pt idx="1">
                  <c:v>4.7244094488188972</c:v>
                </c:pt>
                <c:pt idx="2">
                  <c:v>2.9593758407317732</c:v>
                </c:pt>
                <c:pt idx="3">
                  <c:v>3.4638955502264852</c:v>
                </c:pt>
                <c:pt idx="4">
                  <c:v>3.3687483804094325</c:v>
                </c:pt>
                <c:pt idx="5">
                  <c:v>2.4308720753570343</c:v>
                </c:pt>
                <c:pt idx="6">
                  <c:v>1.3427324605572339</c:v>
                </c:pt>
                <c:pt idx="7">
                  <c:v>3.2133676092544987</c:v>
                </c:pt>
                <c:pt idx="8">
                  <c:v>2.9004189494038028</c:v>
                </c:pt>
                <c:pt idx="9">
                  <c:v>4.5977011494252871</c:v>
                </c:pt>
              </c:numCache>
            </c:numRef>
          </c:val>
          <c:smooth val="0"/>
        </c:ser>
        <c:dLbls>
          <c:showLegendKey val="0"/>
          <c:showVal val="0"/>
          <c:showCatName val="0"/>
          <c:showSerName val="0"/>
          <c:showPercent val="0"/>
          <c:showBubbleSize val="0"/>
        </c:dLbls>
        <c:smooth val="0"/>
        <c:axId val="272122824"/>
        <c:axId val="272123216"/>
      </c:lineChart>
      <c:catAx>
        <c:axId val="272122824"/>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8.5470085470085496E-3"/>
              <c:y val="0.11479591836734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2123216"/>
        <c:crosses val="autoZero"/>
        <c:auto val="1"/>
        <c:lblAlgn val="ctr"/>
        <c:lblOffset val="100"/>
        <c:tickLblSkip val="1"/>
        <c:tickMarkSkip val="1"/>
        <c:noMultiLvlLbl val="0"/>
      </c:catAx>
      <c:valAx>
        <c:axId val="272123216"/>
        <c:scaling>
          <c:orientation val="minMax"/>
          <c:max val="7.5"/>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2122824"/>
        <c:crosses val="autoZero"/>
        <c:crossBetween val="between"/>
        <c:majorUnit val="1"/>
      </c:valAx>
      <c:spPr>
        <a:noFill/>
        <a:ln w="25400">
          <a:noFill/>
        </a:ln>
      </c:spPr>
    </c:plotArea>
    <c:legend>
      <c:legendPos val="b"/>
      <c:layout>
        <c:manualLayout>
          <c:xMode val="edge"/>
          <c:yMode val="edge"/>
          <c:x val="0.21593963704794197"/>
          <c:y val="0.91581632653061229"/>
          <c:w val="0.49468393637759267"/>
          <c:h val="6.887755102041059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NEONATAL  PAIS REGION SERV. SALUD
AÑOS  2011 - 2020 (tasa x mil nac. vivos)
 </a:t>
            </a:r>
          </a:p>
        </c:rich>
      </c:tx>
      <c:layout>
        <c:manualLayout>
          <c:xMode val="edge"/>
          <c:yMode val="edge"/>
          <c:x val="0.19070904645476774"/>
          <c:y val="3.3163265306122451E-2"/>
        </c:manualLayout>
      </c:layout>
      <c:overlay val="0"/>
      <c:spPr>
        <a:noFill/>
        <a:ln w="25400">
          <a:noFill/>
        </a:ln>
      </c:spPr>
    </c:title>
    <c:autoTitleDeleted val="0"/>
    <c:plotArea>
      <c:layout>
        <c:manualLayout>
          <c:layoutTarget val="inner"/>
          <c:xMode val="edge"/>
          <c:yMode val="edge"/>
          <c:x val="6.1124694376528114E-2"/>
          <c:y val="0.24744897959184958"/>
          <c:w val="0.92053789731051361"/>
          <c:h val="0.54846938775510157"/>
        </c:manualLayout>
      </c:layout>
      <c:lineChart>
        <c:grouping val="standard"/>
        <c:varyColors val="0"/>
        <c:ser>
          <c:idx val="0"/>
          <c:order val="0"/>
          <c:tx>
            <c:v>PAIS</c:v>
          </c:tx>
          <c:spPr>
            <a:ln w="38100">
              <a:solidFill>
                <a:srgbClr val="FF0000"/>
              </a:solidFill>
              <a:prstDash val="solid"/>
            </a:ln>
          </c:spPr>
          <c:marker>
            <c:symbol val="none"/>
          </c:marker>
          <c:cat>
            <c:numRef>
              <c:f>'22'!$A$11:$A$20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'22'!$C$11:$C$20</c:f>
              <c:numCache>
                <c:formatCode>0.0</c:formatCode>
                <c:ptCount val="10"/>
                <c:pt idx="0">
                  <c:v>5.4082505956709888</c:v>
                </c:pt>
                <c:pt idx="1">
                  <c:v>5.3596765330643246</c:v>
                </c:pt>
                <c:pt idx="2">
                  <c:v>5.1775789756409987</c:v>
                </c:pt>
                <c:pt idx="3">
                  <c:v>5.3596765330643246</c:v>
                </c:pt>
                <c:pt idx="4">
                  <c:v>5.1089222217680961</c:v>
                </c:pt>
                <c:pt idx="5">
                  <c:v>5.2371669915529564</c:v>
                </c:pt>
                <c:pt idx="6">
                  <c:v>4.3586692380991465</c:v>
                </c:pt>
                <c:pt idx="7">
                  <c:v>4.2902800764134899</c:v>
                </c:pt>
                <c:pt idx="8">
                  <c:v>4.1156995491416444</c:v>
                </c:pt>
              </c:numCache>
            </c:numRef>
          </c:val>
          <c:smooth val="0"/>
        </c:ser>
        <c:ser>
          <c:idx val="1"/>
          <c:order val="1"/>
          <c:tx>
            <c:v>REGION</c:v>
          </c:tx>
          <c:spPr>
            <a:ln w="38100">
              <a:solidFill>
                <a:srgbClr val="333399"/>
              </a:solidFill>
              <a:prstDash val="solid"/>
            </a:ln>
          </c:spPr>
          <c:marker>
            <c:symbol val="none"/>
          </c:marker>
          <c:cat>
            <c:numRef>
              <c:f>'22'!$A$11:$A$20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'22'!$E$11:$E$20</c:f>
              <c:numCache>
                <c:formatCode>0.0</c:formatCode>
                <c:ptCount val="10"/>
                <c:pt idx="0">
                  <c:v>4.5581159787287922</c:v>
                </c:pt>
                <c:pt idx="1">
                  <c:v>5.3346881747745458</c:v>
                </c:pt>
                <c:pt idx="2">
                  <c:v>5.0157824188178317</c:v>
                </c:pt>
                <c:pt idx="3">
                  <c:v>3.3407572383073498</c:v>
                </c:pt>
                <c:pt idx="4">
                  <c:v>4.7885414018137125</c:v>
                </c:pt>
                <c:pt idx="5">
                  <c:v>5.028775772475834</c:v>
                </c:pt>
                <c:pt idx="6">
                  <c:v>5.1640190822800376</c:v>
                </c:pt>
                <c:pt idx="7">
                  <c:v>4.0328529975901244</c:v>
                </c:pt>
                <c:pt idx="8">
                  <c:v>4.4766903365236184</c:v>
                </c:pt>
              </c:numCache>
            </c:numRef>
          </c:val>
          <c:smooth val="0"/>
        </c:ser>
        <c:ser>
          <c:idx val="2"/>
          <c:order val="2"/>
          <c:tx>
            <c:v>S. SALUD</c:v>
          </c:tx>
          <c:spPr>
            <a:ln w="38100">
              <a:solidFill>
                <a:srgbClr val="336666"/>
              </a:solidFill>
              <a:prstDash val="solid"/>
            </a:ln>
          </c:spPr>
          <c:marker>
            <c:symbol val="none"/>
          </c:marker>
          <c:cat>
            <c:numRef>
              <c:f>'22'!$A$11:$A$20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'22'!$G$11:$G$20</c:f>
              <c:numCache>
                <c:formatCode>0.0</c:formatCode>
                <c:ptCount val="10"/>
                <c:pt idx="0">
                  <c:v>6.2195781503515413</c:v>
                </c:pt>
                <c:pt idx="1">
                  <c:v>7.349081364829396</c:v>
                </c:pt>
                <c:pt idx="2">
                  <c:v>4.5735808447672852</c:v>
                </c:pt>
                <c:pt idx="3">
                  <c:v>5.329070077271516</c:v>
                </c:pt>
                <c:pt idx="4">
                  <c:v>5.9600932884166884</c:v>
                </c:pt>
                <c:pt idx="5">
                  <c:v>3.0385900941962931</c:v>
                </c:pt>
                <c:pt idx="6">
                  <c:v>4.0281973816717018</c:v>
                </c:pt>
                <c:pt idx="7">
                  <c:v>4.4987146529562985</c:v>
                </c:pt>
                <c:pt idx="8">
                  <c:v>5.1563003544956496</c:v>
                </c:pt>
                <c:pt idx="9">
                  <c:v>4.9808429118773949</c:v>
                </c:pt>
              </c:numCache>
            </c:numRef>
          </c:val>
          <c:smooth val="0"/>
        </c:ser>
        <c:dLbls>
          <c:showLegendKey val="0"/>
          <c:showVal val="0"/>
          <c:showCatName val="0"/>
          <c:showSerName val="0"/>
          <c:showPercent val="0"/>
          <c:showBubbleSize val="0"/>
        </c:dLbls>
        <c:smooth val="0"/>
        <c:axId val="272124000"/>
        <c:axId val="272124392"/>
      </c:lineChart>
      <c:catAx>
        <c:axId val="27212400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6.1124694376529023E-3"/>
              <c:y val="0.13520408163265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2124392"/>
        <c:crosses val="autoZero"/>
        <c:auto val="1"/>
        <c:lblAlgn val="ctr"/>
        <c:lblOffset val="100"/>
        <c:tickLblSkip val="1"/>
        <c:tickMarkSkip val="1"/>
        <c:noMultiLvlLbl val="0"/>
      </c:catAx>
      <c:valAx>
        <c:axId val="272124392"/>
        <c:scaling>
          <c:orientation val="minMax"/>
          <c:max val="9"/>
          <c:min val="2.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2124000"/>
        <c:crosses val="autoZero"/>
        <c:crossBetween val="between"/>
        <c:majorUnit val="1"/>
      </c:valAx>
      <c:spPr>
        <a:noFill/>
        <a:ln w="25400">
          <a:noFill/>
        </a:ln>
      </c:spPr>
    </c:plotArea>
    <c:legend>
      <c:legendPos val="b"/>
      <c:layout>
        <c:manualLayout>
          <c:xMode val="edge"/>
          <c:yMode val="edge"/>
          <c:x val="0.22874654181740803"/>
          <c:y val="0.92346938775510157"/>
          <c:w val="0.44851509777494036"/>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2019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47.599999999999994</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50331392"/>
        <c:axId val="270142608"/>
      </c:barChart>
      <c:catAx>
        <c:axId val="2503313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70142608"/>
        <c:crosses val="autoZero"/>
        <c:auto val="0"/>
        <c:lblAlgn val="ctr"/>
        <c:lblOffset val="100"/>
        <c:tickLblSkip val="1"/>
        <c:tickMarkSkip val="1"/>
        <c:noMultiLvlLbl val="0"/>
      </c:catAx>
      <c:valAx>
        <c:axId val="270142608"/>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50331392"/>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TARDIA  PAIS REGION SERV. SALUD
AÑOS  2011 - 2020 (tasa x mil nac. vivos)</a:t>
            </a:r>
            <a:r>
              <a:rPr lang="es-ES"/>
              <a:t>
 </a:t>
            </a:r>
          </a:p>
        </c:rich>
      </c:tx>
      <c:layout>
        <c:manualLayout>
          <c:xMode val="edge"/>
          <c:yMode val="edge"/>
          <c:x val="0.15892420537897844"/>
          <c:y val="3.3163265306122451E-2"/>
        </c:manualLayout>
      </c:layout>
      <c:overlay val="0"/>
      <c:spPr>
        <a:noFill/>
        <a:ln w="25400">
          <a:noFill/>
        </a:ln>
      </c:spPr>
    </c:title>
    <c:autoTitleDeleted val="0"/>
    <c:plotArea>
      <c:layout>
        <c:manualLayout>
          <c:layoutTarget val="inner"/>
          <c:xMode val="edge"/>
          <c:yMode val="edge"/>
          <c:x val="6.1124694376528114E-2"/>
          <c:y val="0.22959183673469391"/>
          <c:w val="0.92176039119804398"/>
          <c:h val="0.57653061224490065"/>
        </c:manualLayout>
      </c:layout>
      <c:lineChart>
        <c:grouping val="standard"/>
        <c:varyColors val="0"/>
        <c:ser>
          <c:idx val="0"/>
          <c:order val="0"/>
          <c:tx>
            <c:v>PAIS</c:v>
          </c:tx>
          <c:spPr>
            <a:ln w="38100">
              <a:solidFill>
                <a:srgbClr val="FF0000"/>
              </a:solidFill>
              <a:prstDash val="solid"/>
            </a:ln>
          </c:spPr>
          <c:marker>
            <c:symbol val="none"/>
          </c:marker>
          <c:cat>
            <c:numRef>
              <c:f>'23'!$A$11:$A$20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'23'!$C$11:$C$20</c:f>
              <c:numCache>
                <c:formatCode>0.0</c:formatCode>
                <c:ptCount val="10"/>
                <c:pt idx="0">
                  <c:v>2.2581254344480648</c:v>
                </c:pt>
                <c:pt idx="1">
                  <c:v>2.0708773138465828</c:v>
                </c:pt>
                <c:pt idx="2">
                  <c:v>1.8140121071878681</c:v>
                </c:pt>
                <c:pt idx="3">
                  <c:v>2.0708773138465828</c:v>
                </c:pt>
                <c:pt idx="4">
                  <c:v>1.7697306576204686</c:v>
                </c:pt>
                <c:pt idx="5">
                  <c:v>1.6764132553606237</c:v>
                </c:pt>
                <c:pt idx="6">
                  <c:v>1.5729507187700893</c:v>
                </c:pt>
                <c:pt idx="7">
                  <c:v>1.6094249383357726</c:v>
                </c:pt>
                <c:pt idx="8">
                  <c:v>1.6673614005835766</c:v>
                </c:pt>
              </c:numCache>
            </c:numRef>
          </c:val>
          <c:smooth val="0"/>
        </c:ser>
        <c:ser>
          <c:idx val="1"/>
          <c:order val="1"/>
          <c:tx>
            <c:v>REGION</c:v>
          </c:tx>
          <c:spPr>
            <a:ln w="38100">
              <a:solidFill>
                <a:srgbClr val="333399"/>
              </a:solidFill>
              <a:prstDash val="solid"/>
            </a:ln>
          </c:spPr>
          <c:marker>
            <c:symbol val="none"/>
          </c:marker>
          <c:cat>
            <c:numRef>
              <c:f>'23'!$A$11:$A$20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'23'!$E$11:$E$20</c:f>
              <c:numCache>
                <c:formatCode>0.0</c:formatCode>
                <c:ptCount val="10"/>
                <c:pt idx="0">
                  <c:v>2.5322866548493286</c:v>
                </c:pt>
                <c:pt idx="1">
                  <c:v>2.243956137008341</c:v>
                </c:pt>
                <c:pt idx="2">
                  <c:v>1.7295801444199421</c:v>
                </c:pt>
                <c:pt idx="3">
                  <c:v>1.6497566608925183</c:v>
                </c:pt>
                <c:pt idx="4">
                  <c:v>1.8221883210441563</c:v>
                </c:pt>
                <c:pt idx="5">
                  <c:v>2.626138458959602</c:v>
                </c:pt>
                <c:pt idx="6">
                  <c:v>1.868883096444204</c:v>
                </c:pt>
                <c:pt idx="7">
                  <c:v>1.868883096444204</c:v>
                </c:pt>
                <c:pt idx="8">
                  <c:v>1.5951425337038181</c:v>
                </c:pt>
              </c:numCache>
            </c:numRef>
          </c:val>
          <c:smooth val="0"/>
        </c:ser>
        <c:ser>
          <c:idx val="2"/>
          <c:order val="2"/>
          <c:tx>
            <c:v>S. SALUD</c:v>
          </c:tx>
          <c:spPr>
            <a:ln w="38100">
              <a:solidFill>
                <a:srgbClr val="336666"/>
              </a:solidFill>
              <a:prstDash val="solid"/>
            </a:ln>
          </c:spPr>
          <c:marker>
            <c:symbol val="none"/>
          </c:marker>
          <c:cat>
            <c:numRef>
              <c:f>'23'!$A$11:$A$20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'23'!$G$11:$G$20</c:f>
              <c:numCache>
                <c:formatCode>0.0</c:formatCode>
                <c:ptCount val="10"/>
                <c:pt idx="0">
                  <c:v>1.6224986479177934</c:v>
                </c:pt>
                <c:pt idx="1">
                  <c:v>1.5748031496062991</c:v>
                </c:pt>
                <c:pt idx="2">
                  <c:v>1.6142050040355125</c:v>
                </c:pt>
                <c:pt idx="3">
                  <c:v>2.1316280309086064</c:v>
                </c:pt>
                <c:pt idx="4">
                  <c:v>1.8139414356050791</c:v>
                </c:pt>
                <c:pt idx="5">
                  <c:v>1.8231540565177757</c:v>
                </c:pt>
                <c:pt idx="6">
                  <c:v>2.3497818059751596</c:v>
                </c:pt>
                <c:pt idx="7">
                  <c:v>1.6066838046272494</c:v>
                </c:pt>
                <c:pt idx="8">
                  <c:v>0.96680631646793425</c:v>
                </c:pt>
                <c:pt idx="9">
                  <c:v>1.1494252873563218</c:v>
                </c:pt>
              </c:numCache>
            </c:numRef>
          </c:val>
          <c:smooth val="0"/>
        </c:ser>
        <c:dLbls>
          <c:showLegendKey val="0"/>
          <c:showVal val="0"/>
          <c:showCatName val="0"/>
          <c:showSerName val="0"/>
          <c:showPercent val="0"/>
          <c:showBubbleSize val="0"/>
        </c:dLbls>
        <c:smooth val="0"/>
        <c:axId val="271007560"/>
        <c:axId val="271007952"/>
      </c:lineChart>
      <c:catAx>
        <c:axId val="27100756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s-ES"/>
                  <a:t>0/00</a:t>
                </a:r>
              </a:p>
            </c:rich>
          </c:tx>
          <c:layout>
            <c:manualLayout>
              <c:xMode val="edge"/>
              <c:yMode val="edge"/>
              <c:x val="1.7114914425427872E-2"/>
              <c:y val="0.132653061224489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1007952"/>
        <c:crosses val="autoZero"/>
        <c:auto val="1"/>
        <c:lblAlgn val="ctr"/>
        <c:lblOffset val="100"/>
        <c:tickLblSkip val="1"/>
        <c:tickMarkSkip val="1"/>
        <c:noMultiLvlLbl val="0"/>
      </c:catAx>
      <c:valAx>
        <c:axId val="271007952"/>
        <c:scaling>
          <c:orientation val="minMax"/>
          <c:max val="3.6"/>
          <c:min val="0.6000000000000006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1007560"/>
        <c:crosses val="autoZero"/>
        <c:crossBetween val="between"/>
      </c:valAx>
      <c:spPr>
        <a:noFill/>
        <a:ln w="25400">
          <a:noFill/>
        </a:ln>
      </c:spPr>
    </c:plotArea>
    <c:legend>
      <c:legendPos val="b"/>
      <c:layout>
        <c:manualLayout>
          <c:xMode val="edge"/>
          <c:yMode val="edge"/>
          <c:x val="0.30402873516243006"/>
          <c:y val="0.91326530612244849"/>
          <c:w val="0.46391030705936848"/>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PAIS REGION SERV. SALUD
AÑOS  2011 - 2020 (tasa x mil nac. vivos)
 </a:t>
            </a:r>
          </a:p>
        </c:rich>
      </c:tx>
      <c:layout>
        <c:manualLayout>
          <c:xMode val="edge"/>
          <c:yMode val="edge"/>
          <c:x val="0.20271939112747189"/>
          <c:y val="3.3078880407125012E-2"/>
        </c:manualLayout>
      </c:layout>
      <c:overlay val="0"/>
      <c:spPr>
        <a:noFill/>
        <a:ln w="25400">
          <a:noFill/>
        </a:ln>
      </c:spPr>
    </c:title>
    <c:autoTitleDeleted val="0"/>
    <c:plotArea>
      <c:layout>
        <c:manualLayout>
          <c:layoutTarget val="inner"/>
          <c:xMode val="edge"/>
          <c:yMode val="edge"/>
          <c:x val="5.4388133498145932E-2"/>
          <c:y val="0.23409727381837558"/>
          <c:w val="0.94066749072929545"/>
          <c:h val="0.58778772013089997"/>
        </c:manualLayout>
      </c:layout>
      <c:lineChart>
        <c:grouping val="standard"/>
        <c:varyColors val="0"/>
        <c:ser>
          <c:idx val="0"/>
          <c:order val="0"/>
          <c:tx>
            <c:v>PAIS</c:v>
          </c:tx>
          <c:spPr>
            <a:ln w="38100">
              <a:solidFill>
                <a:srgbClr val="FF0000"/>
              </a:solidFill>
              <a:prstDash val="solid"/>
            </a:ln>
          </c:spPr>
          <c:marker>
            <c:symbol val="none"/>
          </c:marker>
          <c:cat>
            <c:numRef>
              <c:f>'24'!$A$11:$A$20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'24'!$C$11:$C$20</c:f>
              <c:numCache>
                <c:formatCode>0.0</c:formatCode>
                <c:ptCount val="10"/>
                <c:pt idx="0">
                  <c:v>7.6663760301190536</c:v>
                </c:pt>
                <c:pt idx="1">
                  <c:v>7.4305538469109074</c:v>
                </c:pt>
                <c:pt idx="2">
                  <c:v>6.991591082828867</c:v>
                </c:pt>
                <c:pt idx="3">
                  <c:v>7.4305538469109074</c:v>
                </c:pt>
                <c:pt idx="4">
                  <c:v>6.8786528793885644</c:v>
                </c:pt>
                <c:pt idx="5">
                  <c:v>6.9135802469135808</c:v>
                </c:pt>
                <c:pt idx="6">
                  <c:v>5.9316199568692358</c:v>
                </c:pt>
                <c:pt idx="7">
                  <c:v>5.8997050147492622</c:v>
                </c:pt>
                <c:pt idx="8">
                  <c:v>5.783060949725221</c:v>
                </c:pt>
              </c:numCache>
            </c:numRef>
          </c:val>
          <c:smooth val="0"/>
        </c:ser>
        <c:ser>
          <c:idx val="1"/>
          <c:order val="1"/>
          <c:tx>
            <c:v>REGION</c:v>
          </c:tx>
          <c:spPr>
            <a:ln w="38100">
              <a:solidFill>
                <a:srgbClr val="333399"/>
              </a:solidFill>
              <a:prstDash val="solid"/>
            </a:ln>
          </c:spPr>
          <c:marker>
            <c:symbol val="none"/>
          </c:marker>
          <c:cat>
            <c:numRef>
              <c:f>'24'!$A$11:$A$20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'24'!$E$11:$E$20</c:f>
              <c:numCache>
                <c:formatCode>0.0</c:formatCode>
                <c:ptCount val="10"/>
                <c:pt idx="0">
                  <c:v>7.0904026335781216</c:v>
                </c:pt>
                <c:pt idx="1">
                  <c:v>7.5786443117828863</c:v>
                </c:pt>
                <c:pt idx="2">
                  <c:v>6.7453625632377738</c:v>
                </c:pt>
                <c:pt idx="3">
                  <c:v>4.9905138991998683</c:v>
                </c:pt>
                <c:pt idx="4">
                  <c:v>6.6107297228578688</c:v>
                </c:pt>
                <c:pt idx="5">
                  <c:v>7.6549142314354368</c:v>
                </c:pt>
                <c:pt idx="6">
                  <c:v>7.0329021787242416</c:v>
                </c:pt>
                <c:pt idx="7">
                  <c:v>5.9017360940343284</c:v>
                </c:pt>
                <c:pt idx="8">
                  <c:v>6.0718328702274365</c:v>
                </c:pt>
              </c:numCache>
            </c:numRef>
          </c:val>
          <c:smooth val="0"/>
        </c:ser>
        <c:ser>
          <c:idx val="2"/>
          <c:order val="2"/>
          <c:tx>
            <c:v>S. SALUD</c:v>
          </c:tx>
          <c:spPr>
            <a:ln w="38100">
              <a:solidFill>
                <a:srgbClr val="336666"/>
              </a:solidFill>
              <a:prstDash val="solid"/>
            </a:ln>
          </c:spPr>
          <c:marker>
            <c:symbol val="none"/>
          </c:marker>
          <c:cat>
            <c:numRef>
              <c:f>'24'!$A$11:$A$20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'24'!$G$11:$G$20</c:f>
              <c:numCache>
                <c:formatCode>0.0</c:formatCode>
                <c:ptCount val="10"/>
                <c:pt idx="0">
                  <c:v>7.8420767982693338</c:v>
                </c:pt>
                <c:pt idx="1">
                  <c:v>8.9238845144356951</c:v>
                </c:pt>
                <c:pt idx="2">
                  <c:v>6.1877858488027986</c:v>
                </c:pt>
                <c:pt idx="3">
                  <c:v>7.4606981081801225</c:v>
                </c:pt>
                <c:pt idx="4">
                  <c:v>7.7740347240217673</c:v>
                </c:pt>
                <c:pt idx="5">
                  <c:v>4.8617441507140686</c:v>
                </c:pt>
                <c:pt idx="6">
                  <c:v>6.3779791876468614</c:v>
                </c:pt>
                <c:pt idx="7">
                  <c:v>6.1053984575835472</c:v>
                </c:pt>
                <c:pt idx="8">
                  <c:v>6.1231066709635842</c:v>
                </c:pt>
                <c:pt idx="9">
                  <c:v>6.1302681992337167</c:v>
                </c:pt>
              </c:numCache>
            </c:numRef>
          </c:val>
          <c:smooth val="0"/>
        </c:ser>
        <c:dLbls>
          <c:showLegendKey val="0"/>
          <c:showVal val="0"/>
          <c:showCatName val="0"/>
          <c:showSerName val="0"/>
          <c:showPercent val="0"/>
          <c:showBubbleSize val="0"/>
        </c:dLbls>
        <c:smooth val="0"/>
        <c:axId val="271008736"/>
        <c:axId val="271009128"/>
      </c:lineChart>
      <c:catAx>
        <c:axId val="271008736"/>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0/00</a:t>
                </a:r>
              </a:p>
            </c:rich>
          </c:tx>
          <c:layout>
            <c:manualLayout>
              <c:xMode val="edge"/>
              <c:yMode val="edge"/>
              <c:x val="6.1804927195839134E-3"/>
              <c:y val="0.139949376556950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1" u="none" strike="noStrike" baseline="0">
                <a:solidFill>
                  <a:srgbClr val="000000"/>
                </a:solidFill>
                <a:latin typeface="Arial"/>
                <a:ea typeface="Arial"/>
                <a:cs typeface="Arial"/>
              </a:defRPr>
            </a:pPr>
            <a:endParaRPr lang="es-CL"/>
          </a:p>
        </c:txPr>
        <c:crossAx val="271009128"/>
        <c:crosses val="autoZero"/>
        <c:auto val="1"/>
        <c:lblAlgn val="ctr"/>
        <c:lblOffset val="100"/>
        <c:tickLblSkip val="1"/>
        <c:tickMarkSkip val="1"/>
        <c:noMultiLvlLbl val="0"/>
      </c:catAx>
      <c:valAx>
        <c:axId val="271009128"/>
        <c:scaling>
          <c:orientation val="minMax"/>
          <c:max val="11"/>
          <c:min val="4.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950" b="1" i="1" u="none" strike="noStrike" baseline="0">
                <a:solidFill>
                  <a:srgbClr val="000000"/>
                </a:solidFill>
                <a:latin typeface="Arial"/>
                <a:ea typeface="Arial"/>
                <a:cs typeface="Arial"/>
              </a:defRPr>
            </a:pPr>
            <a:endParaRPr lang="es-CL"/>
          </a:p>
        </c:txPr>
        <c:crossAx val="271008736"/>
        <c:crosses val="autoZero"/>
        <c:crossBetween val="between"/>
        <c:majorUnit val="2"/>
      </c:valAx>
      <c:spPr>
        <a:noFill/>
        <a:ln w="25400">
          <a:noFill/>
        </a:ln>
      </c:spPr>
    </c:plotArea>
    <c:legend>
      <c:legendPos val="b"/>
      <c:layout>
        <c:manualLayout>
          <c:xMode val="edge"/>
          <c:yMode val="edge"/>
          <c:x val="0.28661128202348202"/>
          <c:y val="0.92112199715493581"/>
          <c:w val="0.42167048396058937"/>
          <c:h val="6.8702557218515994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a:t>TASA MORT. MATERNA PAIS REGION SERV. SALUD
AÑOS  2011 - 2020 (tasa x 10mil nac. vivos)
 </a:t>
            </a:r>
          </a:p>
        </c:rich>
      </c:tx>
      <c:layout>
        <c:manualLayout>
          <c:xMode val="edge"/>
          <c:yMode val="edge"/>
          <c:x val="0.1926492252984506"/>
          <c:y val="3.3163297335924616E-2"/>
        </c:manualLayout>
      </c:layout>
      <c:overlay val="0"/>
      <c:spPr>
        <a:noFill/>
        <a:ln w="25400">
          <a:noFill/>
        </a:ln>
      </c:spPr>
    </c:title>
    <c:autoTitleDeleted val="0"/>
    <c:plotArea>
      <c:layout>
        <c:manualLayout>
          <c:layoutTarget val="inner"/>
          <c:xMode val="edge"/>
          <c:yMode val="edge"/>
          <c:x val="5.7034291124909049E-2"/>
          <c:y val="0.24489795918367346"/>
          <c:w val="0.92268808753179465"/>
          <c:h val="0.55102040816326525"/>
        </c:manualLayout>
      </c:layout>
      <c:lineChart>
        <c:grouping val="standard"/>
        <c:varyColors val="0"/>
        <c:ser>
          <c:idx val="0"/>
          <c:order val="0"/>
          <c:tx>
            <c:v>PAIS</c:v>
          </c:tx>
          <c:spPr>
            <a:ln w="38100">
              <a:solidFill>
                <a:srgbClr val="FF0000"/>
              </a:solidFill>
              <a:prstDash val="solid"/>
            </a:ln>
          </c:spPr>
          <c:marker>
            <c:symbol val="none"/>
          </c:marker>
          <c:cat>
            <c:numRef>
              <c:f>'25'!$A$11:$A$20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'25'!$C$11:$C$19</c:f>
              <c:numCache>
                <c:formatCode>0.0</c:formatCode>
                <c:ptCount val="9"/>
                <c:pt idx="0">
                  <c:v>1.8482877221461032</c:v>
                </c:pt>
                <c:pt idx="1">
                  <c:v>2.2144034643111974</c:v>
                </c:pt>
                <c:pt idx="2">
                  <c:v>2.1487159356211647</c:v>
                </c:pt>
                <c:pt idx="3">
                  <c:v>2.2144034643111974</c:v>
                </c:pt>
                <c:pt idx="6">
                  <c:v>1.3221904592560172</c:v>
                </c:pt>
                <c:pt idx="7">
                  <c:v>0.9118554891420807</c:v>
                </c:pt>
                <c:pt idx="8">
                  <c:v>1.0061663624211239</c:v>
                </c:pt>
              </c:numCache>
            </c:numRef>
          </c:val>
          <c:smooth val="0"/>
        </c:ser>
        <c:ser>
          <c:idx val="1"/>
          <c:order val="1"/>
          <c:tx>
            <c:v>REGION</c:v>
          </c:tx>
          <c:spPr>
            <a:ln w="38100">
              <a:solidFill>
                <a:srgbClr val="333399"/>
              </a:solidFill>
              <a:prstDash val="solid"/>
            </a:ln>
          </c:spPr>
          <c:marker>
            <c:symbol val="none"/>
          </c:marker>
          <c:cat>
            <c:numRef>
              <c:f>'25'!$A$11:$A$20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'25'!$E$11:$E$19</c:f>
              <c:numCache>
                <c:formatCode>0.0</c:formatCode>
                <c:ptCount val="9"/>
                <c:pt idx="0">
                  <c:v>0</c:v>
                </c:pt>
                <c:pt idx="6">
                  <c:v>1.4754340235085821</c:v>
                </c:pt>
                <c:pt idx="7">
                  <c:v>0</c:v>
                </c:pt>
                <c:pt idx="8">
                  <c:v>2.0582484305855715</c:v>
                </c:pt>
              </c:numCache>
            </c:numRef>
          </c:val>
          <c:smooth val="0"/>
        </c:ser>
        <c:ser>
          <c:idx val="2"/>
          <c:order val="2"/>
          <c:tx>
            <c:v>S. SALUD</c:v>
          </c:tx>
          <c:spPr>
            <a:ln w="38100">
              <a:solidFill>
                <a:srgbClr val="336666"/>
              </a:solidFill>
              <a:prstDash val="solid"/>
            </a:ln>
          </c:spPr>
          <c:marker>
            <c:symbol val="none"/>
          </c:marker>
          <c:cat>
            <c:numRef>
              <c:f>'25'!$A$11:$A$20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'25'!$G$11:$G$20</c:f>
              <c:numCache>
                <c:formatCode>0.0</c:formatCode>
                <c:ptCount val="10"/>
                <c:pt idx="0">
                  <c:v>0</c:v>
                </c:pt>
                <c:pt idx="1">
                  <c:v>2.6246719160104988</c:v>
                </c:pt>
                <c:pt idx="2">
                  <c:v>0</c:v>
                </c:pt>
                <c:pt idx="3">
                  <c:v>5.329070077271516</c:v>
                </c:pt>
                <c:pt idx="4">
                  <c:v>2.5913449080072559</c:v>
                </c:pt>
                <c:pt idx="5">
                  <c:v>3.0385900941962927</c:v>
                </c:pt>
                <c:pt idx="6">
                  <c:v>3.3568311513930849</c:v>
                </c:pt>
                <c:pt idx="7">
                  <c:v>0</c:v>
                </c:pt>
                <c:pt idx="8">
                  <c:v>3.2226877215597813</c:v>
                </c:pt>
                <c:pt idx="9">
                  <c:v>0</c:v>
                </c:pt>
              </c:numCache>
            </c:numRef>
          </c:val>
          <c:smooth val="0"/>
        </c:ser>
        <c:dLbls>
          <c:showLegendKey val="0"/>
          <c:showVal val="0"/>
          <c:showCatName val="0"/>
          <c:showSerName val="0"/>
          <c:showPercent val="0"/>
          <c:showBubbleSize val="0"/>
        </c:dLbls>
        <c:smooth val="0"/>
        <c:axId val="271009912"/>
        <c:axId val="271010696"/>
      </c:lineChart>
      <c:catAx>
        <c:axId val="2710099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0/000</a:t>
                </a:r>
              </a:p>
            </c:rich>
          </c:tx>
          <c:layout>
            <c:manualLayout>
              <c:xMode val="edge"/>
              <c:yMode val="edge"/>
              <c:x val="6.3371356147021813E-3"/>
              <c:y val="0.1530612244898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1" i="1" u="none" strike="noStrike" baseline="0">
                <a:solidFill>
                  <a:srgbClr val="000000"/>
                </a:solidFill>
                <a:latin typeface="Arial"/>
                <a:ea typeface="Arial"/>
                <a:cs typeface="Arial"/>
              </a:defRPr>
            </a:pPr>
            <a:endParaRPr lang="es-CL"/>
          </a:p>
        </c:txPr>
        <c:crossAx val="271010696"/>
        <c:crosses val="autoZero"/>
        <c:auto val="1"/>
        <c:lblAlgn val="ctr"/>
        <c:lblOffset val="100"/>
        <c:tickLblSkip val="1"/>
        <c:tickMarkSkip val="1"/>
        <c:noMultiLvlLbl val="0"/>
      </c:catAx>
      <c:valAx>
        <c:axId val="271010696"/>
        <c:scaling>
          <c:orientation val="minMax"/>
          <c:max val="7"/>
          <c:min val="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25" b="1" i="1" u="none" strike="noStrike" baseline="0">
                <a:solidFill>
                  <a:srgbClr val="000000"/>
                </a:solidFill>
                <a:latin typeface="Arial"/>
                <a:ea typeface="Arial"/>
                <a:cs typeface="Arial"/>
              </a:defRPr>
            </a:pPr>
            <a:endParaRPr lang="es-CL"/>
          </a:p>
        </c:txPr>
        <c:crossAx val="271009912"/>
        <c:crosses val="autoZero"/>
        <c:crossBetween val="between"/>
      </c:valAx>
      <c:spPr>
        <a:noFill/>
        <a:ln w="25400">
          <a:noFill/>
        </a:ln>
      </c:spPr>
    </c:plotArea>
    <c:legend>
      <c:legendPos val="b"/>
      <c:layout>
        <c:manualLayout>
          <c:xMode val="edge"/>
          <c:yMode val="edge"/>
          <c:x val="0.29676459797364052"/>
          <c:y val="0.90561224489791725"/>
          <c:w val="0.4665409834523373"/>
          <c:h val="6.8877551020412403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9546979915906E-2"/>
          <c:y val="0.21794926369508302"/>
          <c:w val="0.92166517751753363"/>
          <c:h val="0.58461684849972051"/>
        </c:manualLayout>
      </c:layout>
      <c:lineChart>
        <c:grouping val="standard"/>
        <c:varyColors val="0"/>
        <c:ser>
          <c:idx val="0"/>
          <c:order val="0"/>
          <c:tx>
            <c:v>PAIS</c:v>
          </c:tx>
          <c:spPr>
            <a:ln w="38100">
              <a:solidFill>
                <a:srgbClr val="FF0000"/>
              </a:solidFill>
              <a:prstDash val="solid"/>
            </a:ln>
          </c:spPr>
          <c:marker>
            <c:symbol val="none"/>
          </c:marker>
          <c:cat>
            <c:numRef>
              <c:f>'26'!$A$11:$A$20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'26'!$C$11:$C$20</c:f>
              <c:numCache>
                <c:formatCode>0.0</c:formatCode>
                <c:ptCount val="10"/>
                <c:pt idx="0">
                  <c:v>5.5050495361726988</c:v>
                </c:pt>
                <c:pt idx="1">
                  <c:v>5.658901649904827</c:v>
                </c:pt>
                <c:pt idx="2">
                  <c:v>5.6649190984596665</c:v>
                </c:pt>
                <c:pt idx="3">
                  <c:v>5.732077545856761</c:v>
                </c:pt>
                <c:pt idx="4">
                  <c:v>5.7495168857802739</c:v>
                </c:pt>
                <c:pt idx="5">
                  <c:v>5.7238486593409519</c:v>
                </c:pt>
                <c:pt idx="6">
                  <c:v>5.7737603256429484</c:v>
                </c:pt>
                <c:pt idx="7">
                  <c:v>5.6516831672080041</c:v>
                </c:pt>
                <c:pt idx="8">
                  <c:v>5.6728829568891666</c:v>
                </c:pt>
                <c:pt idx="9">
                  <c:v>6.582529338454572</c:v>
                </c:pt>
              </c:numCache>
            </c:numRef>
          </c:val>
          <c:smooth val="0"/>
        </c:ser>
        <c:ser>
          <c:idx val="1"/>
          <c:order val="1"/>
          <c:tx>
            <c:v>REGION</c:v>
          </c:tx>
          <c:spPr>
            <a:ln w="38100">
              <a:solidFill>
                <a:srgbClr val="333399"/>
              </a:solidFill>
              <a:prstDash val="solid"/>
            </a:ln>
          </c:spPr>
          <c:marker>
            <c:symbol val="none"/>
          </c:marker>
          <c:cat>
            <c:numRef>
              <c:f>'26'!$A$11:$A$20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'26'!$E$11:$E$20</c:f>
              <c:numCache>
                <c:formatCode>0.0</c:formatCode>
                <c:ptCount val="10"/>
                <c:pt idx="0">
                  <c:v>6.323596508011625</c:v>
                </c:pt>
                <c:pt idx="1">
                  <c:v>6.5340532337604129</c:v>
                </c:pt>
                <c:pt idx="2">
                  <c:v>6.5135468150793985</c:v>
                </c:pt>
                <c:pt idx="3">
                  <c:v>6.6339989982694387</c:v>
                </c:pt>
                <c:pt idx="4">
                  <c:v>6.6534425452765333</c:v>
                </c:pt>
                <c:pt idx="5">
                  <c:v>6.5333461364530034</c:v>
                </c:pt>
                <c:pt idx="6">
                  <c:v>6.6672039738105182</c:v>
                </c:pt>
                <c:pt idx="7">
                  <c:v>6.7342446679595991</c:v>
                </c:pt>
                <c:pt idx="8">
                  <c:v>6.7844512013970881</c:v>
                </c:pt>
                <c:pt idx="9">
                  <c:v>7.3876245427692497</c:v>
                </c:pt>
              </c:numCache>
            </c:numRef>
          </c:val>
          <c:smooth val="0"/>
        </c:ser>
        <c:ser>
          <c:idx val="2"/>
          <c:order val="2"/>
          <c:tx>
            <c:v>S. SALUD</c:v>
          </c:tx>
          <c:spPr>
            <a:ln w="38100">
              <a:solidFill>
                <a:srgbClr val="336666"/>
              </a:solidFill>
              <a:prstDash val="solid"/>
            </a:ln>
          </c:spPr>
          <c:marker>
            <c:symbol val="none"/>
          </c:marker>
          <c:cat>
            <c:numRef>
              <c:f>'26'!$A$11:$A$20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'26'!$G$11:$G$20</c:f>
              <c:numCache>
                <c:formatCode>0.0</c:formatCode>
                <c:ptCount val="10"/>
                <c:pt idx="0">
                  <c:v>5.7642654779749343</c:v>
                </c:pt>
                <c:pt idx="1">
                  <c:v>5.7856816013773962</c:v>
                </c:pt>
                <c:pt idx="2">
                  <c:v>5.6900805359342206</c:v>
                </c:pt>
                <c:pt idx="3">
                  <c:v>6.4753908577805275</c:v>
                </c:pt>
                <c:pt idx="4">
                  <c:v>6.0520506389944284</c:v>
                </c:pt>
                <c:pt idx="5">
                  <c:v>5.9166762616114301</c:v>
                </c:pt>
                <c:pt idx="6">
                  <c:v>6.1845529320653467</c:v>
                </c:pt>
                <c:pt idx="7">
                  <c:v>5.8321922522405032</c:v>
                </c:pt>
                <c:pt idx="8">
                  <c:v>6.1097466367793158</c:v>
                </c:pt>
                <c:pt idx="9">
                  <c:v>6.913320581862326</c:v>
                </c:pt>
              </c:numCache>
            </c:numRef>
          </c:val>
          <c:smooth val="0"/>
        </c:ser>
        <c:dLbls>
          <c:showLegendKey val="0"/>
          <c:showVal val="0"/>
          <c:showCatName val="0"/>
          <c:showSerName val="0"/>
          <c:showPercent val="0"/>
          <c:showBubbleSize val="0"/>
        </c:dLbls>
        <c:smooth val="0"/>
        <c:axId val="273871800"/>
        <c:axId val="273872192"/>
      </c:lineChart>
      <c:catAx>
        <c:axId val="273871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9.7919216646266682E-3"/>
              <c:y val="0.10256437176122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73872192"/>
        <c:crosses val="autoZero"/>
        <c:auto val="1"/>
        <c:lblAlgn val="ctr"/>
        <c:lblOffset val="100"/>
        <c:tickLblSkip val="1"/>
        <c:tickMarkSkip val="1"/>
        <c:noMultiLvlLbl val="0"/>
      </c:catAx>
      <c:valAx>
        <c:axId val="273872192"/>
        <c:scaling>
          <c:orientation val="minMax"/>
          <c:max val="7.5"/>
          <c:min val="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73871800"/>
        <c:crosses val="autoZero"/>
        <c:crossBetween val="between"/>
        <c:majorUnit val="0.5"/>
      </c:valAx>
      <c:spPr>
        <a:noFill/>
        <a:ln w="25400">
          <a:noFill/>
        </a:ln>
      </c:spPr>
    </c:plotArea>
    <c:legend>
      <c:legendPos val="r"/>
      <c:layout>
        <c:manualLayout>
          <c:xMode val="edge"/>
          <c:yMode val="edge"/>
          <c:x val="0.3353735740193089"/>
          <c:y val="0.92307934585099938"/>
          <c:w val="0.42966377907424796"/>
          <c:h val="6.9231038427888802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Arial"/>
                <a:ea typeface="Arial"/>
                <a:cs typeface="Arial"/>
              </a:defRPr>
            </a:pPr>
            <a:r>
              <a:rPr lang="es-ES" sz="2150" b="1" i="1" strike="noStrike">
                <a:solidFill>
                  <a:srgbClr val="000000"/>
                </a:solidFill>
                <a:latin typeface="Arial Narrow"/>
              </a:rPr>
              <a:t>PRINCIPALES  CAUSAS  DE  MUERTE </a:t>
            </a:r>
          </a:p>
          <a:p>
            <a:pPr>
              <a:defRPr sz="1825" b="0" i="0" u="none" strike="noStrike" baseline="0">
                <a:solidFill>
                  <a:srgbClr val="000000"/>
                </a:solidFill>
                <a:latin typeface="Arial"/>
                <a:ea typeface="Arial"/>
                <a:cs typeface="Arial"/>
              </a:defRPr>
            </a:pPr>
            <a:r>
              <a:rPr lang="es-ES" sz="2000" b="1" i="1" strike="noStrike">
                <a:solidFill>
                  <a:srgbClr val="000000"/>
                </a:solidFill>
                <a:latin typeface="Arial Narrow"/>
              </a:rPr>
              <a:t>SERVICIO DE  SALUD  ACONCAGUA 1992 - 2020</a:t>
            </a:r>
          </a:p>
        </c:rich>
      </c:tx>
      <c:layout>
        <c:manualLayout>
          <c:xMode val="edge"/>
          <c:yMode val="edge"/>
          <c:x val="0.31985160705138788"/>
          <c:y val="2.1476678387995132E-3"/>
        </c:manualLayout>
      </c:layout>
      <c:overlay val="0"/>
      <c:spPr>
        <a:noFill/>
        <a:ln w="25400">
          <a:noFill/>
        </a:ln>
      </c:spPr>
    </c:title>
    <c:autoTitleDeleted val="0"/>
    <c:plotArea>
      <c:layout>
        <c:manualLayout>
          <c:layoutTarget val="inner"/>
          <c:xMode val="edge"/>
          <c:yMode val="edge"/>
          <c:x val="0.30654031484576455"/>
          <c:y val="0.16440493766404199"/>
          <c:w val="0.67214984253991239"/>
          <c:h val="0.78685335499151343"/>
        </c:manualLayout>
      </c:layout>
      <c:barChart>
        <c:barDir val="bar"/>
        <c:grouping val="clustered"/>
        <c:varyColors val="0"/>
        <c:ser>
          <c:idx val="0"/>
          <c:order val="0"/>
          <c:tx>
            <c:strRef>
              <c:f>'27'!$K$67</c:f>
              <c:strCache>
                <c:ptCount val="1"/>
                <c:pt idx="0">
                  <c:v>2020</c:v>
                </c:pt>
              </c:strCache>
            </c:strRef>
          </c:tx>
          <c:spPr>
            <a:solidFill>
              <a:srgbClr val="FF0000"/>
            </a:solidFill>
            <a:ln w="12700">
              <a:solidFill>
                <a:srgbClr val="000000"/>
              </a:solidFill>
              <a:prstDash val="solid"/>
            </a:ln>
            <a:effectLst>
              <a:outerShdw dist="35921" dir="2700000" algn="br">
                <a:srgbClr val="000000"/>
              </a:outerShdw>
            </a:effectLst>
          </c:spPr>
          <c:invertIfNegative val="0"/>
          <c:cat>
            <c:numRef>
              <c:f>'27'!$K$67:$M$67</c:f>
              <c:numCache>
                <c:formatCode>General</c:formatCode>
                <c:ptCount val="3"/>
                <c:pt idx="0">
                  <c:v>2020</c:v>
                </c:pt>
                <c:pt idx="2">
                  <c:v>1992</c:v>
                </c:pt>
              </c:numCache>
            </c:numRef>
          </c:cat>
          <c:val>
            <c:numRef>
              <c:f>'27'!$K$68:$K$79</c:f>
              <c:numCache>
                <c:formatCode>General</c:formatCode>
                <c:ptCount val="12"/>
                <c:pt idx="0">
                  <c:v>561</c:v>
                </c:pt>
                <c:pt idx="1">
                  <c:v>412</c:v>
                </c:pt>
                <c:pt idx="2">
                  <c:v>154</c:v>
                </c:pt>
                <c:pt idx="3">
                  <c:v>111</c:v>
                </c:pt>
                <c:pt idx="4">
                  <c:v>100</c:v>
                </c:pt>
                <c:pt idx="5">
                  <c:v>34</c:v>
                </c:pt>
                <c:pt idx="6">
                  <c:v>52</c:v>
                </c:pt>
                <c:pt idx="7">
                  <c:v>64</c:v>
                </c:pt>
                <c:pt idx="8">
                  <c:v>57</c:v>
                </c:pt>
                <c:pt idx="9">
                  <c:v>8</c:v>
                </c:pt>
                <c:pt idx="10">
                  <c:v>9</c:v>
                </c:pt>
                <c:pt idx="11">
                  <c:v>156</c:v>
                </c:pt>
              </c:numCache>
            </c:numRef>
          </c:val>
        </c:ser>
        <c:ser>
          <c:idx val="1"/>
          <c:order val="1"/>
          <c:tx>
            <c:v>1992</c:v>
          </c:tx>
          <c:spPr>
            <a:solidFill>
              <a:srgbClr val="FFFF00"/>
            </a:solidFill>
            <a:ln w="12700">
              <a:solidFill>
                <a:srgbClr val="000000"/>
              </a:solidFill>
              <a:prstDash val="solid"/>
            </a:ln>
            <a:effectLst>
              <a:outerShdw dist="35921" dir="2700000" algn="br">
                <a:srgbClr val="000000"/>
              </a:outerShdw>
            </a:effectLst>
          </c:spPr>
          <c:invertIfNegative val="0"/>
          <c:cat>
            <c:numRef>
              <c:f>'27'!$K$67:$M$67</c:f>
              <c:numCache>
                <c:formatCode>General</c:formatCode>
                <c:ptCount val="3"/>
                <c:pt idx="0">
                  <c:v>2020</c:v>
                </c:pt>
                <c:pt idx="2">
                  <c:v>1992</c:v>
                </c:pt>
              </c:numCache>
            </c:numRef>
          </c:cat>
          <c:val>
            <c:numRef>
              <c:f>'27'!$M$68:$M$79</c:f>
              <c:numCache>
                <c:formatCode>General</c:formatCode>
                <c:ptCount val="12"/>
                <c:pt idx="0">
                  <c:v>294</c:v>
                </c:pt>
                <c:pt idx="1">
                  <c:v>170</c:v>
                </c:pt>
                <c:pt idx="2">
                  <c:v>151</c:v>
                </c:pt>
                <c:pt idx="3">
                  <c:v>100</c:v>
                </c:pt>
                <c:pt idx="4">
                  <c:v>52</c:v>
                </c:pt>
                <c:pt idx="5">
                  <c:v>36</c:v>
                </c:pt>
                <c:pt idx="6">
                  <c:v>59</c:v>
                </c:pt>
                <c:pt idx="7">
                  <c:v>28</c:v>
                </c:pt>
                <c:pt idx="8">
                  <c:v>23</c:v>
                </c:pt>
                <c:pt idx="9">
                  <c:v>28</c:v>
                </c:pt>
                <c:pt idx="10">
                  <c:v>10</c:v>
                </c:pt>
                <c:pt idx="11">
                  <c:v>26</c:v>
                </c:pt>
              </c:numCache>
            </c:numRef>
          </c:val>
        </c:ser>
        <c:dLbls>
          <c:showLegendKey val="0"/>
          <c:showVal val="0"/>
          <c:showCatName val="0"/>
          <c:showSerName val="0"/>
          <c:showPercent val="0"/>
          <c:showBubbleSize val="0"/>
        </c:dLbls>
        <c:gapWidth val="150"/>
        <c:axId val="273872976"/>
        <c:axId val="273873368"/>
      </c:barChart>
      <c:catAx>
        <c:axId val="273872976"/>
        <c:scaling>
          <c:orientation val="minMax"/>
        </c:scaling>
        <c:delete val="1"/>
        <c:axPos val="l"/>
        <c:numFmt formatCode="General" sourceLinked="1"/>
        <c:majorTickMark val="out"/>
        <c:minorTickMark val="none"/>
        <c:tickLblPos val="nextTo"/>
        <c:crossAx val="273873368"/>
        <c:crosses val="autoZero"/>
        <c:auto val="1"/>
        <c:lblAlgn val="ctr"/>
        <c:lblOffset val="100"/>
        <c:noMultiLvlLbl val="0"/>
      </c:catAx>
      <c:valAx>
        <c:axId val="2738733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1.4645439560755121E-2"/>
              <c:y val="0.909425647965879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s-CL"/>
          </a:p>
        </c:txPr>
        <c:crossAx val="273872976"/>
        <c:crosses val="autoZero"/>
        <c:crossBetween val="between"/>
      </c:valAx>
      <c:spPr>
        <a:noFill/>
        <a:ln w="25400">
          <a:noFill/>
        </a:ln>
      </c:spPr>
    </c:plotArea>
    <c:legend>
      <c:legendPos val="r"/>
      <c:layout>
        <c:manualLayout>
          <c:xMode val="edge"/>
          <c:yMode val="edge"/>
          <c:x val="0.90789565777963765"/>
          <c:y val="0.49203229078437088"/>
          <c:w val="8.7719413362801091E-2"/>
          <c:h val="0.12151415336031172"/>
        </c:manualLayout>
      </c:layout>
      <c:overlay val="0"/>
      <c:spPr>
        <a:gradFill rotWithShape="0">
          <a:gsLst>
            <a:gs pos="0">
              <a:srgbClr val="336666"/>
            </a:gs>
            <a:gs pos="100000">
              <a:srgbClr val="336666">
                <a:gamma/>
                <a:tint val="47451"/>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s-ES" sz="2100" b="1" i="1" strike="noStrike">
                <a:solidFill>
                  <a:srgbClr val="000000"/>
                </a:solidFill>
                <a:latin typeface="Arial Narrow"/>
              </a:rPr>
              <a:t>PRINCIPALES  CAUSAS  DE  MUERTE </a:t>
            </a:r>
          </a:p>
          <a:p>
            <a:pPr>
              <a:defRPr sz="1800" b="0" i="0" u="none" strike="noStrike" baseline="0">
                <a:solidFill>
                  <a:srgbClr val="000000"/>
                </a:solidFill>
                <a:latin typeface="Arial"/>
                <a:ea typeface="Arial"/>
                <a:cs typeface="Arial"/>
              </a:defRPr>
            </a:pPr>
            <a:r>
              <a:rPr lang="es-ES" sz="1950" b="1" i="1" strike="noStrike">
                <a:solidFill>
                  <a:srgbClr val="000000"/>
                </a:solidFill>
                <a:latin typeface="Arial Narrow"/>
              </a:rPr>
              <a:t>PAIS   2003  SERVICIO DE  SALUD  2018</a:t>
            </a:r>
          </a:p>
        </c:rich>
      </c:tx>
      <c:layout>
        <c:manualLayout>
          <c:xMode val="edge"/>
          <c:yMode val="edge"/>
          <c:x val="0.41776361836349402"/>
          <c:y val="9.9601593625498266E-3"/>
        </c:manualLayout>
      </c:layout>
      <c:overlay val="0"/>
      <c:spPr>
        <a:noFill/>
        <a:ln w="25400">
          <a:noFill/>
        </a:ln>
      </c:spPr>
    </c:title>
    <c:autoTitleDeleted val="0"/>
    <c:plotArea>
      <c:layout>
        <c:manualLayout>
          <c:layoutTarget val="inner"/>
          <c:xMode val="edge"/>
          <c:yMode val="edge"/>
          <c:x val="0.26973713093768303"/>
          <c:y val="0.14342643432757646"/>
          <c:w val="0.6600884261158354"/>
          <c:h val="0.78884538880161847"/>
        </c:manualLayout>
      </c:layout>
      <c:barChart>
        <c:barDir val="bar"/>
        <c:grouping val="clustered"/>
        <c:varyColors val="0"/>
        <c:ser>
          <c:idx val="0"/>
          <c:order val="0"/>
          <c:tx>
            <c:strRef>
              <c:f>'27'!$Q$67</c:f>
              <c:strCache>
                <c:ptCount val="1"/>
                <c:pt idx="0">
                  <c:v>Paìs</c:v>
                </c:pt>
              </c:strCache>
            </c:strRef>
          </c:tx>
          <c:spPr>
            <a:solidFill>
              <a:srgbClr val="FF0000"/>
            </a:solidFill>
            <a:ln w="12700">
              <a:solidFill>
                <a:srgbClr val="000000"/>
              </a:solidFill>
              <a:prstDash val="solid"/>
            </a:ln>
            <a:effectLst>
              <a:outerShdw dist="35921" dir="2700000" algn="br">
                <a:srgbClr val="000000"/>
              </a:outerShdw>
            </a:effectLst>
          </c:spPr>
          <c:invertIfNegative val="0"/>
          <c:cat>
            <c:strRef>
              <c:f>'27'!$Q$67:$S$67</c:f>
              <c:strCache>
                <c:ptCount val="3"/>
                <c:pt idx="0">
                  <c:v>Paìs</c:v>
                </c:pt>
                <c:pt idx="2">
                  <c:v>SS</c:v>
                </c:pt>
              </c:strCache>
            </c:strRef>
          </c:cat>
          <c:val>
            <c:numRef>
              <c:f>'27'!$Q$68:$Q$79</c:f>
              <c:numCache>
                <c:formatCode>0.00</c:formatCode>
                <c:ptCount val="12"/>
                <c:pt idx="0">
                  <c:v>28.409742805239507</c:v>
                </c:pt>
                <c:pt idx="1">
                  <c:v>23.544315900181662</c:v>
                </c:pt>
                <c:pt idx="2">
                  <c:v>8.8823023233578748</c:v>
                </c:pt>
                <c:pt idx="3">
                  <c:v>8.8524237498804847</c:v>
                </c:pt>
                <c:pt idx="4">
                  <c:v>7.8891385409694994</c:v>
                </c:pt>
                <c:pt idx="5">
                  <c:v>1.5273926761640693</c:v>
                </c:pt>
                <c:pt idx="6">
                  <c:v>2.845635337986423</c:v>
                </c:pt>
                <c:pt idx="7">
                  <c:v>2.7093890429295344</c:v>
                </c:pt>
                <c:pt idx="8">
                  <c:v>4.9574529113681995</c:v>
                </c:pt>
                <c:pt idx="9">
                  <c:v>0.88201548905249072</c:v>
                </c:pt>
                <c:pt idx="10">
                  <c:v>1.0947509322114923</c:v>
                </c:pt>
                <c:pt idx="11">
                  <c:v>8.4054402906587633</c:v>
                </c:pt>
              </c:numCache>
            </c:numRef>
          </c:val>
        </c:ser>
        <c:ser>
          <c:idx val="1"/>
          <c:order val="1"/>
          <c:tx>
            <c:strRef>
              <c:f>'27'!$S$67</c:f>
              <c:strCache>
                <c:ptCount val="1"/>
                <c:pt idx="0">
                  <c:v>SS</c:v>
                </c:pt>
              </c:strCache>
            </c:strRef>
          </c:tx>
          <c:spPr>
            <a:solidFill>
              <a:srgbClr val="FFFF00"/>
            </a:solidFill>
            <a:ln w="12700">
              <a:solidFill>
                <a:srgbClr val="000000"/>
              </a:solidFill>
              <a:prstDash val="solid"/>
            </a:ln>
            <a:effectLst>
              <a:outerShdw dist="35921" dir="2700000" algn="br">
                <a:srgbClr val="000000"/>
              </a:outerShdw>
            </a:effectLst>
          </c:spPr>
          <c:invertIfNegative val="0"/>
          <c:cat>
            <c:strRef>
              <c:f>'27'!$Q$67:$S$67</c:f>
              <c:strCache>
                <c:ptCount val="3"/>
                <c:pt idx="0">
                  <c:v>Paìs</c:v>
                </c:pt>
                <c:pt idx="2">
                  <c:v>SS</c:v>
                </c:pt>
              </c:strCache>
            </c:strRef>
          </c:cat>
          <c:val>
            <c:numRef>
              <c:f>'27'!$S$68:$S$79</c:f>
              <c:numCache>
                <c:formatCode>0.00</c:formatCode>
                <c:ptCount val="12"/>
                <c:pt idx="0">
                  <c:v>32.654249126891735</c:v>
                </c:pt>
                <c:pt idx="1">
                  <c:v>23.981373690337602</c:v>
                </c:pt>
                <c:pt idx="2">
                  <c:v>8.9639115250291024</c:v>
                </c:pt>
                <c:pt idx="3">
                  <c:v>6.4610011641443528</c:v>
                </c:pt>
                <c:pt idx="4">
                  <c:v>5.8207217694994178</c:v>
                </c:pt>
                <c:pt idx="5">
                  <c:v>1.979045401629802</c:v>
                </c:pt>
                <c:pt idx="6">
                  <c:v>3.0267753201396972</c:v>
                </c:pt>
                <c:pt idx="7">
                  <c:v>3.7252619324796274</c:v>
                </c:pt>
                <c:pt idx="8">
                  <c:v>3.3178114086146682</c:v>
                </c:pt>
                <c:pt idx="9">
                  <c:v>0.46565774155995343</c:v>
                </c:pt>
                <c:pt idx="10">
                  <c:v>0.52386495925494758</c:v>
                </c:pt>
                <c:pt idx="11">
                  <c:v>9.080325960419092</c:v>
                </c:pt>
              </c:numCache>
            </c:numRef>
          </c:val>
        </c:ser>
        <c:dLbls>
          <c:showLegendKey val="0"/>
          <c:showVal val="0"/>
          <c:showCatName val="0"/>
          <c:showSerName val="0"/>
          <c:showPercent val="0"/>
          <c:showBubbleSize val="0"/>
        </c:dLbls>
        <c:gapWidth val="150"/>
        <c:axId val="273874152"/>
        <c:axId val="273874544"/>
      </c:barChart>
      <c:catAx>
        <c:axId val="273874152"/>
        <c:scaling>
          <c:orientation val="minMax"/>
        </c:scaling>
        <c:delete val="1"/>
        <c:axPos val="l"/>
        <c:numFmt formatCode="General" sourceLinked="0"/>
        <c:majorTickMark val="out"/>
        <c:minorTickMark val="none"/>
        <c:tickLblPos val="nextTo"/>
        <c:crossAx val="273874544"/>
        <c:crosses val="autoZero"/>
        <c:auto val="1"/>
        <c:lblAlgn val="ctr"/>
        <c:lblOffset val="100"/>
        <c:noMultiLvlLbl val="0"/>
      </c:catAx>
      <c:valAx>
        <c:axId val="2738745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3.3991228070175482E-2"/>
              <c:y val="0.8784868923257106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s-CL"/>
          </a:p>
        </c:txPr>
        <c:crossAx val="273874152"/>
        <c:crosses val="autoZero"/>
        <c:crossBetween val="between"/>
      </c:valAx>
      <c:spPr>
        <a:noFill/>
        <a:ln w="25400">
          <a:noFill/>
        </a:ln>
      </c:spPr>
    </c:plotArea>
    <c:legend>
      <c:legendPos val="r"/>
      <c:layout>
        <c:manualLayout>
          <c:xMode val="edge"/>
          <c:yMode val="edge"/>
          <c:x val="0.9133781139199707"/>
          <c:y val="0.49402432265689228"/>
          <c:w val="8.2236957222452278E-2"/>
          <c:h val="0.12151415336031662"/>
        </c:manualLayout>
      </c:layout>
      <c:overlay val="0"/>
      <c:spPr>
        <a:gradFill rotWithShape="0">
          <a:gsLst>
            <a:gs pos="0">
              <a:srgbClr val="336666"/>
            </a:gs>
            <a:gs pos="100000">
              <a:srgbClr val="336666">
                <a:gamma/>
                <a:tint val="44314"/>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'28'!$B$30</c:f>
              <c:strCache>
                <c:ptCount val="1"/>
                <c:pt idx="0">
                  <c:v> ENF. APARATO CIRCULATORIO</c:v>
                </c:pt>
              </c:strCache>
            </c:strRef>
          </c:tx>
          <c:marker>
            <c:symbol val="none"/>
          </c:marker>
          <c:cat>
            <c:numRef>
              <c:f>'28'!$C$29:$L$29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'28'!$C$30:$L$30</c:f>
              <c:numCache>
                <c:formatCode>0.00</c:formatCode>
                <c:ptCount val="10"/>
                <c:pt idx="0">
                  <c:v>1.6284344270657574</c:v>
                </c:pt>
                <c:pt idx="1">
                  <c:v>1.6635773505300957</c:v>
                </c:pt>
                <c:pt idx="2">
                  <c:v>1.5961385724535644</c:v>
                </c:pt>
                <c:pt idx="3">
                  <c:v>1.8598719345325079</c:v>
                </c:pt>
                <c:pt idx="4">
                  <c:v>1.5242757812851973</c:v>
                </c:pt>
                <c:pt idx="5">
                  <c:v>1.5822373430297989</c:v>
                </c:pt>
                <c:pt idx="6">
                  <c:v>1.4975059918591465</c:v>
                </c:pt>
                <c:pt idx="7">
                  <c:v>1.4127670673129171</c:v>
                </c:pt>
                <c:pt idx="8">
                  <c:v>1.6516693658233144</c:v>
                </c:pt>
                <c:pt idx="9">
                  <c:v>1.9797717439636371</c:v>
                </c:pt>
              </c:numCache>
            </c:numRef>
          </c:val>
          <c:smooth val="0"/>
        </c:ser>
        <c:ser>
          <c:idx val="2"/>
          <c:order val="1"/>
          <c:tx>
            <c:strRef>
              <c:f>'28'!$B$31</c:f>
              <c:strCache>
                <c:ptCount val="1"/>
                <c:pt idx="0">
                  <c:v> TUMORES</c:v>
                </c:pt>
              </c:strCache>
            </c:strRef>
          </c:tx>
          <c:marker>
            <c:symbol val="none"/>
          </c:marker>
          <c:cat>
            <c:numRef>
              <c:f>'28'!$C$29:$L$29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'28'!$C$31:$L$31</c:f>
              <c:numCache>
                <c:formatCode>0.00</c:formatCode>
                <c:ptCount val="10"/>
                <c:pt idx="0">
                  <c:v>1.408693877871342</c:v>
                </c:pt>
                <c:pt idx="1">
                  <c:v>1.3339641225695873</c:v>
                </c:pt>
                <c:pt idx="2">
                  <c:v>1.2815151038449291</c:v>
                </c:pt>
                <c:pt idx="3">
                  <c:v>1.5334454317370063</c:v>
                </c:pt>
                <c:pt idx="4">
                  <c:v>1.4078901920737659</c:v>
                </c:pt>
                <c:pt idx="5">
                  <c:v>1.3853862181927581</c:v>
                </c:pt>
                <c:pt idx="6">
                  <c:v>1.4644727714504886</c:v>
                </c:pt>
                <c:pt idx="7">
                  <c:v>1.5069515384671115</c:v>
                </c:pt>
                <c:pt idx="8">
                  <c:v>1.4514670184507914</c:v>
                </c:pt>
                <c:pt idx="9">
                  <c:v>1.4539500151747209</c:v>
                </c:pt>
              </c:numCache>
            </c:numRef>
          </c:val>
          <c:smooth val="0"/>
        </c:ser>
        <c:ser>
          <c:idx val="3"/>
          <c:order val="2"/>
          <c:tx>
            <c:strRef>
              <c:f>'28'!$B$32</c:f>
              <c:strCache>
                <c:ptCount val="1"/>
                <c:pt idx="0">
                  <c:v> ENF. APARATO RESPIRATORIO</c:v>
                </c:pt>
              </c:strCache>
            </c:strRef>
          </c:tx>
          <c:marker>
            <c:symbol val="none"/>
          </c:marker>
          <c:cat>
            <c:numRef>
              <c:f>'28'!$C$29:$L$29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'28'!$C$32:$L$32</c:f>
              <c:numCache>
                <c:formatCode>0.00</c:formatCode>
                <c:ptCount val="10"/>
                <c:pt idx="0">
                  <c:v>0.46694866703813281</c:v>
                </c:pt>
                <c:pt idx="1">
                  <c:v>0.54677017814625528</c:v>
                </c:pt>
                <c:pt idx="2">
                  <c:v>0.66761565290125036</c:v>
                </c:pt>
                <c:pt idx="3">
                  <c:v>0.63387472054475269</c:v>
                </c:pt>
                <c:pt idx="4">
                  <c:v>0.64575230143116735</c:v>
                </c:pt>
                <c:pt idx="5">
                  <c:v>0.63512344051196146</c:v>
                </c:pt>
                <c:pt idx="6">
                  <c:v>0.64231261905723191</c:v>
                </c:pt>
                <c:pt idx="7">
                  <c:v>0.60495410318271059</c:v>
                </c:pt>
                <c:pt idx="8">
                  <c:v>0.73645863497749509</c:v>
                </c:pt>
                <c:pt idx="9">
                  <c:v>0.54346675324492</c:v>
                </c:pt>
              </c:numCache>
            </c:numRef>
          </c:val>
          <c:smooth val="0"/>
        </c:ser>
        <c:ser>
          <c:idx val="4"/>
          <c:order val="3"/>
          <c:tx>
            <c:strRef>
              <c:f>'28'!$B$33</c:f>
              <c:strCache>
                <c:ptCount val="1"/>
                <c:pt idx="0">
                  <c:v> TRAUMAT. Y  ENVENENAMIENTO</c:v>
                </c:pt>
              </c:strCache>
            </c:strRef>
          </c:tx>
          <c:marker>
            <c:symbol val="none"/>
          </c:marker>
          <c:cat>
            <c:numRef>
              <c:f>'28'!$C$29:$L$29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'28'!$C$33:$L$33</c:f>
              <c:numCache>
                <c:formatCode>0.00</c:formatCode>
                <c:ptCount val="10"/>
                <c:pt idx="0">
                  <c:v>0.46694866703813281</c:v>
                </c:pt>
                <c:pt idx="1">
                  <c:v>0.43431390037149348</c:v>
                </c:pt>
                <c:pt idx="2">
                  <c:v>0.37985028527140113</c:v>
                </c:pt>
                <c:pt idx="3">
                  <c:v>0.46686581213775197</c:v>
                </c:pt>
                <c:pt idx="4">
                  <c:v>0.34540239378876386</c:v>
                </c:pt>
                <c:pt idx="5">
                  <c:v>0.40113059400755458</c:v>
                </c:pt>
                <c:pt idx="6">
                  <c:v>0.40740971837344425</c:v>
                </c:pt>
                <c:pt idx="7">
                  <c:v>0.33689060835923401</c:v>
                </c:pt>
                <c:pt idx="8">
                  <c:v>0.40397973666241238</c:v>
                </c:pt>
                <c:pt idx="9">
                  <c:v>0.39171954292328648</c:v>
                </c:pt>
              </c:numCache>
            </c:numRef>
          </c:val>
          <c:smooth val="0"/>
        </c:ser>
        <c:dLbls>
          <c:showLegendKey val="0"/>
          <c:showVal val="0"/>
          <c:showCatName val="0"/>
          <c:showSerName val="0"/>
          <c:showPercent val="0"/>
          <c:showBubbleSize val="0"/>
        </c:dLbls>
        <c:smooth val="0"/>
        <c:axId val="272675448"/>
        <c:axId val="272675840"/>
      </c:lineChart>
      <c:catAx>
        <c:axId val="272675448"/>
        <c:scaling>
          <c:orientation val="minMax"/>
        </c:scaling>
        <c:delete val="0"/>
        <c:axPos val="b"/>
        <c:numFmt formatCode="General" sourceLinked="1"/>
        <c:majorTickMark val="out"/>
        <c:minorTickMark val="none"/>
        <c:tickLblPos val="nextTo"/>
        <c:crossAx val="272675840"/>
        <c:crosses val="autoZero"/>
        <c:auto val="1"/>
        <c:lblAlgn val="ctr"/>
        <c:lblOffset val="100"/>
        <c:noMultiLvlLbl val="0"/>
      </c:catAx>
      <c:valAx>
        <c:axId val="272675840"/>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72675448"/>
        <c:crosses val="autoZero"/>
        <c:crossBetween val="between"/>
      </c:valAx>
      <c:spPr>
        <a:scene3d>
          <a:camera prst="orthographicFront"/>
          <a:lightRig rig="threePt" dir="t"/>
        </a:scene3d>
        <a:sp3d>
          <a:bevelB/>
        </a:sp3d>
      </c:spPr>
    </c:plotArea>
    <c:legend>
      <c:legendPos val="r"/>
      <c:layout>
        <c:manualLayout>
          <c:xMode val="edge"/>
          <c:yMode val="edge"/>
          <c:x val="0"/>
          <c:y val="0.86977343154686693"/>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'28'!$B$34</c:f>
              <c:strCache>
                <c:ptCount val="1"/>
                <c:pt idx="0">
                  <c:v> ENF. APARATO DIGESTIVO</c:v>
                </c:pt>
              </c:strCache>
            </c:strRef>
          </c:tx>
          <c:marker>
            <c:symbol val="none"/>
          </c:marker>
          <c:cat>
            <c:numRef>
              <c:f>'28'!$C$29:$L$29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'28'!$C$34:$L$34</c:f>
              <c:numCache>
                <c:formatCode>0.00</c:formatCode>
                <c:ptCount val="10"/>
                <c:pt idx="0">
                  <c:v>0.41986140649647241</c:v>
                </c:pt>
                <c:pt idx="1">
                  <c:v>0.38390246550694512</c:v>
                </c:pt>
                <c:pt idx="2">
                  <c:v>0.42972961566057499</c:v>
                </c:pt>
                <c:pt idx="3">
                  <c:v>0.41372661400825173</c:v>
                </c:pt>
                <c:pt idx="4">
                  <c:v>0.39796362762618454</c:v>
                </c:pt>
                <c:pt idx="5">
                  <c:v>0.43827231567492081</c:v>
                </c:pt>
                <c:pt idx="6">
                  <c:v>0.37804685578797076</c:v>
                </c:pt>
                <c:pt idx="7">
                  <c:v>0.3042882914212437</c:v>
                </c:pt>
                <c:pt idx="8">
                  <c:v>0.38967956899294642</c:v>
                </c:pt>
                <c:pt idx="9">
                  <c:v>0.35290048912007788</c:v>
                </c:pt>
              </c:numCache>
            </c:numRef>
          </c:val>
          <c:smooth val="0"/>
        </c:ser>
        <c:ser>
          <c:idx val="2"/>
          <c:order val="1"/>
          <c:tx>
            <c:strRef>
              <c:f>'28'!$B$35</c:f>
              <c:strCache>
                <c:ptCount val="1"/>
                <c:pt idx="0">
                  <c:v> ENF. APARATO GENITOURINARIO</c:v>
                </c:pt>
              </c:strCache>
            </c:strRef>
          </c:tx>
          <c:marker>
            <c:symbol val="none"/>
          </c:marker>
          <c:cat>
            <c:numRef>
              <c:f>'28'!$C$29:$L$29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'28'!$C$35:$L$35</c:f>
              <c:numCache>
                <c:formatCode>0.00</c:formatCode>
                <c:ptCount val="10"/>
                <c:pt idx="0">
                  <c:v>0.23543630270830226</c:v>
                </c:pt>
                <c:pt idx="1">
                  <c:v>0.20164573945819342</c:v>
                </c:pt>
                <c:pt idx="2">
                  <c:v>0.21870167939868548</c:v>
                </c:pt>
                <c:pt idx="3">
                  <c:v>0.2808786186845012</c:v>
                </c:pt>
                <c:pt idx="4">
                  <c:v>0.21775368304074247</c:v>
                </c:pt>
                <c:pt idx="5">
                  <c:v>0.19313695267030409</c:v>
                </c:pt>
                <c:pt idx="6">
                  <c:v>0.2642657632692611</c:v>
                </c:pt>
                <c:pt idx="7">
                  <c:v>0.25357357618436976</c:v>
                </c:pt>
                <c:pt idx="8">
                  <c:v>0.23595276654618777</c:v>
                </c:pt>
                <c:pt idx="9">
                  <c:v>0.22585631303684986</c:v>
                </c:pt>
              </c:numCache>
            </c:numRef>
          </c:val>
          <c:smooth val="0"/>
        </c:ser>
        <c:ser>
          <c:idx val="3"/>
          <c:order val="2"/>
          <c:tx>
            <c:strRef>
              <c:f>'28'!$B$36</c:f>
              <c:strCache>
                <c:ptCount val="1"/>
                <c:pt idx="0">
                  <c:v> INFECC.  Y PARASITARIAS</c:v>
                </c:pt>
              </c:strCache>
            </c:strRef>
          </c:tx>
          <c:marker>
            <c:symbol val="none"/>
          </c:marker>
          <c:cat>
            <c:numRef>
              <c:f>'28'!$C$29:$L$29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'28'!$C$36:$L$36</c:f>
              <c:numCache>
                <c:formatCode>0.00</c:formatCode>
                <c:ptCount val="10"/>
                <c:pt idx="0">
                  <c:v>0.15303359676039649</c:v>
                </c:pt>
                <c:pt idx="1">
                  <c:v>0.10470067241098505</c:v>
                </c:pt>
                <c:pt idx="2">
                  <c:v>0.14963799116752163</c:v>
                </c:pt>
                <c:pt idx="3">
                  <c:v>0.13284799532375058</c:v>
                </c:pt>
                <c:pt idx="4">
                  <c:v>0.17270119689438193</c:v>
                </c:pt>
                <c:pt idx="5">
                  <c:v>0.14113854233599146</c:v>
                </c:pt>
                <c:pt idx="6">
                  <c:v>0.17250681768965659</c:v>
                </c:pt>
                <c:pt idx="7">
                  <c:v>0.13040926775196157</c:v>
                </c:pt>
                <c:pt idx="8">
                  <c:v>0.17160201203359107</c:v>
                </c:pt>
                <c:pt idx="9">
                  <c:v>0.11998616630082649</c:v>
                </c:pt>
              </c:numCache>
            </c:numRef>
          </c:val>
          <c:smooth val="0"/>
        </c:ser>
        <c:ser>
          <c:idx val="4"/>
          <c:order val="3"/>
          <c:tx>
            <c:strRef>
              <c:f>'28'!$B$37</c:f>
              <c:strCache>
                <c:ptCount val="1"/>
                <c:pt idx="0">
                  <c:v>SIGNOS, ENF. MAL DEFINIDAS</c:v>
                </c:pt>
              </c:strCache>
            </c:strRef>
          </c:tx>
          <c:marker>
            <c:symbol val="none"/>
          </c:marker>
          <c:cat>
            <c:numRef>
              <c:f>'28'!$C$29:$L$29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'28'!$C$37:$L$37</c:f>
              <c:numCache>
                <c:formatCode>0.00</c:formatCode>
                <c:ptCount val="10"/>
                <c:pt idx="0">
                  <c:v>0.1569575351388682</c:v>
                </c:pt>
                <c:pt idx="1">
                  <c:v>0.2210347528676351</c:v>
                </c:pt>
                <c:pt idx="2">
                  <c:v>0.28392849606145132</c:v>
                </c:pt>
                <c:pt idx="3">
                  <c:v>0.31503953176775135</c:v>
                </c:pt>
                <c:pt idx="4">
                  <c:v>0.37543738455300424</c:v>
                </c:pt>
                <c:pt idx="5">
                  <c:v>0.40113059400755458</c:v>
                </c:pt>
                <c:pt idx="6">
                  <c:v>0.60927939864857428</c:v>
                </c:pt>
                <c:pt idx="7">
                  <c:v>0.56148434726539009</c:v>
                </c:pt>
                <c:pt idx="8">
                  <c:v>0.32890385639771624</c:v>
                </c:pt>
                <c:pt idx="9">
                  <c:v>0.1835082543424405</c:v>
                </c:pt>
              </c:numCache>
            </c:numRef>
          </c:val>
          <c:smooth val="0"/>
        </c:ser>
        <c:dLbls>
          <c:showLegendKey val="0"/>
          <c:showVal val="0"/>
          <c:showCatName val="0"/>
          <c:showSerName val="0"/>
          <c:showPercent val="0"/>
          <c:showBubbleSize val="0"/>
        </c:dLbls>
        <c:smooth val="0"/>
        <c:axId val="272677016"/>
        <c:axId val="272677408"/>
      </c:lineChart>
      <c:catAx>
        <c:axId val="272677016"/>
        <c:scaling>
          <c:orientation val="minMax"/>
        </c:scaling>
        <c:delete val="0"/>
        <c:axPos val="b"/>
        <c:numFmt formatCode="General" sourceLinked="1"/>
        <c:majorTickMark val="out"/>
        <c:minorTickMark val="none"/>
        <c:tickLblPos val="nextTo"/>
        <c:crossAx val="272677408"/>
        <c:crosses val="autoZero"/>
        <c:auto val="1"/>
        <c:lblAlgn val="ctr"/>
        <c:lblOffset val="100"/>
        <c:noMultiLvlLbl val="0"/>
      </c:catAx>
      <c:valAx>
        <c:axId val="272677408"/>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72677016"/>
        <c:crosses val="autoZero"/>
        <c:crossBetween val="between"/>
      </c:valAx>
      <c:spPr>
        <a:scene3d>
          <a:camera prst="orthographicFront"/>
          <a:lightRig rig="threePt" dir="t"/>
        </a:scene3d>
        <a:sp3d>
          <a:bevelB/>
        </a:sp3d>
      </c:spPr>
    </c:plotArea>
    <c:legend>
      <c:legendPos val="r"/>
      <c:layout>
        <c:manualLayout>
          <c:xMode val="edge"/>
          <c:yMode val="edge"/>
          <c:x val="0"/>
          <c:y val="0.86977343154686715"/>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2008 - 2013</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v>2008</c:v>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5"/>
          <c:order val="1"/>
          <c:tx>
            <c:v>2009</c:v>
          </c:tx>
          <c:spPr>
            <a:solidFill>
              <a:srgbClr val="FF8080"/>
            </a:solidFill>
            <a:ln w="12700">
              <a:solidFill>
                <a:srgbClr val="000000"/>
              </a:solidFill>
              <a:prstDash val="solid"/>
            </a:ln>
          </c:spPr>
          <c:invertIfNegative val="0"/>
          <c:val>
            <c:numRef>
              <c:f>'37'!$C$85:$J$85</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6"/>
          <c:order val="2"/>
          <c:tx>
            <c:v>2010</c:v>
          </c:tx>
          <c:spPr>
            <a:solidFill>
              <a:srgbClr val="0080C0"/>
            </a:solidFill>
            <a:ln w="12700">
              <a:solidFill>
                <a:srgbClr val="000000"/>
              </a:solidFill>
              <a:prstDash val="solid"/>
            </a:ln>
          </c:spPr>
          <c:invertIfNegative val="0"/>
          <c:val>
            <c:numRef>
              <c:f>'37'!$C$86:$J$86</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ser>
        <c:ser>
          <c:idx val="0"/>
          <c:order val="3"/>
          <c:tx>
            <c:v>2011</c:v>
          </c:tx>
          <c:spPr>
            <a:solidFill>
              <a:srgbClr val="8080FF"/>
            </a:solidFill>
            <a:ln w="12700">
              <a:solidFill>
                <a:srgbClr val="000000"/>
              </a:solidFill>
              <a:prstDash val="solid"/>
            </a:ln>
          </c:spPr>
          <c:invertIfNegative val="0"/>
          <c:val>
            <c:numRef>
              <c:f>'37'!$C$87:$J$87</c:f>
              <c:numCache>
                <c:formatCode>0.00</c:formatCode>
                <c:ptCount val="8"/>
                <c:pt idx="0">
                  <c:v>0.23964395754878468</c:v>
                </c:pt>
                <c:pt idx="1">
                  <c:v>7.2920232796987339</c:v>
                </c:pt>
                <c:pt idx="2">
                  <c:v>20.061622731941117</c:v>
                </c:pt>
                <c:pt idx="3">
                  <c:v>31.598767545361177</c:v>
                </c:pt>
                <c:pt idx="4">
                  <c:v>23.416638137624101</c:v>
                </c:pt>
                <c:pt idx="5">
                  <c:v>13.762410133515921</c:v>
                </c:pt>
                <c:pt idx="6">
                  <c:v>3.4234851078397806</c:v>
                </c:pt>
                <c:pt idx="7">
                  <c:v>0.20540910647038688</c:v>
                </c:pt>
              </c:numCache>
            </c:numRef>
          </c:val>
        </c:ser>
        <c:ser>
          <c:idx val="1"/>
          <c:order val="4"/>
          <c:tx>
            <c:v>2012</c:v>
          </c:tx>
          <c:invertIfNegative val="0"/>
          <c:val>
            <c:numRef>
              <c:f>'37'!$C$98:$J$98</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ser>
          <c:idx val="2"/>
          <c:order val="5"/>
          <c:tx>
            <c:v>2013</c:v>
          </c:tx>
          <c:invertIfNegative val="0"/>
          <c:val>
            <c:numRef>
              <c:f>'37'!$C$99:$J$99</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ser>
        <c:dLbls>
          <c:showLegendKey val="0"/>
          <c:showVal val="0"/>
          <c:showCatName val="0"/>
          <c:showSerName val="0"/>
          <c:showPercent val="0"/>
          <c:showBubbleSize val="0"/>
        </c:dLbls>
        <c:gapWidth val="150"/>
        <c:axId val="270920160"/>
        <c:axId val="270920552"/>
      </c:barChart>
      <c:catAx>
        <c:axId val="27092016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0920552"/>
        <c:crosses val="autoZero"/>
        <c:auto val="1"/>
        <c:lblAlgn val="ctr"/>
        <c:lblOffset val="100"/>
        <c:tickLblSkip val="1"/>
        <c:tickMarkSkip val="1"/>
        <c:noMultiLvlLbl val="0"/>
      </c:catAx>
      <c:valAx>
        <c:axId val="27092055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0920160"/>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2008 - 2013</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2015</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3"/>
          <c:order val="1"/>
          <c:tx>
            <c:strRef>
              <c:f>'37'!$B$95</c:f>
              <c:strCache>
                <c:ptCount val="1"/>
                <c:pt idx="0">
                  <c:v>2016</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4"/>
          <c:order val="2"/>
          <c:tx>
            <c:strRef>
              <c:f>'37'!$B$96</c:f>
              <c:strCache>
                <c:ptCount val="1"/>
                <c:pt idx="0">
                  <c:v>2017</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5"/>
          <c:order val="3"/>
          <c:tx>
            <c:strRef>
              <c:f>'37'!$B$97</c:f>
              <c:strCache>
                <c:ptCount val="1"/>
                <c:pt idx="0">
                  <c:v>2018</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ser>
          <c:idx val="0"/>
          <c:order val="4"/>
          <c:tx>
            <c:strRef>
              <c:f>'37'!$B$98</c:f>
              <c:strCache>
                <c:ptCount val="1"/>
                <c:pt idx="0">
                  <c:v>2019</c:v>
                </c:pt>
              </c:strCache>
            </c:strRef>
          </c:tx>
          <c:spPr>
            <a:solidFill>
              <a:srgbClr val="8080FF"/>
            </a:solidFill>
            <a:ln w="12700">
              <a:solidFill>
                <a:srgbClr val="000000"/>
              </a:solidFill>
              <a:prstDash val="solid"/>
            </a:ln>
          </c:spPr>
          <c:invertIfNegative val="0"/>
          <c:val>
            <c:numRef>
              <c:f>'37'!$C$98:$J$98</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ser>
          <c:idx val="1"/>
          <c:order val="5"/>
          <c:tx>
            <c:strRef>
              <c:f>'37'!$B$99</c:f>
              <c:strCache>
                <c:ptCount val="1"/>
                <c:pt idx="0">
                  <c:v>2020</c:v>
                </c:pt>
              </c:strCache>
            </c:strRef>
          </c:tx>
          <c:spPr>
            <a:solidFill>
              <a:srgbClr val="802060"/>
            </a:solidFill>
            <a:ln w="12700">
              <a:solidFill>
                <a:srgbClr val="000000"/>
              </a:solidFill>
              <a:prstDash val="solid"/>
            </a:ln>
          </c:spPr>
          <c:invertIfNegative val="0"/>
          <c:val>
            <c:numRef>
              <c:f>'37'!$C$99:$J$99</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ser>
        <c:dLbls>
          <c:showLegendKey val="0"/>
          <c:showVal val="0"/>
          <c:showCatName val="0"/>
          <c:showSerName val="0"/>
          <c:showPercent val="0"/>
          <c:showBubbleSize val="0"/>
        </c:dLbls>
        <c:gapWidth val="150"/>
        <c:axId val="270921336"/>
        <c:axId val="270921728"/>
      </c:barChart>
      <c:catAx>
        <c:axId val="270921336"/>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0921728"/>
        <c:crosses val="autoZero"/>
        <c:auto val="1"/>
        <c:lblAlgn val="ctr"/>
        <c:lblOffset val="100"/>
        <c:tickLblSkip val="1"/>
        <c:tickMarkSkip val="1"/>
        <c:noMultiLvlLbl val="0"/>
      </c:catAx>
      <c:valAx>
        <c:axId val="27092172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0921336"/>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-9246</c:v>
                </c:pt>
                <c:pt idx="22">
                  <c:v>-10253</c:v>
                </c:pt>
                <c:pt idx="23">
                  <c:v>-9780</c:v>
                </c:pt>
                <c:pt idx="24">
                  <c:v>-9121</c:v>
                </c:pt>
                <c:pt idx="25">
                  <c:v>-9272</c:v>
                </c:pt>
                <c:pt idx="26">
                  <c:v>-10957</c:v>
                </c:pt>
                <c:pt idx="27">
                  <c:v>-10710</c:v>
                </c:pt>
                <c:pt idx="28">
                  <c:v>-10553</c:v>
                </c:pt>
                <c:pt idx="29">
                  <c:v>-9501</c:v>
                </c:pt>
                <c:pt idx="30">
                  <c:v>-8847</c:v>
                </c:pt>
                <c:pt idx="31">
                  <c:v>-8751</c:v>
                </c:pt>
                <c:pt idx="32">
                  <c:v>-8243</c:v>
                </c:pt>
                <c:pt idx="33">
                  <c:v>-7312</c:v>
                </c:pt>
                <c:pt idx="34">
                  <c:v>-6146</c:v>
                </c:pt>
                <c:pt idx="35">
                  <c:v>-4437</c:v>
                </c:pt>
                <c:pt idx="36">
                  <c:v>-2913</c:v>
                </c:pt>
                <c:pt idx="37">
                  <c:v>-3311</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8943</c:v>
                </c:pt>
                <c:pt idx="22">
                  <c:v>9936</c:v>
                </c:pt>
                <c:pt idx="23">
                  <c:v>9717</c:v>
                </c:pt>
                <c:pt idx="24">
                  <c:v>8868</c:v>
                </c:pt>
                <c:pt idx="25">
                  <c:v>9203</c:v>
                </c:pt>
                <c:pt idx="26">
                  <c:v>11031</c:v>
                </c:pt>
                <c:pt idx="27">
                  <c:v>10779</c:v>
                </c:pt>
                <c:pt idx="28">
                  <c:v>10413</c:v>
                </c:pt>
                <c:pt idx="29">
                  <c:v>9776</c:v>
                </c:pt>
                <c:pt idx="30">
                  <c:v>9293</c:v>
                </c:pt>
                <c:pt idx="31">
                  <c:v>9188</c:v>
                </c:pt>
                <c:pt idx="32">
                  <c:v>8756</c:v>
                </c:pt>
                <c:pt idx="33">
                  <c:v>7859</c:v>
                </c:pt>
                <c:pt idx="34">
                  <c:v>6423</c:v>
                </c:pt>
                <c:pt idx="35">
                  <c:v>4858</c:v>
                </c:pt>
                <c:pt idx="36">
                  <c:v>3652</c:v>
                </c:pt>
                <c:pt idx="37">
                  <c:v>5318</c:v>
                </c:pt>
              </c:numCache>
            </c:numRef>
          </c:val>
        </c:ser>
        <c:dLbls>
          <c:showLegendKey val="0"/>
          <c:showVal val="0"/>
          <c:showCatName val="0"/>
          <c:showSerName val="0"/>
          <c:showPercent val="0"/>
          <c:showBubbleSize val="0"/>
        </c:dLbls>
        <c:gapWidth val="70"/>
        <c:overlap val="100"/>
        <c:axId val="270239568"/>
        <c:axId val="271088928"/>
      </c:barChart>
      <c:catAx>
        <c:axId val="2702395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71088928"/>
        <c:crosses val="autoZero"/>
        <c:auto val="1"/>
        <c:lblAlgn val="ctr"/>
        <c:lblOffset val="100"/>
        <c:tickLblSkip val="1"/>
        <c:tickMarkSkip val="1"/>
        <c:noMultiLvlLbl val="0"/>
      </c:catAx>
      <c:valAx>
        <c:axId val="271088928"/>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70239568"/>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2015 - 2020</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strRef>
              <c:f>'37'!$B$83</c:f>
              <c:strCache>
                <c:ptCount val="1"/>
                <c:pt idx="0">
                  <c:v>2015</c:v>
                </c:pt>
              </c:strCache>
            </c:strRef>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'37'!$C$83:$J$83</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5"/>
          <c:order val="1"/>
          <c:tx>
            <c:strRef>
              <c:f>'37'!$B$84</c:f>
              <c:strCache>
                <c:ptCount val="1"/>
                <c:pt idx="0">
                  <c:v>2016</c:v>
                </c:pt>
              </c:strCache>
            </c:strRef>
          </c:tx>
          <c:spPr>
            <a:solidFill>
              <a:srgbClr val="FF808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6"/>
          <c:order val="2"/>
          <c:tx>
            <c:strRef>
              <c:f>'37'!$B$85</c:f>
              <c:strCache>
                <c:ptCount val="1"/>
                <c:pt idx="0">
                  <c:v>2017</c:v>
                </c:pt>
              </c:strCache>
            </c:strRef>
          </c:tx>
          <c:spPr>
            <a:solidFill>
              <a:srgbClr val="0080C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'37'!$C$85:$J$85</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0"/>
          <c:order val="3"/>
          <c:tx>
            <c:strRef>
              <c:f>'37'!$B$86</c:f>
              <c:strCache>
                <c:ptCount val="1"/>
                <c:pt idx="0">
                  <c:v>2018</c:v>
                </c:pt>
              </c:strCache>
            </c:strRef>
          </c:tx>
          <c:spPr>
            <a:solidFill>
              <a:srgbClr val="8080FF"/>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'37'!$C$86:$J$86</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ser>
        <c:ser>
          <c:idx val="1"/>
          <c:order val="4"/>
          <c:tx>
            <c:strRef>
              <c:f>'37'!$B$87</c:f>
              <c:strCache>
                <c:ptCount val="1"/>
                <c:pt idx="0">
                  <c:v>2019</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'37'!$C$87:$J$87</c:f>
              <c:numCache>
                <c:formatCode>0.00</c:formatCode>
                <c:ptCount val="8"/>
                <c:pt idx="0">
                  <c:v>0.23964395754878468</c:v>
                </c:pt>
                <c:pt idx="1">
                  <c:v>7.2920232796987339</c:v>
                </c:pt>
                <c:pt idx="2">
                  <c:v>20.061622731941117</c:v>
                </c:pt>
                <c:pt idx="3">
                  <c:v>31.598767545361177</c:v>
                </c:pt>
                <c:pt idx="4">
                  <c:v>23.416638137624101</c:v>
                </c:pt>
                <c:pt idx="5">
                  <c:v>13.762410133515921</c:v>
                </c:pt>
                <c:pt idx="6">
                  <c:v>3.4234851078397806</c:v>
                </c:pt>
                <c:pt idx="7">
                  <c:v>0.20540910647038688</c:v>
                </c:pt>
              </c:numCache>
            </c:numRef>
          </c:val>
        </c:ser>
        <c:ser>
          <c:idx val="2"/>
          <c:order val="5"/>
          <c:tx>
            <c:strRef>
              <c:f>'37'!$B$88</c:f>
              <c:strCache>
                <c:ptCount val="1"/>
                <c:pt idx="0">
                  <c:v>2020</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'37'!$C$88:$J$88</c:f>
              <c:numCache>
                <c:formatCode>0.00</c:formatCode>
                <c:ptCount val="8"/>
                <c:pt idx="0">
                  <c:v>7.564296520423601E-2</c:v>
                </c:pt>
                <c:pt idx="1">
                  <c:v>5.7110438729198183</c:v>
                </c:pt>
                <c:pt idx="2">
                  <c:v>18.154311649016641</c:v>
                </c:pt>
                <c:pt idx="3">
                  <c:v>27.344931921331316</c:v>
                </c:pt>
                <c:pt idx="4">
                  <c:v>26.059001512859304</c:v>
                </c:pt>
                <c:pt idx="5">
                  <c:v>15.809379727685325</c:v>
                </c:pt>
                <c:pt idx="6">
                  <c:v>5.9001512859304084</c:v>
                </c:pt>
                <c:pt idx="7">
                  <c:v>0.9455370650529501</c:v>
                </c:pt>
              </c:numCache>
            </c:numRef>
          </c:val>
        </c:ser>
        <c:dLbls>
          <c:showLegendKey val="0"/>
          <c:showVal val="0"/>
          <c:showCatName val="0"/>
          <c:showSerName val="0"/>
          <c:showPercent val="0"/>
          <c:showBubbleSize val="0"/>
        </c:dLbls>
        <c:gapWidth val="150"/>
        <c:axId val="270922512"/>
        <c:axId val="270922904"/>
      </c:barChart>
      <c:catAx>
        <c:axId val="27092251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0922904"/>
        <c:crosses val="autoZero"/>
        <c:auto val="1"/>
        <c:lblAlgn val="ctr"/>
        <c:lblOffset val="100"/>
        <c:tickLblSkip val="1"/>
        <c:tickMarkSkip val="1"/>
        <c:noMultiLvlLbl val="0"/>
      </c:catAx>
      <c:valAx>
        <c:axId val="27092290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0922512"/>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2015 - 2020</a:t>
            </a:r>
          </a:p>
          <a:p>
            <a:pPr>
              <a:defRPr sz="875" b="1" i="0" u="none" strike="noStrike" baseline="0">
                <a:solidFill>
                  <a:srgbClr val="333399"/>
                </a:solidFill>
                <a:latin typeface="Arial"/>
                <a:ea typeface="Arial"/>
                <a:cs typeface="Arial"/>
              </a:defRPr>
            </a:pPr>
            <a:endParaRPr lang="es-ES"/>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2015</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3"/>
          <c:order val="1"/>
          <c:tx>
            <c:strRef>
              <c:f>'37'!$B$95</c:f>
              <c:strCache>
                <c:ptCount val="1"/>
                <c:pt idx="0">
                  <c:v>2016</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4"/>
          <c:order val="2"/>
          <c:tx>
            <c:strRef>
              <c:f>'37'!$B$96</c:f>
              <c:strCache>
                <c:ptCount val="1"/>
                <c:pt idx="0">
                  <c:v>2017</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5"/>
          <c:order val="3"/>
          <c:tx>
            <c:strRef>
              <c:f>'37'!$B$97</c:f>
              <c:strCache>
                <c:ptCount val="1"/>
                <c:pt idx="0">
                  <c:v>2018</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ser>
          <c:idx val="0"/>
          <c:order val="4"/>
          <c:tx>
            <c:strRef>
              <c:f>'37'!$B$98</c:f>
              <c:strCache>
                <c:ptCount val="1"/>
                <c:pt idx="0">
                  <c:v>2019</c:v>
                </c:pt>
              </c:strCache>
            </c:strRef>
          </c:tx>
          <c:spPr>
            <a:solidFill>
              <a:srgbClr val="8080FF"/>
            </a:solidFill>
            <a:ln w="12700">
              <a:solidFill>
                <a:srgbClr val="000000"/>
              </a:solidFill>
              <a:prstDash val="solid"/>
            </a:ln>
          </c:spPr>
          <c:invertIfNegative val="0"/>
          <c:val>
            <c:numRef>
              <c:f>'37'!$C$98:$J$98</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ser>
          <c:idx val="1"/>
          <c:order val="5"/>
          <c:tx>
            <c:strRef>
              <c:f>'37'!$B$99</c:f>
              <c:strCache>
                <c:ptCount val="1"/>
                <c:pt idx="0">
                  <c:v>2020</c:v>
                </c:pt>
              </c:strCache>
            </c:strRef>
          </c:tx>
          <c:spPr>
            <a:solidFill>
              <a:srgbClr val="802060"/>
            </a:solidFill>
            <a:ln w="12700">
              <a:solidFill>
                <a:srgbClr val="000000"/>
              </a:solidFill>
              <a:prstDash val="solid"/>
            </a:ln>
          </c:spPr>
          <c:invertIfNegative val="0"/>
          <c:val>
            <c:numRef>
              <c:f>'37'!$C$99:$J$99</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ser>
        <c:dLbls>
          <c:showLegendKey val="0"/>
          <c:showVal val="0"/>
          <c:showCatName val="0"/>
          <c:showSerName val="0"/>
          <c:showPercent val="0"/>
          <c:showBubbleSize val="0"/>
        </c:dLbls>
        <c:gapWidth val="150"/>
        <c:axId val="270923688"/>
        <c:axId val="275420488"/>
      </c:barChart>
      <c:catAx>
        <c:axId val="27092368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420488"/>
        <c:crosses val="autoZero"/>
        <c:auto val="1"/>
        <c:lblAlgn val="ctr"/>
        <c:lblOffset val="100"/>
        <c:tickLblSkip val="1"/>
        <c:tickMarkSkip val="1"/>
        <c:noMultiLvlLbl val="0"/>
      </c:catAx>
      <c:valAx>
        <c:axId val="27542048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0923688"/>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2009 - 2013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2016</c:v>
                </c:pt>
                <c:pt idx="1">
                  <c:v>2017</c:v>
                </c:pt>
                <c:pt idx="2">
                  <c:v>2018</c:v>
                </c:pt>
                <c:pt idx="3">
                  <c:v>2019</c:v>
                </c:pt>
                <c:pt idx="4">
                  <c:v>2020</c:v>
                </c:pt>
              </c:numCache>
            </c:numRef>
          </c:cat>
          <c:val>
            <c:numRef>
              <c:f>('38'!$B$14,'38'!$D$14,'38'!$F$14,'38'!$H$14,'38'!$J$14)</c:f>
              <c:numCache>
                <c:formatCode>0.0</c:formatCode>
                <c:ptCount val="5"/>
                <c:pt idx="0">
                  <c:v>57.249850209706409</c:v>
                </c:pt>
                <c:pt idx="1">
                  <c:v>56.406869220607661</c:v>
                </c:pt>
                <c:pt idx="2">
                  <c:v>53.921879961892657</c:v>
                </c:pt>
                <c:pt idx="3">
                  <c:v>54.364943512495721</c:v>
                </c:pt>
                <c:pt idx="4">
                  <c:v>58.6232980332829</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2016</c:v>
                </c:pt>
                <c:pt idx="1">
                  <c:v>2017</c:v>
                </c:pt>
                <c:pt idx="2">
                  <c:v>2018</c:v>
                </c:pt>
                <c:pt idx="3">
                  <c:v>2019</c:v>
                </c:pt>
                <c:pt idx="4">
                  <c:v>2020</c:v>
                </c:pt>
              </c:numCache>
            </c:numRef>
          </c:cat>
          <c:val>
            <c:numRef>
              <c:f>('38'!$C$14,'38'!$E$14,'38'!$G$14,'38'!$I$14,'38'!$K$14)</c:f>
              <c:numCache>
                <c:formatCode>0.0</c:formatCode>
                <c:ptCount val="5"/>
                <c:pt idx="0">
                  <c:v>40.994419076610853</c:v>
                </c:pt>
                <c:pt idx="1">
                  <c:v>40.642002176278567</c:v>
                </c:pt>
                <c:pt idx="2">
                  <c:v>38.790931989924431</c:v>
                </c:pt>
                <c:pt idx="3">
                  <c:v>38.295577130528585</c:v>
                </c:pt>
                <c:pt idx="4">
                  <c:v>46.103509815585966</c:v>
                </c:pt>
              </c:numCache>
            </c:numRef>
          </c:val>
          <c:smooth val="0"/>
        </c:ser>
        <c:dLbls>
          <c:showLegendKey val="0"/>
          <c:showVal val="0"/>
          <c:showCatName val="0"/>
          <c:showSerName val="0"/>
          <c:showPercent val="0"/>
          <c:showBubbleSize val="0"/>
        </c:dLbls>
        <c:smooth val="0"/>
        <c:axId val="275421272"/>
        <c:axId val="275421664"/>
      </c:lineChart>
      <c:catAx>
        <c:axId val="275421272"/>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421664"/>
        <c:crosses val="autoZero"/>
        <c:auto val="1"/>
        <c:lblAlgn val="ctr"/>
        <c:lblOffset val="100"/>
        <c:tickLblSkip val="1"/>
        <c:tickMarkSkip val="1"/>
        <c:noMultiLvlLbl val="0"/>
      </c:catAx>
      <c:valAx>
        <c:axId val="275421664"/>
        <c:scaling>
          <c:orientation val="minMax"/>
          <c:max val="58"/>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421272"/>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2016 - 2020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2016</c:v>
                </c:pt>
                <c:pt idx="1">
                  <c:v>2017</c:v>
                </c:pt>
                <c:pt idx="2">
                  <c:v>2018</c:v>
                </c:pt>
                <c:pt idx="3">
                  <c:v>2019</c:v>
                </c:pt>
                <c:pt idx="4">
                  <c:v>2020</c:v>
                </c:pt>
              </c:numCache>
            </c:numRef>
          </c:cat>
          <c:val>
            <c:numRef>
              <c:f>('38'!$B$14,'38'!$D$14,'38'!$F$14,'38'!$H$14,'38'!$J$14)</c:f>
              <c:numCache>
                <c:formatCode>0.0</c:formatCode>
                <c:ptCount val="5"/>
                <c:pt idx="0">
                  <c:v>57.249850209706409</c:v>
                </c:pt>
                <c:pt idx="1">
                  <c:v>56.406869220607661</c:v>
                </c:pt>
                <c:pt idx="2">
                  <c:v>53.921879961892657</c:v>
                </c:pt>
                <c:pt idx="3">
                  <c:v>54.364943512495721</c:v>
                </c:pt>
                <c:pt idx="4">
                  <c:v>58.6232980332829</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2016</c:v>
                </c:pt>
                <c:pt idx="1">
                  <c:v>2017</c:v>
                </c:pt>
                <c:pt idx="2">
                  <c:v>2018</c:v>
                </c:pt>
                <c:pt idx="3">
                  <c:v>2019</c:v>
                </c:pt>
                <c:pt idx="4">
                  <c:v>2020</c:v>
                </c:pt>
              </c:numCache>
            </c:numRef>
          </c:cat>
          <c:val>
            <c:numRef>
              <c:f>('38'!$C$14,'38'!$E$14,'38'!$G$14,'38'!$I$14,'38'!$K$14)</c:f>
              <c:numCache>
                <c:formatCode>0.0</c:formatCode>
                <c:ptCount val="5"/>
                <c:pt idx="0">
                  <c:v>40.994419076610853</c:v>
                </c:pt>
                <c:pt idx="1">
                  <c:v>40.642002176278567</c:v>
                </c:pt>
                <c:pt idx="2">
                  <c:v>38.790931989924431</c:v>
                </c:pt>
                <c:pt idx="3">
                  <c:v>38.295577130528585</c:v>
                </c:pt>
                <c:pt idx="4">
                  <c:v>46.103509815585966</c:v>
                </c:pt>
              </c:numCache>
            </c:numRef>
          </c:val>
          <c:smooth val="0"/>
        </c:ser>
        <c:dLbls>
          <c:showLegendKey val="0"/>
          <c:showVal val="0"/>
          <c:showCatName val="0"/>
          <c:showSerName val="0"/>
          <c:showPercent val="0"/>
          <c:showBubbleSize val="0"/>
        </c:dLbls>
        <c:smooth val="0"/>
        <c:axId val="275422448"/>
        <c:axId val="275422840"/>
      </c:lineChart>
      <c:catAx>
        <c:axId val="275422448"/>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422840"/>
        <c:crosses val="autoZero"/>
        <c:auto val="1"/>
        <c:lblAlgn val="ctr"/>
        <c:lblOffset val="100"/>
        <c:tickLblSkip val="1"/>
        <c:tickMarkSkip val="1"/>
        <c:noMultiLvlLbl val="0"/>
      </c:catAx>
      <c:valAx>
        <c:axId val="275422840"/>
        <c:scaling>
          <c:orientation val="minMax"/>
          <c:max val="60"/>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422448"/>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2008 -  2013</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2015</c:v>
                </c:pt>
                <c:pt idx="1">
                  <c:v>2016</c:v>
                </c:pt>
                <c:pt idx="2">
                  <c:v>2017</c:v>
                </c:pt>
                <c:pt idx="3">
                  <c:v>2018</c:v>
                </c:pt>
                <c:pt idx="4">
                  <c:v>2019</c:v>
                </c:pt>
                <c:pt idx="5">
                  <c:v>2020</c:v>
                </c:pt>
              </c:numCache>
            </c:numRef>
          </c:cat>
          <c:val>
            <c:numRef>
              <c:f>'40'!$T$12:$Y$12</c:f>
              <c:numCache>
                <c:formatCode>General</c:formatCode>
                <c:ptCount val="6"/>
                <c:pt idx="0">
                  <c:v>619</c:v>
                </c:pt>
                <c:pt idx="1">
                  <c:v>564</c:v>
                </c:pt>
                <c:pt idx="2">
                  <c:v>386</c:v>
                </c:pt>
                <c:pt idx="3">
                  <c:v>453</c:v>
                </c:pt>
                <c:pt idx="4">
                  <c:v>440</c:v>
                </c:pt>
                <c:pt idx="5">
                  <c:v>456</c:v>
                </c:pt>
              </c:numCache>
            </c:numRef>
          </c:val>
          <c:smooth val="0"/>
        </c:ser>
        <c:dLbls>
          <c:showLegendKey val="0"/>
          <c:showVal val="0"/>
          <c:showCatName val="0"/>
          <c:showSerName val="0"/>
          <c:showPercent val="0"/>
          <c:showBubbleSize val="0"/>
        </c:dLbls>
        <c:marker val="1"/>
        <c:smooth val="0"/>
        <c:axId val="275423624"/>
        <c:axId val="275424016"/>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1</c:v>
                </c:pt>
                <c:pt idx="1">
                  <c:v>5</c:v>
                </c:pt>
                <c:pt idx="2">
                  <c:v>10</c:v>
                </c:pt>
                <c:pt idx="3">
                  <c:v>11</c:v>
                </c:pt>
                <c:pt idx="4">
                  <c:v>11</c:v>
                </c:pt>
                <c:pt idx="5">
                  <c:v>5</c:v>
                </c:pt>
              </c:numCache>
            </c:numRef>
          </c:cat>
          <c:val>
            <c:numRef>
              <c:f>'40'!$T$13:$Y$13</c:f>
              <c:numCache>
                <c:formatCode>General</c:formatCode>
                <c:ptCount val="6"/>
                <c:pt idx="0">
                  <c:v>1</c:v>
                </c:pt>
                <c:pt idx="1">
                  <c:v>5</c:v>
                </c:pt>
                <c:pt idx="2">
                  <c:v>10</c:v>
                </c:pt>
                <c:pt idx="3">
                  <c:v>11</c:v>
                </c:pt>
                <c:pt idx="4">
                  <c:v>11</c:v>
                </c:pt>
                <c:pt idx="5">
                  <c:v>5</c:v>
                </c:pt>
              </c:numCache>
            </c:numRef>
          </c:val>
          <c:smooth val="0"/>
        </c:ser>
        <c:dLbls>
          <c:showLegendKey val="0"/>
          <c:showVal val="0"/>
          <c:showCatName val="0"/>
          <c:showSerName val="0"/>
          <c:showPercent val="0"/>
          <c:showBubbleSize val="0"/>
        </c:dLbls>
        <c:marker val="1"/>
        <c:smooth val="0"/>
        <c:axId val="275238480"/>
        <c:axId val="275238872"/>
      </c:lineChart>
      <c:catAx>
        <c:axId val="2754236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5424016"/>
        <c:crosses val="autoZero"/>
        <c:auto val="0"/>
        <c:lblAlgn val="ctr"/>
        <c:lblOffset val="100"/>
        <c:tickLblSkip val="1"/>
        <c:tickMarkSkip val="1"/>
        <c:noMultiLvlLbl val="0"/>
      </c:catAx>
      <c:valAx>
        <c:axId val="275424016"/>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5423624"/>
        <c:crosses val="autoZero"/>
        <c:crossBetween val="between"/>
        <c:majorUnit val="100"/>
        <c:minorUnit val="100"/>
      </c:valAx>
      <c:catAx>
        <c:axId val="275238480"/>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75238872"/>
        <c:crosses val="autoZero"/>
        <c:auto val="0"/>
        <c:lblAlgn val="ctr"/>
        <c:lblOffset val="100"/>
        <c:noMultiLvlLbl val="0"/>
      </c:catAx>
      <c:valAx>
        <c:axId val="275238872"/>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238480"/>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2015 -  2020</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2015</c:v>
                </c:pt>
                <c:pt idx="1">
                  <c:v>2016</c:v>
                </c:pt>
                <c:pt idx="2">
                  <c:v>2017</c:v>
                </c:pt>
                <c:pt idx="3">
                  <c:v>2018</c:v>
                </c:pt>
                <c:pt idx="4">
                  <c:v>2019</c:v>
                </c:pt>
                <c:pt idx="5">
                  <c:v>2020</c:v>
                </c:pt>
              </c:numCache>
            </c:numRef>
          </c:cat>
          <c:val>
            <c:numRef>
              <c:f>'40'!$T$12:$Y$12</c:f>
              <c:numCache>
                <c:formatCode>General</c:formatCode>
                <c:ptCount val="6"/>
                <c:pt idx="0">
                  <c:v>619</c:v>
                </c:pt>
                <c:pt idx="1">
                  <c:v>564</c:v>
                </c:pt>
                <c:pt idx="2">
                  <c:v>386</c:v>
                </c:pt>
                <c:pt idx="3">
                  <c:v>453</c:v>
                </c:pt>
                <c:pt idx="4">
                  <c:v>440</c:v>
                </c:pt>
                <c:pt idx="5">
                  <c:v>456</c:v>
                </c:pt>
              </c:numCache>
            </c:numRef>
          </c:val>
          <c:smooth val="0"/>
        </c:ser>
        <c:dLbls>
          <c:showLegendKey val="0"/>
          <c:showVal val="0"/>
          <c:showCatName val="0"/>
          <c:showSerName val="0"/>
          <c:showPercent val="0"/>
          <c:showBubbleSize val="0"/>
        </c:dLbls>
        <c:marker val="1"/>
        <c:smooth val="0"/>
        <c:axId val="275239656"/>
        <c:axId val="275240048"/>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1</c:v>
                </c:pt>
                <c:pt idx="1">
                  <c:v>5</c:v>
                </c:pt>
                <c:pt idx="2">
                  <c:v>10</c:v>
                </c:pt>
                <c:pt idx="3">
                  <c:v>11</c:v>
                </c:pt>
                <c:pt idx="4">
                  <c:v>11</c:v>
                </c:pt>
                <c:pt idx="5">
                  <c:v>5</c:v>
                </c:pt>
              </c:numCache>
            </c:numRef>
          </c:cat>
          <c:val>
            <c:numRef>
              <c:f>'40'!$T$13:$Y$13</c:f>
              <c:numCache>
                <c:formatCode>General</c:formatCode>
                <c:ptCount val="6"/>
                <c:pt idx="0">
                  <c:v>1</c:v>
                </c:pt>
                <c:pt idx="1">
                  <c:v>5</c:v>
                </c:pt>
                <c:pt idx="2">
                  <c:v>10</c:v>
                </c:pt>
                <c:pt idx="3">
                  <c:v>11</c:v>
                </c:pt>
                <c:pt idx="4">
                  <c:v>11</c:v>
                </c:pt>
                <c:pt idx="5">
                  <c:v>5</c:v>
                </c:pt>
              </c:numCache>
            </c:numRef>
          </c:val>
          <c:smooth val="0"/>
        </c:ser>
        <c:dLbls>
          <c:showLegendKey val="0"/>
          <c:showVal val="0"/>
          <c:showCatName val="0"/>
          <c:showSerName val="0"/>
          <c:showPercent val="0"/>
          <c:showBubbleSize val="0"/>
        </c:dLbls>
        <c:marker val="1"/>
        <c:smooth val="0"/>
        <c:axId val="275240440"/>
        <c:axId val="275240832"/>
      </c:lineChart>
      <c:catAx>
        <c:axId val="2752396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5240048"/>
        <c:crosses val="autoZero"/>
        <c:auto val="0"/>
        <c:lblAlgn val="ctr"/>
        <c:lblOffset val="100"/>
        <c:tickLblSkip val="1"/>
        <c:tickMarkSkip val="1"/>
        <c:noMultiLvlLbl val="0"/>
      </c:catAx>
      <c:valAx>
        <c:axId val="275240048"/>
        <c:scaling>
          <c:orientation val="minMax"/>
          <c:max val="700"/>
          <c:min val="36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75239656"/>
        <c:crosses val="autoZero"/>
        <c:crossBetween val="between"/>
        <c:majorUnit val="100"/>
        <c:minorUnit val="100"/>
      </c:valAx>
      <c:catAx>
        <c:axId val="275240440"/>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75240832"/>
        <c:crosses val="autoZero"/>
        <c:auto val="0"/>
        <c:lblAlgn val="ctr"/>
        <c:lblOffset val="100"/>
        <c:noMultiLvlLbl val="0"/>
      </c:catAx>
      <c:valAx>
        <c:axId val="275240832"/>
        <c:scaling>
          <c:orientation val="minMax"/>
          <c:max val="11"/>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240440"/>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000"/>
              <a:t>RESOLUTIVIDAD ATENCION  MEDICA  Y  ODONTOLOGICA</a:t>
            </a:r>
          </a:p>
          <a:p>
            <a:pPr>
              <a:defRPr/>
            </a:pPr>
            <a:r>
              <a:rPr lang="es-ES" sz="1000"/>
              <a:t>EN  ATENCION  PRIMARIA  2020</a:t>
            </a:r>
          </a:p>
        </c:rich>
      </c:tx>
      <c:overlay val="0"/>
    </c:title>
    <c:autoTitleDeleted val="0"/>
    <c:plotArea>
      <c:layout>
        <c:manualLayout>
          <c:layoutTarget val="inner"/>
          <c:xMode val="edge"/>
          <c:yMode val="edge"/>
          <c:x val="0.12533552055993"/>
          <c:y val="0.1630495226558219"/>
          <c:w val="0.84410892388451464"/>
          <c:h val="0.58434541836116638"/>
        </c:manualLayout>
      </c:layout>
      <c:lineChart>
        <c:grouping val="standard"/>
        <c:varyColors val="0"/>
        <c:ser>
          <c:idx val="0"/>
          <c:order val="0"/>
          <c:tx>
            <c:strRef>
              <c:f>'58'!$B$4</c:f>
              <c:strCache>
                <c:ptCount val="1"/>
                <c:pt idx="0">
                  <c:v>MEDICO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'58'!$D$6:$D$18</c:f>
              <c:numCache>
                <c:formatCode>0.00</c:formatCode>
                <c:ptCount val="13"/>
                <c:pt idx="0">
                  <c:v>94.513110267502427</c:v>
                </c:pt>
                <c:pt idx="1">
                  <c:v>84.094384968319858</c:v>
                </c:pt>
                <c:pt idx="2">
                  <c:v>95.704045315554666</c:v>
                </c:pt>
                <c:pt idx="3">
                  <c:v>94.356696281671603</c:v>
                </c:pt>
                <c:pt idx="4">
                  <c:v>94.282689253573309</c:v>
                </c:pt>
                <c:pt idx="5">
                  <c:v>81.329167370376638</c:v>
                </c:pt>
                <c:pt idx="6">
                  <c:v>89.774731441398103</c:v>
                </c:pt>
                <c:pt idx="7">
                  <c:v>88.878780987036606</c:v>
                </c:pt>
                <c:pt idx="8">
                  <c:v>93.073089700996675</c:v>
                </c:pt>
                <c:pt idx="9">
                  <c:v>92.492984097287192</c:v>
                </c:pt>
                <c:pt idx="10">
                  <c:v>95.735750860404607</c:v>
                </c:pt>
                <c:pt idx="11">
                  <c:v>88.983323675230181</c:v>
                </c:pt>
                <c:pt idx="12">
                  <c:v>94.259423606894302</c:v>
                </c:pt>
              </c:numCache>
            </c:numRef>
          </c:val>
          <c:smooth val="0"/>
        </c:ser>
        <c:ser>
          <c:idx val="1"/>
          <c:order val="1"/>
          <c:tx>
            <c:strRef>
              <c:f>'58'!$E$4</c:f>
              <c:strCache>
                <c:ptCount val="1"/>
                <c:pt idx="0">
                  <c:v>ODONTOLOGO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'58'!$G$6:$G$18</c:f>
              <c:numCache>
                <c:formatCode>0.00</c:formatCode>
                <c:ptCount val="13"/>
                <c:pt idx="0">
                  <c:v>92.753623188405797</c:v>
                </c:pt>
                <c:pt idx="1">
                  <c:v>90.332705586942879</c:v>
                </c:pt>
                <c:pt idx="2">
                  <c:v>95.434969853574501</c:v>
                </c:pt>
                <c:pt idx="3">
                  <c:v>93.37199668599834</c:v>
                </c:pt>
                <c:pt idx="4">
                  <c:v>92.75545713381841</c:v>
                </c:pt>
                <c:pt idx="5">
                  <c:v>96.240337315530567</c:v>
                </c:pt>
                <c:pt idx="6">
                  <c:v>86.475942782834849</c:v>
                </c:pt>
                <c:pt idx="7">
                  <c:v>95.652173913043484</c:v>
                </c:pt>
                <c:pt idx="8">
                  <c:v>90.469930989155429</c:v>
                </c:pt>
                <c:pt idx="9">
                  <c:v>91.748366013071887</c:v>
                </c:pt>
                <c:pt idx="10">
                  <c:v>91.44572286143071</c:v>
                </c:pt>
                <c:pt idx="11">
                  <c:v>93.19451498222449</c:v>
                </c:pt>
                <c:pt idx="12">
                  <c:v>94.887626574462843</c:v>
                </c:pt>
              </c:numCache>
            </c:numRef>
          </c:val>
          <c:smooth val="0"/>
        </c:ser>
        <c:dLbls>
          <c:showLegendKey val="0"/>
          <c:showVal val="0"/>
          <c:showCatName val="0"/>
          <c:showSerName val="0"/>
          <c:showPercent val="0"/>
          <c:showBubbleSize val="0"/>
        </c:dLbls>
        <c:smooth val="0"/>
        <c:axId val="275242008"/>
        <c:axId val="275709944"/>
      </c:lineChart>
      <c:catAx>
        <c:axId val="275242008"/>
        <c:scaling>
          <c:orientation val="minMax"/>
        </c:scaling>
        <c:delete val="0"/>
        <c:axPos val="b"/>
        <c:numFmt formatCode="General" sourceLinked="0"/>
        <c:majorTickMark val="out"/>
        <c:minorTickMark val="none"/>
        <c:tickLblPos val="nextTo"/>
        <c:txPr>
          <a:bodyPr/>
          <a:lstStyle/>
          <a:p>
            <a:pPr>
              <a:defRPr sz="600" baseline="0"/>
            </a:pPr>
            <a:endParaRPr lang="es-CL"/>
          </a:p>
        </c:txPr>
        <c:crossAx val="275709944"/>
        <c:crossesAt val="80"/>
        <c:auto val="1"/>
        <c:lblAlgn val="ctr"/>
        <c:lblOffset val="100"/>
        <c:noMultiLvlLbl val="0"/>
      </c:catAx>
      <c:valAx>
        <c:axId val="275709944"/>
        <c:scaling>
          <c:orientation val="minMax"/>
          <c:min val="70"/>
        </c:scaling>
        <c:delete val="0"/>
        <c:axPos val="l"/>
        <c:majorGridlines/>
        <c:numFmt formatCode="0.00" sourceLinked="1"/>
        <c:majorTickMark val="out"/>
        <c:minorTickMark val="none"/>
        <c:tickLblPos val="nextTo"/>
        <c:crossAx val="275242008"/>
        <c:crosses val="autoZero"/>
        <c:crossBetween val="between"/>
      </c:valAx>
    </c:plotArea>
    <c:legend>
      <c:legendPos val="b"/>
      <c:layout>
        <c:manualLayout>
          <c:xMode val="edge"/>
          <c:yMode val="edge"/>
          <c:x val="0.32482436570428697"/>
          <c:y val="0.9294808341265034"/>
          <c:w val="0.41146216097987748"/>
          <c:h val="4.8541143895474606E-2"/>
        </c:manualLayout>
      </c:layout>
      <c:overlay val="0"/>
      <c:txPr>
        <a:bodyPr/>
        <a:lstStyle/>
        <a:p>
          <a:pPr>
            <a:defRPr sz="600" baseline="0"/>
          </a:pPr>
          <a:endParaRPr lang="es-CL"/>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'61'!$C$32:$H$32</c:f>
              <c:numCache>
                <c:formatCode>#,##0</c:formatCode>
                <c:ptCount val="6"/>
                <c:pt idx="0">
                  <c:v>234927</c:v>
                </c:pt>
                <c:pt idx="1">
                  <c:v>244584</c:v>
                </c:pt>
                <c:pt idx="2">
                  <c:v>284102</c:v>
                </c:pt>
                <c:pt idx="3">
                  <c:v>288109</c:v>
                </c:pt>
                <c:pt idx="4">
                  <c:v>296988</c:v>
                </c:pt>
                <c:pt idx="5">
                  <c:v>203391</c:v>
                </c:pt>
              </c:numCache>
            </c:numRef>
          </c:val>
          <c:smooth val="0"/>
        </c:ser>
        <c:dLbls>
          <c:showLegendKey val="0"/>
          <c:showVal val="0"/>
          <c:showCatName val="0"/>
          <c:showSerName val="0"/>
          <c:showPercent val="0"/>
          <c:showBubbleSize val="0"/>
        </c:dLbls>
        <c:smooth val="0"/>
        <c:axId val="275710728"/>
        <c:axId val="275711120"/>
      </c:lineChart>
      <c:catAx>
        <c:axId val="27571072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5711120"/>
        <c:crosses val="autoZero"/>
        <c:auto val="1"/>
        <c:lblAlgn val="ctr"/>
        <c:lblOffset val="100"/>
        <c:tickLblSkip val="1"/>
        <c:tickMarkSkip val="1"/>
        <c:noMultiLvlLbl val="0"/>
      </c:catAx>
      <c:valAx>
        <c:axId val="275711120"/>
        <c:scaling>
          <c:orientation val="minMax"/>
          <c:max val="300000"/>
          <c:min val="24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5710728"/>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'61'!$N$21:$S$21</c:f>
              <c:numCache>
                <c:formatCode>0.00</c:formatCode>
                <c:ptCount val="6"/>
                <c:pt idx="0">
                  <c:v>0.85749795596566025</c:v>
                </c:pt>
                <c:pt idx="1">
                  <c:v>0.88302254634727517</c:v>
                </c:pt>
                <c:pt idx="2">
                  <c:v>1.0160361636232289</c:v>
                </c:pt>
                <c:pt idx="3">
                  <c:v>1.0207654261500525</c:v>
                </c:pt>
                <c:pt idx="4">
                  <c:v>1.0423374572255857</c:v>
                </c:pt>
                <c:pt idx="5">
                  <c:v>0.71776783382621767</c:v>
                </c:pt>
              </c:numCache>
            </c:numRef>
          </c:val>
          <c:smooth val="0"/>
        </c:ser>
        <c:dLbls>
          <c:showLegendKey val="0"/>
          <c:showVal val="0"/>
          <c:showCatName val="0"/>
          <c:showSerName val="0"/>
          <c:showPercent val="0"/>
          <c:showBubbleSize val="0"/>
        </c:dLbls>
        <c:smooth val="0"/>
        <c:axId val="275711904"/>
        <c:axId val="275712296"/>
      </c:lineChart>
      <c:catAx>
        <c:axId val="2757119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712296"/>
        <c:crosses val="autoZero"/>
        <c:auto val="1"/>
        <c:lblAlgn val="ctr"/>
        <c:lblOffset val="100"/>
        <c:tickLblSkip val="1"/>
        <c:tickMarkSkip val="1"/>
        <c:noMultiLvlLbl val="0"/>
      </c:catAx>
      <c:valAx>
        <c:axId val="275712296"/>
        <c:scaling>
          <c:orientation val="minMax"/>
          <c:min val="0.8500000000000006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571190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'61'!$N$22:$S$22</c:f>
              <c:numCache>
                <c:formatCode>0.00</c:formatCode>
                <c:ptCount val="6"/>
                <c:pt idx="0">
                  <c:v>0.46849234768646542</c:v>
                </c:pt>
                <c:pt idx="1">
                  <c:v>0.5540138377889674</c:v>
                </c:pt>
                <c:pt idx="2">
                  <c:v>0.70461077250879545</c:v>
                </c:pt>
                <c:pt idx="3">
                  <c:v>0.70498496442803704</c:v>
                </c:pt>
                <c:pt idx="4">
                  <c:v>0.66143860241777863</c:v>
                </c:pt>
                <c:pt idx="5">
                  <c:v>0.534342737138913</c:v>
                </c:pt>
              </c:numCache>
            </c:numRef>
          </c:val>
          <c:smooth val="0"/>
        </c:ser>
        <c:dLbls>
          <c:showLegendKey val="0"/>
          <c:showVal val="0"/>
          <c:showCatName val="0"/>
          <c:showSerName val="0"/>
          <c:showPercent val="0"/>
          <c:showBubbleSize val="0"/>
        </c:dLbls>
        <c:smooth val="0"/>
        <c:axId val="275713080"/>
        <c:axId val="275713472"/>
      </c:lineChart>
      <c:catAx>
        <c:axId val="275713080"/>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5713472"/>
        <c:crosses val="autoZero"/>
        <c:auto val="1"/>
        <c:lblAlgn val="ctr"/>
        <c:lblOffset val="100"/>
        <c:tickLblSkip val="1"/>
        <c:tickMarkSkip val="1"/>
        <c:noMultiLvlLbl val="0"/>
      </c:catAx>
      <c:valAx>
        <c:axId val="27571347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57130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1990 - 2020</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-9246</c:v>
                </c:pt>
                <c:pt idx="22">
                  <c:v>-10253</c:v>
                </c:pt>
                <c:pt idx="23">
                  <c:v>-9780</c:v>
                </c:pt>
                <c:pt idx="24">
                  <c:v>-9121</c:v>
                </c:pt>
                <c:pt idx="25">
                  <c:v>-9272</c:v>
                </c:pt>
                <c:pt idx="26">
                  <c:v>-10957</c:v>
                </c:pt>
                <c:pt idx="27">
                  <c:v>-10710</c:v>
                </c:pt>
                <c:pt idx="28">
                  <c:v>-10553</c:v>
                </c:pt>
                <c:pt idx="29">
                  <c:v>-9501</c:v>
                </c:pt>
                <c:pt idx="30">
                  <c:v>-8847</c:v>
                </c:pt>
                <c:pt idx="31">
                  <c:v>-8751</c:v>
                </c:pt>
                <c:pt idx="32">
                  <c:v>-8243</c:v>
                </c:pt>
                <c:pt idx="33">
                  <c:v>-7312</c:v>
                </c:pt>
                <c:pt idx="34">
                  <c:v>-6146</c:v>
                </c:pt>
                <c:pt idx="35">
                  <c:v>-4437</c:v>
                </c:pt>
                <c:pt idx="36">
                  <c:v>-2913</c:v>
                </c:pt>
                <c:pt idx="37">
                  <c:v>-3311</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8943</c:v>
                </c:pt>
                <c:pt idx="22">
                  <c:v>9936</c:v>
                </c:pt>
                <c:pt idx="23">
                  <c:v>9717</c:v>
                </c:pt>
                <c:pt idx="24">
                  <c:v>8868</c:v>
                </c:pt>
                <c:pt idx="25">
                  <c:v>9203</c:v>
                </c:pt>
                <c:pt idx="26">
                  <c:v>11031</c:v>
                </c:pt>
                <c:pt idx="27">
                  <c:v>10779</c:v>
                </c:pt>
                <c:pt idx="28">
                  <c:v>10413</c:v>
                </c:pt>
                <c:pt idx="29">
                  <c:v>9776</c:v>
                </c:pt>
                <c:pt idx="30">
                  <c:v>9293</c:v>
                </c:pt>
                <c:pt idx="31">
                  <c:v>9188</c:v>
                </c:pt>
                <c:pt idx="32">
                  <c:v>8756</c:v>
                </c:pt>
                <c:pt idx="33">
                  <c:v>7859</c:v>
                </c:pt>
                <c:pt idx="34">
                  <c:v>6423</c:v>
                </c:pt>
                <c:pt idx="35">
                  <c:v>4858</c:v>
                </c:pt>
                <c:pt idx="36">
                  <c:v>3652</c:v>
                </c:pt>
                <c:pt idx="37">
                  <c:v>5318</c:v>
                </c:pt>
              </c:numCache>
            </c:numRef>
          </c:val>
        </c:ser>
        <c:dLbls>
          <c:showLegendKey val="0"/>
          <c:showVal val="0"/>
          <c:showCatName val="0"/>
          <c:showSerName val="0"/>
          <c:showPercent val="0"/>
          <c:showBubbleSize val="0"/>
        </c:dLbls>
        <c:gapWidth val="70"/>
        <c:overlap val="100"/>
        <c:axId val="270594832"/>
        <c:axId val="269670704"/>
      </c:barChart>
      <c:catAx>
        <c:axId val="2705948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69670704"/>
        <c:crosses val="autoZero"/>
        <c:auto val="1"/>
        <c:lblAlgn val="ctr"/>
        <c:lblOffset val="100"/>
        <c:tickLblSkip val="1"/>
        <c:tickMarkSkip val="1"/>
        <c:noMultiLvlLbl val="0"/>
      </c:catAx>
      <c:valAx>
        <c:axId val="269670704"/>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70594832"/>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'61'!$N$24:$S$24</c:f>
              <c:numCache>
                <c:formatCode>0.00</c:formatCode>
                <c:ptCount val="6"/>
                <c:pt idx="0">
                  <c:v>0.85375668375503</c:v>
                </c:pt>
                <c:pt idx="1">
                  <c:v>0.84931656047486792</c:v>
                </c:pt>
                <c:pt idx="2">
                  <c:v>1.0240275832345653</c:v>
                </c:pt>
                <c:pt idx="3">
                  <c:v>1.0151878497202238</c:v>
                </c:pt>
                <c:pt idx="4">
                  <c:v>1.2022140221402213</c:v>
                </c:pt>
                <c:pt idx="5">
                  <c:v>0.96638085549580977</c:v>
                </c:pt>
              </c:numCache>
            </c:numRef>
          </c:val>
          <c:smooth val="0"/>
        </c:ser>
        <c:dLbls>
          <c:showLegendKey val="0"/>
          <c:showVal val="0"/>
          <c:showCatName val="0"/>
          <c:showSerName val="0"/>
          <c:showPercent val="0"/>
          <c:showBubbleSize val="0"/>
        </c:dLbls>
        <c:smooth val="0"/>
        <c:axId val="277806520"/>
        <c:axId val="277806912"/>
      </c:lineChart>
      <c:catAx>
        <c:axId val="277806520"/>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806912"/>
        <c:crosses val="autoZero"/>
        <c:auto val="1"/>
        <c:lblAlgn val="ctr"/>
        <c:lblOffset val="100"/>
        <c:tickLblSkip val="1"/>
        <c:tickMarkSkip val="1"/>
        <c:noMultiLvlLbl val="0"/>
      </c:catAx>
      <c:valAx>
        <c:axId val="27780691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8065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'61'!$N$25:$S$25</c:f>
              <c:numCache>
                <c:formatCode>0.00</c:formatCode>
                <c:ptCount val="6"/>
                <c:pt idx="0">
                  <c:v>1.1299496040316774</c:v>
                </c:pt>
                <c:pt idx="1">
                  <c:v>1.3687331536388141</c:v>
                </c:pt>
                <c:pt idx="2">
                  <c:v>1.4756591379465491</c:v>
                </c:pt>
                <c:pt idx="3">
                  <c:v>1.6932432432432432</c:v>
                </c:pt>
                <c:pt idx="4">
                  <c:v>1.4522091974752029</c:v>
                </c:pt>
                <c:pt idx="5">
                  <c:v>0.73753185293046963</c:v>
                </c:pt>
              </c:numCache>
            </c:numRef>
          </c:val>
          <c:smooth val="0"/>
        </c:ser>
        <c:dLbls>
          <c:showLegendKey val="0"/>
          <c:showVal val="0"/>
          <c:showCatName val="0"/>
          <c:showSerName val="0"/>
          <c:showPercent val="0"/>
          <c:showBubbleSize val="0"/>
        </c:dLbls>
        <c:smooth val="0"/>
        <c:axId val="277807696"/>
        <c:axId val="277808088"/>
      </c:lineChart>
      <c:catAx>
        <c:axId val="27780769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808088"/>
        <c:crosses val="autoZero"/>
        <c:auto val="1"/>
        <c:lblAlgn val="ctr"/>
        <c:lblOffset val="100"/>
        <c:tickLblSkip val="1"/>
        <c:tickMarkSkip val="1"/>
        <c:noMultiLvlLbl val="0"/>
      </c:catAx>
      <c:valAx>
        <c:axId val="27780808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8076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'61'!$N$26:$S$26</c:f>
              <c:numCache>
                <c:formatCode>0.00</c:formatCode>
                <c:ptCount val="6"/>
                <c:pt idx="0">
                  <c:v>1.6838733075435204</c:v>
                </c:pt>
                <c:pt idx="1">
                  <c:v>1.5062156347119293</c:v>
                </c:pt>
                <c:pt idx="2">
                  <c:v>1.3981536276482425</c:v>
                </c:pt>
                <c:pt idx="3">
                  <c:v>1.2525252525252526</c:v>
                </c:pt>
                <c:pt idx="4">
                  <c:v>1.7070930232558139</c:v>
                </c:pt>
                <c:pt idx="5">
                  <c:v>1.1740211311373523</c:v>
                </c:pt>
              </c:numCache>
            </c:numRef>
          </c:val>
          <c:smooth val="0"/>
        </c:ser>
        <c:dLbls>
          <c:showLegendKey val="0"/>
          <c:showVal val="0"/>
          <c:showCatName val="0"/>
          <c:showSerName val="0"/>
          <c:showPercent val="0"/>
          <c:showBubbleSize val="0"/>
        </c:dLbls>
        <c:smooth val="0"/>
        <c:axId val="277808872"/>
        <c:axId val="277809264"/>
      </c:lineChart>
      <c:catAx>
        <c:axId val="2778088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809264"/>
        <c:crosses val="autoZero"/>
        <c:auto val="1"/>
        <c:lblAlgn val="ctr"/>
        <c:lblOffset val="100"/>
        <c:tickLblSkip val="1"/>
        <c:tickMarkSkip val="1"/>
        <c:noMultiLvlLbl val="0"/>
      </c:catAx>
      <c:valAx>
        <c:axId val="27780926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8088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'61'!$N$28:$S$28</c:f>
              <c:numCache>
                <c:formatCode>0.00</c:formatCode>
                <c:ptCount val="6"/>
                <c:pt idx="0">
                  <c:v>0.82753264826849238</c:v>
                </c:pt>
                <c:pt idx="1">
                  <c:v>0.79164417177914115</c:v>
                </c:pt>
                <c:pt idx="2">
                  <c:v>0.91746524660957329</c:v>
                </c:pt>
                <c:pt idx="3">
                  <c:v>0.87395814594951127</c:v>
                </c:pt>
                <c:pt idx="4">
                  <c:v>0.92699760453478164</c:v>
                </c:pt>
                <c:pt idx="5">
                  <c:v>0.49604762018827703</c:v>
                </c:pt>
              </c:numCache>
            </c:numRef>
          </c:val>
          <c:smooth val="0"/>
        </c:ser>
        <c:dLbls>
          <c:showLegendKey val="0"/>
          <c:showVal val="0"/>
          <c:showCatName val="0"/>
          <c:showSerName val="0"/>
          <c:showPercent val="0"/>
          <c:showBubbleSize val="0"/>
        </c:dLbls>
        <c:smooth val="0"/>
        <c:axId val="277912624"/>
        <c:axId val="277913016"/>
      </c:lineChart>
      <c:catAx>
        <c:axId val="27791262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913016"/>
        <c:crosses val="autoZero"/>
        <c:auto val="1"/>
        <c:lblAlgn val="ctr"/>
        <c:lblOffset val="100"/>
        <c:tickLblSkip val="1"/>
        <c:tickMarkSkip val="1"/>
        <c:noMultiLvlLbl val="0"/>
      </c:catAx>
      <c:valAx>
        <c:axId val="277913016"/>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91262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'61'!$N$30:$S$30</c:f>
              <c:numCache>
                <c:formatCode>0.00</c:formatCode>
                <c:ptCount val="6"/>
                <c:pt idx="0">
                  <c:v>1.0120794761797245</c:v>
                </c:pt>
                <c:pt idx="1">
                  <c:v>1.2081425220596449</c:v>
                </c:pt>
                <c:pt idx="2">
                  <c:v>1.4619002822201317</c:v>
                </c:pt>
                <c:pt idx="3">
                  <c:v>1.4915588686691514</c:v>
                </c:pt>
                <c:pt idx="4">
                  <c:v>1.5268017161787868</c:v>
                </c:pt>
                <c:pt idx="5">
                  <c:v>1.0260697081326156</c:v>
                </c:pt>
              </c:numCache>
            </c:numRef>
          </c:val>
          <c:smooth val="0"/>
        </c:ser>
        <c:dLbls>
          <c:showLegendKey val="0"/>
          <c:showVal val="0"/>
          <c:showCatName val="0"/>
          <c:showSerName val="0"/>
          <c:showPercent val="0"/>
          <c:showBubbleSize val="0"/>
        </c:dLbls>
        <c:smooth val="0"/>
        <c:axId val="277913800"/>
        <c:axId val="277914192"/>
      </c:lineChart>
      <c:catAx>
        <c:axId val="2779138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914192"/>
        <c:crosses val="autoZero"/>
        <c:auto val="1"/>
        <c:lblAlgn val="ctr"/>
        <c:lblOffset val="100"/>
        <c:tickLblSkip val="1"/>
        <c:tickMarkSkip val="1"/>
        <c:noMultiLvlLbl val="0"/>
      </c:catAx>
      <c:valAx>
        <c:axId val="277914192"/>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91380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'61'!$N$31:$S$31</c:f>
              <c:numCache>
                <c:formatCode>0.00</c:formatCode>
                <c:ptCount val="6"/>
                <c:pt idx="0">
                  <c:v>1.3743272335844994</c:v>
                </c:pt>
                <c:pt idx="1">
                  <c:v>1.0507614213197969</c:v>
                </c:pt>
                <c:pt idx="2">
                  <c:v>2.2826700898587933</c:v>
                </c:pt>
                <c:pt idx="3">
                  <c:v>1.1548271988369787</c:v>
                </c:pt>
                <c:pt idx="4">
                  <c:v>1.1689335698797556</c:v>
                </c:pt>
                <c:pt idx="5">
                  <c:v>0.783772224598277</c:v>
                </c:pt>
              </c:numCache>
            </c:numRef>
          </c:val>
          <c:smooth val="0"/>
        </c:ser>
        <c:dLbls>
          <c:showLegendKey val="0"/>
          <c:showVal val="0"/>
          <c:showCatName val="0"/>
          <c:showSerName val="0"/>
          <c:showPercent val="0"/>
          <c:showBubbleSize val="0"/>
        </c:dLbls>
        <c:smooth val="0"/>
        <c:axId val="277914976"/>
        <c:axId val="277915368"/>
      </c:lineChart>
      <c:catAx>
        <c:axId val="27791497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915368"/>
        <c:crosses val="autoZero"/>
        <c:auto val="1"/>
        <c:lblAlgn val="ctr"/>
        <c:lblOffset val="100"/>
        <c:tickLblSkip val="1"/>
        <c:tickMarkSkip val="1"/>
        <c:noMultiLvlLbl val="0"/>
      </c:catAx>
      <c:valAx>
        <c:axId val="27791536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791497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'61'!$N$32:$S$32</c:f>
              <c:numCache>
                <c:formatCode>0.00</c:formatCode>
                <c:ptCount val="6"/>
                <c:pt idx="0">
                  <c:v>1.3245248633168445</c:v>
                </c:pt>
                <c:pt idx="1">
                  <c:v>1.8956476817770891</c:v>
                </c:pt>
                <c:pt idx="2">
                  <c:v>0.59288818318569281</c:v>
                </c:pt>
                <c:pt idx="3">
                  <c:v>1.7660796324655437</c:v>
                </c:pt>
                <c:pt idx="4">
                  <c:v>1.9493029150823828</c:v>
                </c:pt>
                <c:pt idx="5">
                  <c:v>1.5607231756845277</c:v>
                </c:pt>
              </c:numCache>
            </c:numRef>
          </c:val>
          <c:smooth val="0"/>
        </c:ser>
        <c:dLbls>
          <c:showLegendKey val="0"/>
          <c:showVal val="0"/>
          <c:showCatName val="0"/>
          <c:showSerName val="0"/>
          <c:showPercent val="0"/>
          <c:showBubbleSize val="0"/>
        </c:dLbls>
        <c:smooth val="0"/>
        <c:axId val="277916152"/>
        <c:axId val="278826352"/>
      </c:lineChart>
      <c:catAx>
        <c:axId val="277916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826352"/>
        <c:crosses val="autoZero"/>
        <c:auto val="1"/>
        <c:lblAlgn val="ctr"/>
        <c:lblOffset val="100"/>
        <c:tickLblSkip val="1"/>
        <c:tickMarkSkip val="1"/>
        <c:noMultiLvlLbl val="0"/>
      </c:catAx>
      <c:valAx>
        <c:axId val="278826352"/>
        <c:scaling>
          <c:orientation val="minMax"/>
          <c:min val="1.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791615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'61'!$N$33:$S$33</c:f>
              <c:numCache>
                <c:formatCode>0.00</c:formatCode>
                <c:ptCount val="6"/>
                <c:pt idx="0">
                  <c:v>0.97706845863082736</c:v>
                </c:pt>
                <c:pt idx="1">
                  <c:v>0.80993638037836935</c:v>
                </c:pt>
                <c:pt idx="2">
                  <c:v>1.7840462599154867</c:v>
                </c:pt>
                <c:pt idx="3">
                  <c:v>1.0108949741192186</c:v>
                </c:pt>
                <c:pt idx="4">
                  <c:v>0.95517413764372605</c:v>
                </c:pt>
                <c:pt idx="5">
                  <c:v>0.58534654957976862</c:v>
                </c:pt>
              </c:numCache>
            </c:numRef>
          </c:val>
          <c:smooth val="0"/>
        </c:ser>
        <c:dLbls>
          <c:showLegendKey val="0"/>
          <c:showVal val="0"/>
          <c:showCatName val="0"/>
          <c:showSerName val="0"/>
          <c:showPercent val="0"/>
          <c:showBubbleSize val="0"/>
        </c:dLbls>
        <c:smooth val="0"/>
        <c:axId val="278827136"/>
        <c:axId val="278827528"/>
      </c:lineChart>
      <c:catAx>
        <c:axId val="27882713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827528"/>
        <c:crosses val="autoZero"/>
        <c:auto val="1"/>
        <c:lblAlgn val="ctr"/>
        <c:lblOffset val="100"/>
        <c:tickLblSkip val="1"/>
        <c:tickMarkSkip val="1"/>
        <c:noMultiLvlLbl val="0"/>
      </c:catAx>
      <c:valAx>
        <c:axId val="278827528"/>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88271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'61'!$N$34:$S$34</c:f>
              <c:numCache>
                <c:formatCode>0.00</c:formatCode>
                <c:ptCount val="6"/>
                <c:pt idx="0">
                  <c:v>1.2965943811014233</c:v>
                </c:pt>
                <c:pt idx="1">
                  <c:v>1.5248590086078955</c:v>
                </c:pt>
                <c:pt idx="2">
                  <c:v>0.13207065994899547</c:v>
                </c:pt>
                <c:pt idx="3">
                  <c:v>1.8822266637056777</c:v>
                </c:pt>
                <c:pt idx="4">
                  <c:v>1.8616840393287499</c:v>
                </c:pt>
                <c:pt idx="5">
                  <c:v>1.4072832445934398</c:v>
                </c:pt>
              </c:numCache>
            </c:numRef>
          </c:val>
          <c:smooth val="0"/>
        </c:ser>
        <c:dLbls>
          <c:showLegendKey val="0"/>
          <c:showVal val="0"/>
          <c:showCatName val="0"/>
          <c:showSerName val="0"/>
          <c:showPercent val="0"/>
          <c:showBubbleSize val="0"/>
        </c:dLbls>
        <c:smooth val="0"/>
        <c:axId val="278828312"/>
        <c:axId val="278828704"/>
      </c:lineChart>
      <c:catAx>
        <c:axId val="2788283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828704"/>
        <c:crosses val="autoZero"/>
        <c:auto val="1"/>
        <c:lblAlgn val="ctr"/>
        <c:lblOffset val="100"/>
        <c:tickLblSkip val="1"/>
        <c:tickMarkSkip val="1"/>
        <c:noMultiLvlLbl val="0"/>
      </c:catAx>
      <c:valAx>
        <c:axId val="278828704"/>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88283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'61'!$C$32:$H$32</c:f>
              <c:numCache>
                <c:formatCode>#,##0</c:formatCode>
                <c:ptCount val="6"/>
                <c:pt idx="0">
                  <c:v>234927</c:v>
                </c:pt>
                <c:pt idx="1">
                  <c:v>244584</c:v>
                </c:pt>
                <c:pt idx="2">
                  <c:v>284102</c:v>
                </c:pt>
                <c:pt idx="3">
                  <c:v>288109</c:v>
                </c:pt>
                <c:pt idx="4">
                  <c:v>296988</c:v>
                </c:pt>
                <c:pt idx="5">
                  <c:v>203391</c:v>
                </c:pt>
              </c:numCache>
            </c:numRef>
          </c:val>
          <c:smooth val="0"/>
        </c:ser>
        <c:dLbls>
          <c:showLegendKey val="0"/>
          <c:showVal val="0"/>
          <c:showCatName val="0"/>
          <c:showSerName val="0"/>
          <c:showPercent val="0"/>
          <c:showBubbleSize val="0"/>
        </c:dLbls>
        <c:smooth val="0"/>
        <c:axId val="278829488"/>
        <c:axId val="278829880"/>
      </c:lineChart>
      <c:catAx>
        <c:axId val="27882948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8829880"/>
        <c:crosses val="autoZero"/>
        <c:auto val="1"/>
        <c:lblAlgn val="ctr"/>
        <c:lblOffset val="100"/>
        <c:tickLblSkip val="1"/>
        <c:tickMarkSkip val="1"/>
        <c:noMultiLvlLbl val="0"/>
      </c:catAx>
      <c:valAx>
        <c:axId val="278829880"/>
        <c:scaling>
          <c:orientation val="minMax"/>
          <c:max val="300000"/>
          <c:min val="234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78829488"/>
        <c:crosses val="autoZero"/>
        <c:crossBetween val="between"/>
        <c:majorUnit val="15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'11'!$B$7:$J$7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'11'!$B$21:$J$21</c:f>
              <c:numCache>
                <c:formatCode>0.00</c:formatCode>
                <c:ptCount val="9"/>
                <c:pt idx="0">
                  <c:v>0.87464586456134297</c:v>
                </c:pt>
                <c:pt idx="1">
                  <c:v>0.89887466166171603</c:v>
                </c:pt>
                <c:pt idx="2">
                  <c:v>0.85715710838011117</c:v>
                </c:pt>
                <c:pt idx="3">
                  <c:v>0.77697098979347823</c:v>
                </c:pt>
                <c:pt idx="4">
                  <c:v>0.84360780309060046</c:v>
                </c:pt>
                <c:pt idx="5">
                  <c:v>0.6306664339118776</c:v>
                </c:pt>
                <c:pt idx="6">
                  <c:v>0.47494430232003321</c:v>
                </c:pt>
                <c:pt idx="7">
                  <c:v>0.54409644489846187</c:v>
                </c:pt>
                <c:pt idx="8">
                  <c:v>0.49836084328088742</c:v>
                </c:pt>
              </c:numCache>
            </c:numRef>
          </c:val>
          <c:smooth val="0"/>
        </c:ser>
        <c:dLbls>
          <c:showLegendKey val="0"/>
          <c:showVal val="0"/>
          <c:showCatName val="0"/>
          <c:showSerName val="0"/>
          <c:showPercent val="0"/>
          <c:showBubbleSize val="0"/>
        </c:dLbls>
        <c:smooth val="0"/>
        <c:axId val="269421624"/>
        <c:axId val="269422008"/>
      </c:lineChart>
      <c:catAx>
        <c:axId val="269421624"/>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69422008"/>
        <c:crosses val="autoZero"/>
        <c:auto val="0"/>
        <c:lblAlgn val="ctr"/>
        <c:lblOffset val="100"/>
        <c:tickLblSkip val="1"/>
        <c:tickMarkSkip val="1"/>
        <c:noMultiLvlLbl val="0"/>
      </c:catAx>
      <c:valAx>
        <c:axId val="269422008"/>
        <c:scaling>
          <c:orientation val="minMax"/>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69421624"/>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'61'!$N$21:$S$21</c:f>
              <c:numCache>
                <c:formatCode>0.00</c:formatCode>
                <c:ptCount val="6"/>
                <c:pt idx="0">
                  <c:v>0.85749795596566025</c:v>
                </c:pt>
                <c:pt idx="1">
                  <c:v>0.88302254634727517</c:v>
                </c:pt>
                <c:pt idx="2">
                  <c:v>1.0160361636232289</c:v>
                </c:pt>
                <c:pt idx="3">
                  <c:v>1.0207654261500525</c:v>
                </c:pt>
                <c:pt idx="4">
                  <c:v>1.0423374572255857</c:v>
                </c:pt>
                <c:pt idx="5">
                  <c:v>0.71776783382621767</c:v>
                </c:pt>
              </c:numCache>
            </c:numRef>
          </c:val>
          <c:smooth val="0"/>
        </c:ser>
        <c:dLbls>
          <c:showLegendKey val="0"/>
          <c:showVal val="0"/>
          <c:showCatName val="0"/>
          <c:showSerName val="0"/>
          <c:showPercent val="0"/>
          <c:showBubbleSize val="0"/>
        </c:dLbls>
        <c:smooth val="0"/>
        <c:axId val="279473936"/>
        <c:axId val="279474328"/>
      </c:lineChart>
      <c:catAx>
        <c:axId val="279473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9474328"/>
        <c:crosses val="autoZero"/>
        <c:auto val="1"/>
        <c:lblAlgn val="ctr"/>
        <c:lblOffset val="100"/>
        <c:tickLblSkip val="1"/>
        <c:tickMarkSkip val="1"/>
        <c:noMultiLvlLbl val="0"/>
      </c:catAx>
      <c:valAx>
        <c:axId val="279474328"/>
        <c:scaling>
          <c:orientation val="minMax"/>
          <c:min val="0.800000000000001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94739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'61'!$N$22:$S$22</c:f>
              <c:numCache>
                <c:formatCode>0.00</c:formatCode>
                <c:ptCount val="6"/>
                <c:pt idx="0">
                  <c:v>0.46849234768646542</c:v>
                </c:pt>
                <c:pt idx="1">
                  <c:v>0.5540138377889674</c:v>
                </c:pt>
                <c:pt idx="2">
                  <c:v>0.70461077250879545</c:v>
                </c:pt>
                <c:pt idx="3">
                  <c:v>0.70498496442803704</c:v>
                </c:pt>
                <c:pt idx="4">
                  <c:v>0.66143860241777863</c:v>
                </c:pt>
                <c:pt idx="5">
                  <c:v>0.534342737138913</c:v>
                </c:pt>
              </c:numCache>
            </c:numRef>
          </c:val>
          <c:smooth val="0"/>
        </c:ser>
        <c:dLbls>
          <c:showLegendKey val="0"/>
          <c:showVal val="0"/>
          <c:showCatName val="0"/>
          <c:showSerName val="0"/>
          <c:showPercent val="0"/>
          <c:showBubbleSize val="0"/>
        </c:dLbls>
        <c:smooth val="0"/>
        <c:axId val="279475112"/>
        <c:axId val="279475504"/>
      </c:lineChart>
      <c:catAx>
        <c:axId val="279475112"/>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9475504"/>
        <c:crosses val="autoZero"/>
        <c:auto val="1"/>
        <c:lblAlgn val="ctr"/>
        <c:lblOffset val="100"/>
        <c:tickLblSkip val="1"/>
        <c:tickMarkSkip val="1"/>
        <c:noMultiLvlLbl val="0"/>
      </c:catAx>
      <c:valAx>
        <c:axId val="279475504"/>
        <c:scaling>
          <c:orientation val="minMax"/>
          <c:min val="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794751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'61'!$N$24:$S$24</c:f>
              <c:numCache>
                <c:formatCode>0.00</c:formatCode>
                <c:ptCount val="6"/>
                <c:pt idx="0">
                  <c:v>0.85375668375503</c:v>
                </c:pt>
                <c:pt idx="1">
                  <c:v>0.84931656047486792</c:v>
                </c:pt>
                <c:pt idx="2">
                  <c:v>1.0240275832345653</c:v>
                </c:pt>
                <c:pt idx="3">
                  <c:v>1.0151878497202238</c:v>
                </c:pt>
                <c:pt idx="4">
                  <c:v>1.2022140221402213</c:v>
                </c:pt>
                <c:pt idx="5">
                  <c:v>0.96638085549580977</c:v>
                </c:pt>
              </c:numCache>
            </c:numRef>
          </c:val>
          <c:smooth val="0"/>
        </c:ser>
        <c:dLbls>
          <c:showLegendKey val="0"/>
          <c:showVal val="0"/>
          <c:showCatName val="0"/>
          <c:showSerName val="0"/>
          <c:showPercent val="0"/>
          <c:showBubbleSize val="0"/>
        </c:dLbls>
        <c:smooth val="0"/>
        <c:axId val="279476288"/>
        <c:axId val="279476680"/>
      </c:lineChart>
      <c:catAx>
        <c:axId val="279476288"/>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476680"/>
        <c:crosses val="autoZero"/>
        <c:auto val="1"/>
        <c:lblAlgn val="ctr"/>
        <c:lblOffset val="100"/>
        <c:tickLblSkip val="1"/>
        <c:tickMarkSkip val="1"/>
        <c:noMultiLvlLbl val="0"/>
      </c:catAx>
      <c:valAx>
        <c:axId val="279476680"/>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4762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'61'!$N$25:$S$25</c:f>
              <c:numCache>
                <c:formatCode>0.00</c:formatCode>
                <c:ptCount val="6"/>
                <c:pt idx="0">
                  <c:v>1.1299496040316774</c:v>
                </c:pt>
                <c:pt idx="1">
                  <c:v>1.3687331536388141</c:v>
                </c:pt>
                <c:pt idx="2">
                  <c:v>1.4756591379465491</c:v>
                </c:pt>
                <c:pt idx="3">
                  <c:v>1.6932432432432432</c:v>
                </c:pt>
                <c:pt idx="4">
                  <c:v>1.4522091974752029</c:v>
                </c:pt>
                <c:pt idx="5">
                  <c:v>0.73753185293046963</c:v>
                </c:pt>
              </c:numCache>
            </c:numRef>
          </c:val>
          <c:smooth val="0"/>
        </c:ser>
        <c:dLbls>
          <c:showLegendKey val="0"/>
          <c:showVal val="0"/>
          <c:showCatName val="0"/>
          <c:showSerName val="0"/>
          <c:showPercent val="0"/>
          <c:showBubbleSize val="0"/>
        </c:dLbls>
        <c:smooth val="0"/>
        <c:axId val="279649704"/>
        <c:axId val="279650096"/>
      </c:lineChart>
      <c:catAx>
        <c:axId val="27964970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650096"/>
        <c:crosses val="autoZero"/>
        <c:auto val="1"/>
        <c:lblAlgn val="ctr"/>
        <c:lblOffset val="100"/>
        <c:tickLblSkip val="1"/>
        <c:tickMarkSkip val="1"/>
        <c:noMultiLvlLbl val="0"/>
      </c:catAx>
      <c:valAx>
        <c:axId val="27965009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64970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'61'!$N$26:$S$26</c:f>
              <c:numCache>
                <c:formatCode>0.00</c:formatCode>
                <c:ptCount val="6"/>
                <c:pt idx="0">
                  <c:v>1.6838733075435204</c:v>
                </c:pt>
                <c:pt idx="1">
                  <c:v>1.5062156347119293</c:v>
                </c:pt>
                <c:pt idx="2">
                  <c:v>1.3981536276482425</c:v>
                </c:pt>
                <c:pt idx="3">
                  <c:v>1.2525252525252526</c:v>
                </c:pt>
                <c:pt idx="4">
                  <c:v>1.7070930232558139</c:v>
                </c:pt>
                <c:pt idx="5">
                  <c:v>1.1740211311373523</c:v>
                </c:pt>
              </c:numCache>
            </c:numRef>
          </c:val>
          <c:smooth val="0"/>
        </c:ser>
        <c:dLbls>
          <c:showLegendKey val="0"/>
          <c:showVal val="0"/>
          <c:showCatName val="0"/>
          <c:showSerName val="0"/>
          <c:showPercent val="0"/>
          <c:showBubbleSize val="0"/>
        </c:dLbls>
        <c:smooth val="0"/>
        <c:axId val="279650880"/>
        <c:axId val="279651272"/>
      </c:lineChart>
      <c:catAx>
        <c:axId val="279650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651272"/>
        <c:crosses val="autoZero"/>
        <c:auto val="1"/>
        <c:lblAlgn val="ctr"/>
        <c:lblOffset val="100"/>
        <c:tickLblSkip val="1"/>
        <c:tickMarkSkip val="1"/>
        <c:noMultiLvlLbl val="0"/>
      </c:catAx>
      <c:valAx>
        <c:axId val="27965127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6508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'61'!$N$28:$S$28</c:f>
              <c:numCache>
                <c:formatCode>0.00</c:formatCode>
                <c:ptCount val="6"/>
                <c:pt idx="0">
                  <c:v>0.82753264826849238</c:v>
                </c:pt>
                <c:pt idx="1">
                  <c:v>0.79164417177914115</c:v>
                </c:pt>
                <c:pt idx="2">
                  <c:v>0.91746524660957329</c:v>
                </c:pt>
                <c:pt idx="3">
                  <c:v>0.87395814594951127</c:v>
                </c:pt>
                <c:pt idx="4">
                  <c:v>0.92699760453478164</c:v>
                </c:pt>
                <c:pt idx="5">
                  <c:v>0.49604762018827703</c:v>
                </c:pt>
              </c:numCache>
            </c:numRef>
          </c:val>
          <c:smooth val="0"/>
        </c:ser>
        <c:dLbls>
          <c:showLegendKey val="0"/>
          <c:showVal val="0"/>
          <c:showCatName val="0"/>
          <c:showSerName val="0"/>
          <c:showPercent val="0"/>
          <c:showBubbleSize val="0"/>
        </c:dLbls>
        <c:smooth val="0"/>
        <c:axId val="279652448"/>
        <c:axId val="279652840"/>
      </c:lineChart>
      <c:catAx>
        <c:axId val="27965244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652840"/>
        <c:crosses val="autoZero"/>
        <c:auto val="1"/>
        <c:lblAlgn val="ctr"/>
        <c:lblOffset val="100"/>
        <c:tickLblSkip val="1"/>
        <c:tickMarkSkip val="1"/>
        <c:noMultiLvlLbl val="0"/>
      </c:catAx>
      <c:valAx>
        <c:axId val="279652840"/>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65244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'61'!$N$30:$S$30</c:f>
              <c:numCache>
                <c:formatCode>0.00</c:formatCode>
                <c:ptCount val="6"/>
                <c:pt idx="0">
                  <c:v>1.0120794761797245</c:v>
                </c:pt>
                <c:pt idx="1">
                  <c:v>1.2081425220596449</c:v>
                </c:pt>
                <c:pt idx="2">
                  <c:v>1.4619002822201317</c:v>
                </c:pt>
                <c:pt idx="3">
                  <c:v>1.4915588686691514</c:v>
                </c:pt>
                <c:pt idx="4">
                  <c:v>1.5268017161787868</c:v>
                </c:pt>
                <c:pt idx="5">
                  <c:v>1.0260697081326156</c:v>
                </c:pt>
              </c:numCache>
            </c:numRef>
          </c:val>
          <c:smooth val="0"/>
        </c:ser>
        <c:dLbls>
          <c:showLegendKey val="0"/>
          <c:showVal val="0"/>
          <c:showCatName val="0"/>
          <c:showSerName val="0"/>
          <c:showPercent val="0"/>
          <c:showBubbleSize val="0"/>
        </c:dLbls>
        <c:smooth val="0"/>
        <c:axId val="279653232"/>
        <c:axId val="279399816"/>
      </c:lineChart>
      <c:catAx>
        <c:axId val="2796532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399816"/>
        <c:crosses val="autoZero"/>
        <c:auto val="1"/>
        <c:lblAlgn val="ctr"/>
        <c:lblOffset val="100"/>
        <c:tickLblSkip val="1"/>
        <c:tickMarkSkip val="1"/>
        <c:noMultiLvlLbl val="0"/>
      </c:catAx>
      <c:valAx>
        <c:axId val="27939981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65323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'61'!$N$31:$S$31</c:f>
              <c:numCache>
                <c:formatCode>0.00</c:formatCode>
                <c:ptCount val="6"/>
                <c:pt idx="0">
                  <c:v>1.3743272335844994</c:v>
                </c:pt>
                <c:pt idx="1">
                  <c:v>1.0507614213197969</c:v>
                </c:pt>
                <c:pt idx="2">
                  <c:v>2.2826700898587933</c:v>
                </c:pt>
                <c:pt idx="3">
                  <c:v>1.1548271988369787</c:v>
                </c:pt>
                <c:pt idx="4">
                  <c:v>1.1689335698797556</c:v>
                </c:pt>
                <c:pt idx="5">
                  <c:v>0.783772224598277</c:v>
                </c:pt>
              </c:numCache>
            </c:numRef>
          </c:val>
          <c:smooth val="0"/>
        </c:ser>
        <c:dLbls>
          <c:showLegendKey val="0"/>
          <c:showVal val="0"/>
          <c:showCatName val="0"/>
          <c:showSerName val="0"/>
          <c:showPercent val="0"/>
          <c:showBubbleSize val="0"/>
        </c:dLbls>
        <c:smooth val="0"/>
        <c:axId val="279400600"/>
        <c:axId val="279400992"/>
      </c:lineChart>
      <c:catAx>
        <c:axId val="27940060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400992"/>
        <c:crosses val="autoZero"/>
        <c:auto val="1"/>
        <c:lblAlgn val="ctr"/>
        <c:lblOffset val="100"/>
        <c:tickLblSkip val="1"/>
        <c:tickMarkSkip val="1"/>
        <c:noMultiLvlLbl val="0"/>
      </c:catAx>
      <c:valAx>
        <c:axId val="27940099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40060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'61'!$N$32:$S$32</c:f>
              <c:numCache>
                <c:formatCode>0.00</c:formatCode>
                <c:ptCount val="6"/>
                <c:pt idx="0">
                  <c:v>1.3245248633168445</c:v>
                </c:pt>
                <c:pt idx="1">
                  <c:v>1.8956476817770891</c:v>
                </c:pt>
                <c:pt idx="2">
                  <c:v>0.59288818318569281</c:v>
                </c:pt>
                <c:pt idx="3">
                  <c:v>1.7660796324655437</c:v>
                </c:pt>
                <c:pt idx="4">
                  <c:v>1.9493029150823828</c:v>
                </c:pt>
                <c:pt idx="5">
                  <c:v>1.5607231756845277</c:v>
                </c:pt>
              </c:numCache>
            </c:numRef>
          </c:val>
          <c:smooth val="0"/>
        </c:ser>
        <c:dLbls>
          <c:showLegendKey val="0"/>
          <c:showVal val="0"/>
          <c:showCatName val="0"/>
          <c:showSerName val="0"/>
          <c:showPercent val="0"/>
          <c:showBubbleSize val="0"/>
        </c:dLbls>
        <c:smooth val="0"/>
        <c:axId val="279401776"/>
        <c:axId val="279402168"/>
      </c:lineChart>
      <c:catAx>
        <c:axId val="279401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402168"/>
        <c:crosses val="autoZero"/>
        <c:auto val="1"/>
        <c:lblAlgn val="ctr"/>
        <c:lblOffset val="100"/>
        <c:tickLblSkip val="1"/>
        <c:tickMarkSkip val="1"/>
        <c:noMultiLvlLbl val="0"/>
      </c:catAx>
      <c:valAx>
        <c:axId val="279402168"/>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40177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'61'!$N$33:$S$33</c:f>
              <c:numCache>
                <c:formatCode>0.00</c:formatCode>
                <c:ptCount val="6"/>
                <c:pt idx="0">
                  <c:v>0.97706845863082736</c:v>
                </c:pt>
                <c:pt idx="1">
                  <c:v>0.80993638037836935</c:v>
                </c:pt>
                <c:pt idx="2">
                  <c:v>1.7840462599154867</c:v>
                </c:pt>
                <c:pt idx="3">
                  <c:v>1.0108949741192186</c:v>
                </c:pt>
                <c:pt idx="4">
                  <c:v>0.95517413764372605</c:v>
                </c:pt>
                <c:pt idx="5">
                  <c:v>0.58534654957976862</c:v>
                </c:pt>
              </c:numCache>
            </c:numRef>
          </c:val>
          <c:smooth val="0"/>
        </c:ser>
        <c:dLbls>
          <c:showLegendKey val="0"/>
          <c:showVal val="0"/>
          <c:showCatName val="0"/>
          <c:showSerName val="0"/>
          <c:showPercent val="0"/>
          <c:showBubbleSize val="0"/>
        </c:dLbls>
        <c:smooth val="0"/>
        <c:axId val="279402952"/>
        <c:axId val="279403344"/>
      </c:lineChart>
      <c:catAx>
        <c:axId val="27940295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403344"/>
        <c:crosses val="autoZero"/>
        <c:auto val="1"/>
        <c:lblAlgn val="ctr"/>
        <c:lblOffset val="100"/>
        <c:tickLblSkip val="1"/>
        <c:tickMarkSkip val="1"/>
        <c:noMultiLvlLbl val="0"/>
      </c:catAx>
      <c:valAx>
        <c:axId val="279403344"/>
        <c:scaling>
          <c:orientation val="minMax"/>
          <c:min val="0.7500000000000001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7940295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'11'!$B$21:$K$21</c:f>
              <c:numCache>
                <c:formatCode>0.00</c:formatCode>
                <c:ptCount val="10"/>
                <c:pt idx="0">
                  <c:v>0.87464586456134297</c:v>
                </c:pt>
                <c:pt idx="1">
                  <c:v>0.89887466166171603</c:v>
                </c:pt>
                <c:pt idx="2">
                  <c:v>0.85715710838011117</c:v>
                </c:pt>
                <c:pt idx="3">
                  <c:v>0.77697098979347823</c:v>
                </c:pt>
                <c:pt idx="4">
                  <c:v>0.84360780309060046</c:v>
                </c:pt>
                <c:pt idx="5">
                  <c:v>0.6306664339118776</c:v>
                </c:pt>
                <c:pt idx="6">
                  <c:v>0.47494430232003321</c:v>
                </c:pt>
                <c:pt idx="7">
                  <c:v>0.54409644489846187</c:v>
                </c:pt>
                <c:pt idx="8">
                  <c:v>0.49836084328088742</c:v>
                </c:pt>
                <c:pt idx="9">
                  <c:v>0.22973821841717071</c:v>
                </c:pt>
              </c:numCache>
            </c:numRef>
          </c:val>
          <c:smooth val="0"/>
        </c:ser>
        <c:dLbls>
          <c:showLegendKey val="0"/>
          <c:showVal val="0"/>
          <c:showCatName val="0"/>
          <c:showSerName val="0"/>
          <c:showPercent val="0"/>
          <c:showBubbleSize val="0"/>
        </c:dLbls>
        <c:smooth val="0"/>
        <c:axId val="270544888"/>
        <c:axId val="270545280"/>
      </c:lineChart>
      <c:catAx>
        <c:axId val="270544888"/>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70545280"/>
        <c:crosses val="autoZero"/>
        <c:auto val="0"/>
        <c:lblAlgn val="ctr"/>
        <c:lblOffset val="100"/>
        <c:tickLblSkip val="1"/>
        <c:tickMarkSkip val="1"/>
        <c:noMultiLvlLbl val="0"/>
      </c:catAx>
      <c:valAx>
        <c:axId val="270545280"/>
        <c:scaling>
          <c:orientation val="minMax"/>
          <c:max val="1"/>
          <c:min val="0.2"/>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70544888"/>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2015</c:v>
                </c:pt>
                <c:pt idx="1">
                  <c:v>2016</c:v>
                </c:pt>
                <c:pt idx="2">
                  <c:v>2017</c:v>
                </c:pt>
                <c:pt idx="3">
                  <c:v>2018</c:v>
                </c:pt>
                <c:pt idx="4">
                  <c:v>2019</c:v>
                </c:pt>
                <c:pt idx="5">
                  <c:v>2020</c:v>
                </c:pt>
              </c:numCache>
            </c:numRef>
          </c:cat>
          <c:val>
            <c:numRef>
              <c:f>'61'!$N$34:$S$34</c:f>
              <c:numCache>
                <c:formatCode>0.00</c:formatCode>
                <c:ptCount val="6"/>
                <c:pt idx="0">
                  <c:v>1.2965943811014233</c:v>
                </c:pt>
                <c:pt idx="1">
                  <c:v>1.5248590086078955</c:v>
                </c:pt>
                <c:pt idx="2">
                  <c:v>0.13207065994899547</c:v>
                </c:pt>
                <c:pt idx="3">
                  <c:v>1.8822266637056777</c:v>
                </c:pt>
                <c:pt idx="4">
                  <c:v>1.8616840393287499</c:v>
                </c:pt>
                <c:pt idx="5">
                  <c:v>1.4072832445934398</c:v>
                </c:pt>
              </c:numCache>
            </c:numRef>
          </c:val>
          <c:smooth val="0"/>
        </c:ser>
        <c:dLbls>
          <c:showLegendKey val="0"/>
          <c:showVal val="0"/>
          <c:showCatName val="0"/>
          <c:showSerName val="0"/>
          <c:showPercent val="0"/>
          <c:showBubbleSize val="0"/>
        </c:dLbls>
        <c:smooth val="0"/>
        <c:axId val="279412496"/>
        <c:axId val="279412888"/>
      </c:lineChart>
      <c:catAx>
        <c:axId val="279412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412888"/>
        <c:crosses val="autoZero"/>
        <c:auto val="1"/>
        <c:lblAlgn val="ctr"/>
        <c:lblOffset val="100"/>
        <c:tickLblSkip val="1"/>
        <c:tickMarkSkip val="1"/>
        <c:noMultiLvlLbl val="0"/>
      </c:catAx>
      <c:valAx>
        <c:axId val="279412888"/>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794124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DISTRIBUCION  LECHE  26 %  y  LECHE  CEREAL
</a:t>
            </a:r>
          </a:p>
        </c:rich>
      </c:tx>
      <c:layout>
        <c:manualLayout>
          <c:xMode val="edge"/>
          <c:yMode val="edge"/>
          <c:x val="0.22181837270341206"/>
          <c:y val="3.333333333333334E-2"/>
        </c:manualLayout>
      </c:layout>
      <c:overlay val="0"/>
      <c:spPr>
        <a:noFill/>
        <a:ln w="25400">
          <a:noFill/>
        </a:ln>
      </c:spPr>
    </c:title>
    <c:autoTitleDeleted val="0"/>
    <c:plotArea>
      <c:layout>
        <c:manualLayout>
          <c:layoutTarget val="inner"/>
          <c:xMode val="edge"/>
          <c:yMode val="edge"/>
          <c:x val="9.818190534615176E-2"/>
          <c:y val="0.24242495982765144"/>
          <c:w val="0.89454624870938249"/>
          <c:h val="0.57272896759282665"/>
        </c:manualLayout>
      </c:layout>
      <c:barChart>
        <c:barDir val="col"/>
        <c:grouping val="clustered"/>
        <c:varyColors val="0"/>
        <c:ser>
          <c:idx val="0"/>
          <c:order val="0"/>
          <c:tx>
            <c:v>leche 26%</c:v>
          </c:tx>
          <c:spPr>
            <a:solidFill>
              <a:srgbClr val="FFFF00"/>
            </a:solidFill>
            <a:ln w="12700">
              <a:solidFill>
                <a:srgbClr val="000000"/>
              </a:solidFill>
              <a:prstDash val="solid"/>
            </a:ln>
          </c:spPr>
          <c:invertIfNegative val="0"/>
          <c:cat>
            <c:numRef>
              <c:f>'62'!$C$6:$F$6</c:f>
              <c:numCache>
                <c:formatCode>General</c:formatCode>
                <c:ptCount val="4"/>
                <c:pt idx="0">
                  <c:v>2017</c:v>
                </c:pt>
                <c:pt idx="1">
                  <c:v>2018</c:v>
                </c:pt>
                <c:pt idx="2">
                  <c:v>2019</c:v>
                </c:pt>
                <c:pt idx="3">
                  <c:v>2020</c:v>
                </c:pt>
              </c:numCache>
            </c:numRef>
          </c:cat>
          <c:val>
            <c:numRef>
              <c:f>'62'!$C$27:$F$27</c:f>
              <c:numCache>
                <c:formatCode>#,##0</c:formatCode>
                <c:ptCount val="4"/>
                <c:pt idx="0">
                  <c:v>56271</c:v>
                </c:pt>
                <c:pt idx="1">
                  <c:v>55215</c:v>
                </c:pt>
                <c:pt idx="2">
                  <c:v>52521</c:v>
                </c:pt>
                <c:pt idx="3">
                  <c:v>45105</c:v>
                </c:pt>
              </c:numCache>
            </c:numRef>
          </c:val>
        </c:ser>
        <c:ser>
          <c:idx val="1"/>
          <c:order val="1"/>
          <c:tx>
            <c:v>leche  cereal</c:v>
          </c:tx>
          <c:spPr>
            <a:solidFill>
              <a:srgbClr val="FF0000"/>
            </a:solidFill>
            <a:ln w="12700">
              <a:solidFill>
                <a:srgbClr val="000000"/>
              </a:solidFill>
              <a:prstDash val="solid"/>
            </a:ln>
          </c:spPr>
          <c:invertIfNegative val="0"/>
          <c:val>
            <c:numRef>
              <c:f>'62'!$C$28:$F$28</c:f>
              <c:numCache>
                <c:formatCode>#,##0</c:formatCode>
                <c:ptCount val="4"/>
                <c:pt idx="0">
                  <c:v>120330</c:v>
                </c:pt>
                <c:pt idx="1">
                  <c:v>122900</c:v>
                </c:pt>
                <c:pt idx="2">
                  <c:v>112352</c:v>
                </c:pt>
                <c:pt idx="3">
                  <c:v>103060</c:v>
                </c:pt>
              </c:numCache>
            </c:numRef>
          </c:val>
        </c:ser>
        <c:dLbls>
          <c:showLegendKey val="0"/>
          <c:showVal val="0"/>
          <c:showCatName val="0"/>
          <c:showSerName val="0"/>
          <c:showPercent val="0"/>
          <c:showBubbleSize val="0"/>
        </c:dLbls>
        <c:gapWidth val="250"/>
        <c:axId val="279413672"/>
        <c:axId val="279414064"/>
      </c:barChart>
      <c:catAx>
        <c:axId val="27941367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Kilos</a:t>
                </a:r>
              </a:p>
            </c:rich>
          </c:tx>
          <c:layout>
            <c:manualLayout>
              <c:xMode val="edge"/>
              <c:yMode val="edge"/>
              <c:x val="9.0909090909091547E-3"/>
              <c:y val="0.13636395450568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L"/>
          </a:p>
        </c:txPr>
        <c:crossAx val="279414064"/>
        <c:crosses val="autoZero"/>
        <c:auto val="1"/>
        <c:lblAlgn val="ctr"/>
        <c:lblOffset val="100"/>
        <c:tickLblSkip val="1"/>
        <c:tickMarkSkip val="1"/>
        <c:noMultiLvlLbl val="0"/>
      </c:catAx>
      <c:valAx>
        <c:axId val="279414064"/>
        <c:scaling>
          <c:orientation val="minMax"/>
          <c:max val="130000"/>
          <c:min val="50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79413672"/>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b"/>
      <c:layout>
        <c:manualLayout>
          <c:xMode val="edge"/>
          <c:yMode val="edge"/>
          <c:x val="0.38000038177048751"/>
          <c:y val="0.91818468146027199"/>
          <c:w val="0.31636382724888912"/>
          <c:h val="7.2727590869328965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EN  PSCV BAJO  CONTROL</a:t>
            </a:r>
          </a:p>
        </c:rich>
      </c:tx>
      <c:layout>
        <c:manualLayout>
          <c:xMode val="edge"/>
          <c:yMode val="edge"/>
          <c:x val="0.19942588487118723"/>
          <c:y val="1.8518518518518517E-2"/>
        </c:manualLayout>
      </c:layout>
      <c:overlay val="0"/>
      <c:spPr>
        <a:noFill/>
        <a:ln>
          <a:noFill/>
        </a:ln>
        <a:effectLst>
          <a:softEdge rad="12700"/>
        </a:effectLst>
      </c:spPr>
    </c:title>
    <c:autoTitleDeleted val="0"/>
    <c:plotArea>
      <c:layout>
        <c:manualLayout>
          <c:layoutTarget val="inner"/>
          <c:xMode val="edge"/>
          <c:yMode val="edge"/>
          <c:x val="6.49554023589375E-2"/>
          <c:y val="0.19965128654581357"/>
          <c:w val="0.90184957689417455"/>
          <c:h val="0.65118802857976088"/>
        </c:manualLayout>
      </c:layout>
      <c:lineChart>
        <c:grouping val="standard"/>
        <c:varyColors val="0"/>
        <c:ser>
          <c:idx val="0"/>
          <c:order val="0"/>
          <c:tx>
            <c:strRef>
              <c:f>'65'!$B$5:$K$5</c:f>
              <c:strCache>
                <c:ptCount val="10"/>
                <c:pt idx="0">
                  <c:v>2011</c:v>
                </c:pt>
                <c:pt idx="1">
                  <c:v>2012</c:v>
                </c:pt>
                <c:pt idx="2">
                  <c:v>2013</c:v>
                </c:pt>
                <c:pt idx="3">
                  <c:v>2014</c:v>
                </c:pt>
                <c:pt idx="4">
                  <c:v>2015</c:v>
                </c:pt>
                <c:pt idx="5">
                  <c:v>2016</c:v>
                </c:pt>
                <c:pt idx="6">
                  <c:v>2017</c:v>
                </c:pt>
                <c:pt idx="7">
                  <c:v>2018</c:v>
                </c:pt>
                <c:pt idx="8">
                  <c:v>2019</c:v>
                </c:pt>
                <c:pt idx="9">
                  <c:v>2020</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'65'!$B$19:$K$19</c:f>
              <c:numCache>
                <c:formatCode>0.00</c:formatCode>
                <c:ptCount val="10"/>
                <c:pt idx="0">
                  <c:v>14.45495705845329</c:v>
                </c:pt>
                <c:pt idx="1">
                  <c:v>15.38261608437047</c:v>
                </c:pt>
                <c:pt idx="2">
                  <c:v>15.7787359862018</c:v>
                </c:pt>
                <c:pt idx="3">
                  <c:v>16.276707428504771</c:v>
                </c:pt>
                <c:pt idx="4">
                  <c:v>16.442869337527934</c:v>
                </c:pt>
                <c:pt idx="5">
                  <c:v>16.737886682093727</c:v>
                </c:pt>
                <c:pt idx="6">
                  <c:v>16.8690587138863</c:v>
                </c:pt>
                <c:pt idx="7">
                  <c:v>16.83226826083969</c:v>
                </c:pt>
                <c:pt idx="8">
                  <c:v>16.442571982156537</c:v>
                </c:pt>
                <c:pt idx="9">
                  <c:v>16.289785401634653</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9415240"/>
        <c:axId val="279415632"/>
      </c:lineChart>
      <c:catAx>
        <c:axId val="279415240"/>
        <c:scaling>
          <c:orientation val="minMax"/>
        </c:scaling>
        <c:delete val="0"/>
        <c:axPos val="b"/>
        <c:title>
          <c:tx>
            <c:rich>
              <a:bodyPr rot="0" spcFirstLastPara="1" vertOverflow="ellipsis" vert="horz" wrap="square" anchor="ctr" anchorCtr="1"/>
              <a:lstStyle/>
              <a:p>
                <a:pPr>
                  <a:defRPr sz="1070" b="0" i="0" u="none" strike="noStrike" kern="1200" baseline="0">
                    <a:solidFill>
                      <a:schemeClr val="tx1">
                        <a:lumMod val="65000"/>
                        <a:lumOff val="35000"/>
                      </a:schemeClr>
                    </a:solidFill>
                    <a:latin typeface="+mn-lt"/>
                    <a:ea typeface="+mn-ea"/>
                    <a:cs typeface="+mn-cs"/>
                  </a:defRPr>
                </a:pPr>
                <a:r>
                  <a:rPr lang="es-CL" sz="1200" baseline="0"/>
                  <a:t>%</a:t>
                </a:r>
              </a:p>
            </c:rich>
          </c:tx>
          <c:layout>
            <c:manualLayout>
              <c:xMode val="edge"/>
              <c:yMode val="edge"/>
              <c:x val="3.533273450042046E-2"/>
              <c:y val="4.9976669582968793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15632"/>
        <c:crosses val="autoZero"/>
        <c:auto val="1"/>
        <c:lblAlgn val="ctr"/>
        <c:lblOffset val="100"/>
        <c:noMultiLvlLbl val="0"/>
      </c:catAx>
      <c:valAx>
        <c:axId val="279415632"/>
        <c:scaling>
          <c:orientation val="minMax"/>
          <c:min val="13"/>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941524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a:t>TENDENCIA  DE PERSONAS HIPERTENSAS</a:t>
            </a:r>
          </a:p>
        </c:rich>
      </c:tx>
      <c:layout>
        <c:manualLayout>
          <c:xMode val="edge"/>
          <c:yMode val="edge"/>
          <c:x val="0.2749441062907822"/>
          <c:y val="1.35234915892444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'65'!$B$5:$K$5</c:f>
              <c:strCache>
                <c:ptCount val="10"/>
                <c:pt idx="0">
                  <c:v>2011</c:v>
                </c:pt>
                <c:pt idx="1">
                  <c:v>2012</c:v>
                </c:pt>
                <c:pt idx="2">
                  <c:v>2013</c:v>
                </c:pt>
                <c:pt idx="3">
                  <c:v>2014</c:v>
                </c:pt>
                <c:pt idx="4">
                  <c:v>2015</c:v>
                </c:pt>
                <c:pt idx="5">
                  <c:v>2016</c:v>
                </c:pt>
                <c:pt idx="6">
                  <c:v>2017</c:v>
                </c:pt>
                <c:pt idx="7">
                  <c:v>2018</c:v>
                </c:pt>
                <c:pt idx="8">
                  <c:v>2019</c:v>
                </c:pt>
                <c:pt idx="9">
                  <c:v>2020</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'65'!$B$20:$K$20</c:f>
              <c:numCache>
                <c:formatCode>0.00</c:formatCode>
                <c:ptCount val="10"/>
                <c:pt idx="0">
                  <c:v>12.233772562077437</c:v>
                </c:pt>
                <c:pt idx="1">
                  <c:v>12.908981856350277</c:v>
                </c:pt>
                <c:pt idx="2">
                  <c:v>13.054084021190096</c:v>
                </c:pt>
                <c:pt idx="3">
                  <c:v>13.557361432431907</c:v>
                </c:pt>
                <c:pt idx="4">
                  <c:v>13.68488696636326</c:v>
                </c:pt>
                <c:pt idx="5">
                  <c:v>13.65626049962852</c:v>
                </c:pt>
                <c:pt idx="6">
                  <c:v>13.628145386766077</c:v>
                </c:pt>
                <c:pt idx="7">
                  <c:v>13.421287707001991</c:v>
                </c:pt>
                <c:pt idx="8">
                  <c:v>13.533096021267967</c:v>
                </c:pt>
                <c:pt idx="9">
                  <c:v>12.944197329383433</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560144"/>
        <c:axId val="275560536"/>
      </c:lineChart>
      <c:catAx>
        <c:axId val="275560144"/>
        <c:scaling>
          <c:orientation val="minMax"/>
        </c:scaling>
        <c:delete val="0"/>
        <c:axPos val="b"/>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0649224065438423E-2"/>
              <c:y val="3.4084235487052202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0536"/>
        <c:crosses val="autoZero"/>
        <c:auto val="1"/>
        <c:lblAlgn val="ctr"/>
        <c:lblOffset val="100"/>
        <c:noMultiLvlLbl val="0"/>
      </c:catAx>
      <c:valAx>
        <c:axId val="275560536"/>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014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DIABETICAS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'65'!$B$5:$K$5</c:f>
              <c:strCache>
                <c:ptCount val="10"/>
                <c:pt idx="0">
                  <c:v>2011</c:v>
                </c:pt>
                <c:pt idx="1">
                  <c:v>2012</c:v>
                </c:pt>
                <c:pt idx="2">
                  <c:v>2013</c:v>
                </c:pt>
                <c:pt idx="3">
                  <c:v>2014</c:v>
                </c:pt>
                <c:pt idx="4">
                  <c:v>2015</c:v>
                </c:pt>
                <c:pt idx="5">
                  <c:v>2016</c:v>
                </c:pt>
                <c:pt idx="6">
                  <c:v>2017</c:v>
                </c:pt>
                <c:pt idx="7">
                  <c:v>2018</c:v>
                </c:pt>
                <c:pt idx="8">
                  <c:v>2019</c:v>
                </c:pt>
                <c:pt idx="9">
                  <c:v>2020</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'65'!$B$21:$K$21</c:f>
              <c:numCache>
                <c:formatCode>0.00</c:formatCode>
                <c:ptCount val="10"/>
                <c:pt idx="0">
                  <c:v>4.596166730960551</c:v>
                </c:pt>
                <c:pt idx="1">
                  <c:v>4.9977507872244713</c:v>
                </c:pt>
                <c:pt idx="2">
                  <c:v>5.3955895035111494</c:v>
                </c:pt>
                <c:pt idx="3">
                  <c:v>5.8289752512782629</c:v>
                </c:pt>
                <c:pt idx="4">
                  <c:v>6.2626485454772158</c:v>
                </c:pt>
                <c:pt idx="5">
                  <c:v>6.45239143088346</c:v>
                </c:pt>
                <c:pt idx="6">
                  <c:v>6.6999068033550797</c:v>
                </c:pt>
                <c:pt idx="7">
                  <c:v>6.6579628484390394</c:v>
                </c:pt>
                <c:pt idx="8">
                  <c:v>7.2306583156851261</c:v>
                </c:pt>
                <c:pt idx="9">
                  <c:v>6.6605762535977036</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561320"/>
        <c:axId val="275561712"/>
      </c:lineChart>
      <c:catAx>
        <c:axId val="275561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1712"/>
        <c:crosses val="autoZero"/>
        <c:auto val="1"/>
        <c:lblAlgn val="ctr"/>
        <c:lblOffset val="100"/>
        <c:noMultiLvlLbl val="0"/>
      </c:catAx>
      <c:valAx>
        <c:axId val="275561712"/>
        <c:scaling>
          <c:orientation val="minMax"/>
          <c:max val="7.5"/>
          <c:min val="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1320"/>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DISLIPIDEMICAS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956255105041330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'65'!$B$22:$K$22</c:f>
              <c:numCache>
                <c:formatCode>0.00</c:formatCode>
                <c:ptCount val="10"/>
                <c:pt idx="0">
                  <c:v>3.2251842527358745</c:v>
                </c:pt>
                <c:pt idx="1">
                  <c:v>3.810666266806618</c:v>
                </c:pt>
                <c:pt idx="2">
                  <c:v>4.2843415054823213</c:v>
                </c:pt>
                <c:pt idx="3">
                  <c:v>4.7810914322374938</c:v>
                </c:pt>
                <c:pt idx="4">
                  <c:v>4.8623166860091498</c:v>
                </c:pt>
                <c:pt idx="5">
                  <c:v>5.3062460663363575</c:v>
                </c:pt>
                <c:pt idx="6">
                  <c:v>6.1127679403541473</c:v>
                </c:pt>
                <c:pt idx="7">
                  <c:v>5.4852378661902472</c:v>
                </c:pt>
                <c:pt idx="8">
                  <c:v>6.7998918577929972</c:v>
                </c:pt>
                <c:pt idx="9">
                  <c:v>6.5665591974846009</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562496"/>
        <c:axId val="275562888"/>
      </c:lineChart>
      <c:catAx>
        <c:axId val="275562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2888"/>
        <c:crosses val="autoZero"/>
        <c:auto val="1"/>
        <c:lblAlgn val="ctr"/>
        <c:lblOffset val="100"/>
        <c:noMultiLvlLbl val="0"/>
      </c:catAx>
      <c:valAx>
        <c:axId val="275562888"/>
        <c:scaling>
          <c:orientation val="minMax"/>
          <c:max val="7"/>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2496"/>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TABAQUISMO</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'65'!$B$23:$K$23</c:f>
              <c:numCache>
                <c:formatCode>0.00</c:formatCode>
                <c:ptCount val="10"/>
                <c:pt idx="0">
                  <c:v>1.6029480437739834</c:v>
                </c:pt>
                <c:pt idx="1">
                  <c:v>1.8008696956065378</c:v>
                </c:pt>
                <c:pt idx="2">
                  <c:v>1.6365652334606382</c:v>
                </c:pt>
                <c:pt idx="3">
                  <c:v>2.026265139879853</c:v>
                </c:pt>
                <c:pt idx="4">
                  <c:v>1.1264998417433174</c:v>
                </c:pt>
                <c:pt idx="5">
                  <c:v>0.98619609401988484</c:v>
                </c:pt>
                <c:pt idx="6">
                  <c:v>1.2162162162162162</c:v>
                </c:pt>
                <c:pt idx="7">
                  <c:v>1.0504134313658124</c:v>
                </c:pt>
                <c:pt idx="8">
                  <c:v>1.2625602667507774</c:v>
                </c:pt>
                <c:pt idx="9">
                  <c:v>0.90158808999028783</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563672"/>
        <c:axId val="275564064"/>
      </c:lineChart>
      <c:catAx>
        <c:axId val="275563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4064"/>
        <c:crosses val="autoZero"/>
        <c:auto val="1"/>
        <c:lblAlgn val="ctr"/>
        <c:lblOffset val="100"/>
        <c:noMultiLvlLbl val="0"/>
      </c:catAx>
      <c:valAx>
        <c:axId val="275564064"/>
        <c:scaling>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3672"/>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INFARTO  AGUDO  MC</a:t>
            </a:r>
          </a:p>
        </c:rich>
      </c:tx>
      <c:layout>
        <c:manualLayout>
          <c:xMode val="edge"/>
          <c:yMode val="edge"/>
          <c:x val="0.27224141885176972"/>
          <c:y val="7.3031891264076221E-4"/>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'65'!$B$5:$K$5</c:f>
              <c:strCache>
                <c:ptCount val="10"/>
                <c:pt idx="0">
                  <c:v>2011</c:v>
                </c:pt>
                <c:pt idx="1">
                  <c:v>2012</c:v>
                </c:pt>
                <c:pt idx="2">
                  <c:v>2013</c:v>
                </c:pt>
                <c:pt idx="3">
                  <c:v>2014</c:v>
                </c:pt>
                <c:pt idx="4">
                  <c:v>2015</c:v>
                </c:pt>
                <c:pt idx="5">
                  <c:v>2016</c:v>
                </c:pt>
                <c:pt idx="6">
                  <c:v>2017</c:v>
                </c:pt>
                <c:pt idx="7">
                  <c:v>2018</c:v>
                </c:pt>
                <c:pt idx="8">
                  <c:v>2019</c:v>
                </c:pt>
                <c:pt idx="9">
                  <c:v>2020</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'65'!$B$25:$K$25</c:f>
              <c:numCache>
                <c:formatCode>0.00</c:formatCode>
                <c:ptCount val="10"/>
                <c:pt idx="0">
                  <c:v>0</c:v>
                </c:pt>
                <c:pt idx="1">
                  <c:v>0</c:v>
                </c:pt>
                <c:pt idx="2">
                  <c:v>0.22569914993224097</c:v>
                </c:pt>
                <c:pt idx="3">
                  <c:v>0.36549565487878377</c:v>
                </c:pt>
                <c:pt idx="4">
                  <c:v>0.26951592637707289</c:v>
                </c:pt>
                <c:pt idx="5">
                  <c:v>0.41170374366473117</c:v>
                </c:pt>
                <c:pt idx="6">
                  <c:v>0.51164958061509791</c:v>
                </c:pt>
                <c:pt idx="7">
                  <c:v>0.47321285416523512</c:v>
                </c:pt>
                <c:pt idx="8">
                  <c:v>0.64885324201324734</c:v>
                </c:pt>
                <c:pt idx="9">
                  <c:v>0.71887569792142481</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564848"/>
        <c:axId val="275565240"/>
      </c:lineChart>
      <c:catAx>
        <c:axId val="275564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5240"/>
        <c:crosses val="autoZero"/>
        <c:auto val="1"/>
        <c:lblAlgn val="ctr"/>
        <c:lblOffset val="100"/>
        <c:noMultiLvlLbl val="0"/>
      </c:catAx>
      <c:valAx>
        <c:axId val="275565240"/>
        <c:scaling>
          <c:orientation val="minMax"/>
          <c:max val="0.70000000000000007"/>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4848"/>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ENF. CEREBRO VASCULAR</a:t>
            </a:r>
          </a:p>
        </c:rich>
      </c:tx>
      <c:layout>
        <c:manualLayout>
          <c:xMode val="edge"/>
          <c:yMode val="edge"/>
          <c:x val="0.21641617613332309"/>
          <c:y val="4.9947098048419977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'65'!$B$26:$K$26</c:f>
              <c:strCache>
                <c:ptCount val="10"/>
                <c:pt idx="0">
                  <c:v>-</c:v>
                </c:pt>
                <c:pt idx="1">
                  <c:v>-</c:v>
                </c:pt>
                <c:pt idx="2">
                  <c:v>0,36</c:v>
                </c:pt>
                <c:pt idx="3">
                  <c:v>0,54</c:v>
                </c:pt>
                <c:pt idx="4">
                  <c:v>0,55</c:v>
                </c:pt>
                <c:pt idx="5">
                  <c:v>0,65</c:v>
                </c:pt>
                <c:pt idx="6">
                  <c:v>0,63</c:v>
                </c:pt>
                <c:pt idx="7">
                  <c:v>0,61</c:v>
                </c:pt>
                <c:pt idx="8">
                  <c:v>0,75</c:v>
                </c:pt>
                <c:pt idx="9">
                  <c:v>0,71</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'65'!$B$5:$K$5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'65'!$B$26:$K$26</c:f>
              <c:numCache>
                <c:formatCode>0.00</c:formatCode>
                <c:ptCount val="10"/>
                <c:pt idx="0">
                  <c:v>0</c:v>
                </c:pt>
                <c:pt idx="1">
                  <c:v>0</c:v>
                </c:pt>
                <c:pt idx="2">
                  <c:v>0.35678206233830234</c:v>
                </c:pt>
                <c:pt idx="3">
                  <c:v>0.53949491611097067</c:v>
                </c:pt>
                <c:pt idx="4">
                  <c:v>0.54814360115479421</c:v>
                </c:pt>
                <c:pt idx="5">
                  <c:v>0.64736864521074977</c:v>
                </c:pt>
                <c:pt idx="6">
                  <c:v>0.62861136999068035</c:v>
                </c:pt>
                <c:pt idx="7">
                  <c:v>0.61201585011108817</c:v>
                </c:pt>
                <c:pt idx="8">
                  <c:v>0.74933537601946554</c:v>
                </c:pt>
                <c:pt idx="9">
                  <c:v>0.71000616432584895</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75566024"/>
        <c:axId val="275566416"/>
      </c:lineChart>
      <c:catAx>
        <c:axId val="2755660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6416"/>
        <c:crosses val="autoZero"/>
        <c:auto val="1"/>
        <c:lblAlgn val="ctr"/>
        <c:lblOffset val="100"/>
        <c:noMultiLvlLbl val="0"/>
      </c:catAx>
      <c:valAx>
        <c:axId val="275566416"/>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75566024"/>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2014 - 2019</a:t>
            </a:r>
          </a:p>
        </c:rich>
      </c:tx>
      <c:overlay val="0"/>
      <c:spPr>
        <a:noFill/>
        <a:ln w="25400">
          <a:noFill/>
        </a:ln>
      </c:spPr>
    </c:title>
    <c:autoTitleDeleted val="0"/>
    <c:plotArea>
      <c:layout/>
      <c:lineChart>
        <c:grouping val="standard"/>
        <c:varyColors val="0"/>
        <c:ser>
          <c:idx val="5"/>
          <c:order val="0"/>
          <c:tx>
            <c:v>Prestaciones por  hab.</c:v>
          </c:tx>
          <c:spPr>
            <a:ln w="25400" cap="flat">
              <a:solidFill>
                <a:srgbClr val="0000FF"/>
              </a:solidFill>
              <a:prstDash val="solid"/>
            </a:ln>
          </c:spPr>
          <c:marker>
            <c:symbol val="none"/>
          </c:marker>
          <c:cat>
            <c:numRef>
              <c:f>'66'!$C$60:$H$60</c:f>
              <c:numCache>
                <c:formatCode>General</c:formatCode>
                <c:ptCount val="6"/>
                <c:pt idx="0">
                  <c:v>2015</c:v>
                </c:pt>
                <c:pt idx="1">
                  <c:v>2016</c:v>
                </c:pt>
                <c:pt idx="2">
                  <c:v>2017</c:v>
                </c:pt>
                <c:pt idx="3">
                  <c:v>2018</c:v>
                </c:pt>
                <c:pt idx="4">
                  <c:v>2019</c:v>
                </c:pt>
                <c:pt idx="5">
                  <c:v>2020</c:v>
                </c:pt>
              </c:numCache>
            </c:numRef>
          </c:cat>
          <c:val>
            <c:numRef>
              <c:f>'66'!$C$79:$H$79</c:f>
              <c:numCache>
                <c:formatCode>0.00</c:formatCode>
                <c:ptCount val="6"/>
                <c:pt idx="0">
                  <c:v>1.0841355580574565</c:v>
                </c:pt>
                <c:pt idx="1">
                  <c:v>1.0586132136472557</c:v>
                </c:pt>
                <c:pt idx="2">
                  <c:v>1.1588156807929348</c:v>
                </c:pt>
                <c:pt idx="3">
                  <c:v>1.2597926854115729</c:v>
                </c:pt>
                <c:pt idx="4">
                  <c:v>1.4095134903754831</c:v>
                </c:pt>
                <c:pt idx="5">
                  <c:v>0.35978020505260339</c:v>
                </c:pt>
              </c:numCache>
            </c:numRef>
          </c:val>
          <c:smooth val="0"/>
        </c:ser>
        <c:dLbls>
          <c:showLegendKey val="0"/>
          <c:showVal val="0"/>
          <c:showCatName val="0"/>
          <c:showSerName val="0"/>
          <c:showPercent val="0"/>
          <c:showBubbleSize val="0"/>
        </c:dLbls>
        <c:smooth val="0"/>
        <c:axId val="275567200"/>
        <c:axId val="280993872"/>
      </c:lineChart>
      <c:catAx>
        <c:axId val="2755672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80993872"/>
        <c:crosses val="autoZero"/>
        <c:auto val="1"/>
        <c:lblAlgn val="ctr"/>
        <c:lblOffset val="100"/>
        <c:tickLblSkip val="1"/>
        <c:tickMarkSkip val="1"/>
        <c:noMultiLvlLbl val="0"/>
      </c:catAx>
      <c:valAx>
        <c:axId val="280993872"/>
        <c:scaling>
          <c:orientation val="minMax"/>
          <c:max val="1.5"/>
          <c:min val="0.8"/>
        </c:scaling>
        <c:delete val="0"/>
        <c:axPos val="l"/>
        <c:majorGridlines>
          <c:spPr>
            <a:ln w="3175">
              <a:solidFill>
                <a:srgbClr val="000000"/>
              </a:solidFill>
              <a:prstDash val="solid"/>
            </a:ln>
          </c:spPr>
        </c:majorGridlines>
        <c:numFmt formatCode="0.00" sourceLinked="1"/>
        <c:majorTickMark val="none"/>
        <c:minorTickMark val="none"/>
        <c:tickLblPos val="nextTo"/>
        <c:spPr>
          <a:ln w="25400">
            <a:noFill/>
          </a:ln>
        </c:spPr>
        <c:txPr>
          <a:bodyPr rot="0" vert="horz"/>
          <a:lstStyle/>
          <a:p>
            <a:pPr>
              <a:defRPr sz="825" b="0" i="0" u="none" strike="noStrike" baseline="0">
                <a:solidFill>
                  <a:srgbClr val="000000"/>
                </a:solidFill>
                <a:latin typeface="Arial"/>
                <a:ea typeface="Arial"/>
                <a:cs typeface="Arial"/>
              </a:defRPr>
            </a:pPr>
            <a:endParaRPr lang="es-CL"/>
          </a:p>
        </c:txPr>
        <c:crossAx val="275567200"/>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2013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67.10273466371028</c:v>
                </c:pt>
                <c:pt idx="1">
                  <c:v>60.654227136604469</c:v>
                </c:pt>
                <c:pt idx="2">
                  <c:v>55.336297943301837</c:v>
                </c:pt>
                <c:pt idx="3">
                  <c:v>52.26910828025477</c:v>
                </c:pt>
                <c:pt idx="4">
                  <c:v>60.572059763967211</c:v>
                </c:pt>
                <c:pt idx="5">
                  <c:v>83.485967503692763</c:v>
                </c:pt>
                <c:pt idx="6">
                  <c:v>66.758494031221304</c:v>
                </c:pt>
                <c:pt idx="7">
                  <c:v>62.842242503259449</c:v>
                </c:pt>
                <c:pt idx="8">
                  <c:v>64.691856199559794</c:v>
                </c:pt>
                <c:pt idx="9">
                  <c:v>69.558101472995091</c:v>
                </c:pt>
              </c:numCache>
            </c:numRef>
          </c:val>
        </c:ser>
        <c:dLbls>
          <c:showLegendKey val="0"/>
          <c:showVal val="0"/>
          <c:showCatName val="0"/>
          <c:showSerName val="0"/>
          <c:showPercent val="0"/>
          <c:showBubbleSize val="0"/>
        </c:dLbls>
        <c:gapWidth val="150"/>
        <c:axId val="270544104"/>
        <c:axId val="270546064"/>
      </c:barChart>
      <c:catAx>
        <c:axId val="270544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0546064"/>
        <c:crosses val="autoZero"/>
        <c:auto val="0"/>
        <c:lblAlgn val="ctr"/>
        <c:lblOffset val="100"/>
        <c:tickLblSkip val="1"/>
        <c:tickMarkSkip val="1"/>
        <c:noMultiLvlLbl val="0"/>
      </c:catAx>
      <c:valAx>
        <c:axId val="270546064"/>
        <c:scaling>
          <c:orientation val="minMax"/>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0544104"/>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Arial"/>
                <a:ea typeface="Arial"/>
                <a:cs typeface="Arial"/>
              </a:defRPr>
            </a:pPr>
            <a:r>
              <a:rPr lang="es-ES"/>
              <a:t>PORCENTAJE DE CONS. MEDICAS DE URGENCIA
 SEGUN PROGRAMA  AÑO 2020</a:t>
            </a:r>
          </a:p>
          <a:p>
            <a:pPr>
              <a:defRPr sz="1575" b="1" i="0" u="none" strike="noStrike" baseline="0">
                <a:solidFill>
                  <a:srgbClr val="000000"/>
                </a:solidFill>
                <a:latin typeface="Arial"/>
                <a:ea typeface="Arial"/>
                <a:cs typeface="Arial"/>
              </a:defRPr>
            </a:pPr>
            <a:endParaRPr lang="es-ES"/>
          </a:p>
        </c:rich>
      </c:tx>
      <c:layout>
        <c:manualLayout>
          <c:xMode val="edge"/>
          <c:yMode val="edge"/>
          <c:x val="0.16972225354728721"/>
          <c:y val="4.8707894321232778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909212283045651"/>
          <c:y val="0.42618384401114207"/>
          <c:w val="0.36181575433912438"/>
          <c:h val="0.36768802228413511"/>
        </c:manualLayout>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'67'!$B$38:$B$42</c:f>
              <c:strCache>
                <c:ptCount val="5"/>
                <c:pt idx="0">
                  <c:v> INFANTIL</c:v>
                </c:pt>
                <c:pt idx="1">
                  <c:v> ADOLESCENTE</c:v>
                </c:pt>
                <c:pt idx="2">
                  <c:v> MUJER</c:v>
                </c:pt>
                <c:pt idx="3">
                  <c:v> ADULTO</c:v>
                </c:pt>
                <c:pt idx="4">
                  <c:v> ADULTO MAYOR</c:v>
                </c:pt>
              </c:strCache>
            </c:strRef>
          </c:cat>
          <c:val>
            <c:numRef>
              <c:f>'67'!$K$38:$K$42</c:f>
              <c:numCache>
                <c:formatCode>#,##0</c:formatCode>
                <c:ptCount val="5"/>
                <c:pt idx="0">
                  <c:v>23680</c:v>
                </c:pt>
                <c:pt idx="1">
                  <c:v>17373</c:v>
                </c:pt>
                <c:pt idx="2">
                  <c:v>10406</c:v>
                </c:pt>
                <c:pt idx="3">
                  <c:v>106941</c:v>
                </c:pt>
                <c:pt idx="4">
                  <c:v>29599</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575" b="1" i="0" u="none" strike="noStrike" baseline="0">
                <a:solidFill>
                  <a:srgbClr val="000000"/>
                </a:solidFill>
                <a:latin typeface="Arial"/>
                <a:ea typeface="Arial"/>
                <a:cs typeface="Arial"/>
              </a:defRPr>
            </a:pPr>
            <a:r>
              <a:rPr lang="es-ES"/>
              <a:t>CATEGORIZACIÓN CONSULTAS</a:t>
            </a:r>
            <a:r>
              <a:rPr lang="es-ES" baseline="0"/>
              <a:t> URGENCIA</a:t>
            </a:r>
            <a:r>
              <a:rPr lang="es-ES"/>
              <a:t>  
 AÑO 2019</a:t>
            </a:r>
          </a:p>
        </c:rich>
      </c:tx>
      <c:layout>
        <c:manualLayout>
          <c:xMode val="edge"/>
          <c:yMode val="edge"/>
          <c:x val="0.31631029061552646"/>
          <c:y val="5.808293752040785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573398165161958"/>
          <c:y val="0.22618386471059657"/>
          <c:w val="0.80326476460872043"/>
          <c:h val="0.68956316180195909"/>
        </c:manualLayout>
      </c:layout>
      <c:barChart>
        <c:barDir val="col"/>
        <c:grouping val="clustered"/>
        <c:varyColors val="0"/>
        <c:ser>
          <c:idx val="0"/>
          <c:order val="0"/>
          <c:spPr>
            <a:solidFill>
              <a:srgbClr val="8080FF"/>
            </a:solidFill>
            <a:ln w="12700">
              <a:solidFill>
                <a:srgbClr val="000000"/>
              </a:solidFill>
              <a:prstDash val="solid"/>
            </a:ln>
          </c:spPr>
          <c:invertIfNegative val="0"/>
          <c:dPt>
            <c:idx val="1"/>
            <c:invertIfNegative val="0"/>
            <c:bubble3D val="0"/>
            <c:spPr>
              <a:solidFill>
                <a:srgbClr val="802060"/>
              </a:solidFill>
              <a:ln w="12700">
                <a:solidFill>
                  <a:srgbClr val="000000"/>
                </a:solidFill>
                <a:prstDash val="solid"/>
              </a:ln>
            </c:spPr>
          </c:dPt>
          <c:dPt>
            <c:idx val="2"/>
            <c:invertIfNegative val="0"/>
            <c:bubble3D val="0"/>
            <c:spPr>
              <a:solidFill>
                <a:srgbClr val="FFFFC0"/>
              </a:solidFill>
              <a:ln w="12700">
                <a:solidFill>
                  <a:srgbClr val="000000"/>
                </a:solidFill>
                <a:prstDash val="solid"/>
              </a:ln>
            </c:spPr>
          </c:dPt>
          <c:dPt>
            <c:idx val="3"/>
            <c:invertIfNegative val="0"/>
            <c:bubble3D val="0"/>
            <c:spPr>
              <a:solidFill>
                <a:srgbClr val="A0E0E0"/>
              </a:solidFill>
              <a:ln w="12700">
                <a:solidFill>
                  <a:srgbClr val="000000"/>
                </a:solidFill>
                <a:prstDash val="solid"/>
              </a:ln>
            </c:spPr>
          </c:dPt>
          <c:dPt>
            <c:idx val="4"/>
            <c:invertIfNegative val="0"/>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'67'!$B$44:$B$49</c:f>
              <c:strCache>
                <c:ptCount val="6"/>
                <c:pt idx="0">
                  <c:v>C1</c:v>
                </c:pt>
                <c:pt idx="1">
                  <c:v>C2</c:v>
                </c:pt>
                <c:pt idx="2">
                  <c:v>C3</c:v>
                </c:pt>
                <c:pt idx="3">
                  <c:v>C4</c:v>
                </c:pt>
                <c:pt idx="4">
                  <c:v>C5</c:v>
                </c:pt>
                <c:pt idx="5">
                  <c:v>SIN CATEG.</c:v>
                </c:pt>
              </c:strCache>
            </c:strRef>
          </c:cat>
          <c:val>
            <c:numRef>
              <c:f>'67'!$J$87:$J$92</c:f>
              <c:numCache>
                <c:formatCode>0.0000</c:formatCode>
                <c:ptCount val="6"/>
                <c:pt idx="0">
                  <c:v>3.067668721779698E-3</c:v>
                </c:pt>
                <c:pt idx="1">
                  <c:v>2.1068658776232693E-2</c:v>
                </c:pt>
                <c:pt idx="2">
                  <c:v>0.46174789613428741</c:v>
                </c:pt>
                <c:pt idx="3">
                  <c:v>0.48898939441669292</c:v>
                </c:pt>
                <c:pt idx="4">
                  <c:v>2.1241168264254533E-2</c:v>
                </c:pt>
                <c:pt idx="5">
                  <c:v>3.8852136867527716E-3</c:v>
                </c:pt>
              </c:numCache>
            </c:numRef>
          </c:val>
          <c:extLst/>
        </c:ser>
        <c:dLbls>
          <c:showLegendKey val="0"/>
          <c:showVal val="0"/>
          <c:showCatName val="0"/>
          <c:showSerName val="0"/>
          <c:showPercent val="0"/>
          <c:showBubbleSize val="0"/>
        </c:dLbls>
        <c:gapWidth val="100"/>
        <c:axId val="280995048"/>
        <c:axId val="280995440"/>
      </c:barChart>
      <c:catAx>
        <c:axId val="280995048"/>
        <c:scaling>
          <c:orientation val="minMax"/>
        </c:scaling>
        <c:delete val="0"/>
        <c:axPos val="b"/>
        <c:numFmt formatCode="General" sourceLinked="1"/>
        <c:majorTickMark val="out"/>
        <c:minorTickMark val="none"/>
        <c:tickLblPos val="nextTo"/>
        <c:txPr>
          <a:bodyPr/>
          <a:lstStyle/>
          <a:p>
            <a:pPr>
              <a:defRPr sz="1050" baseline="0"/>
            </a:pPr>
            <a:endParaRPr lang="es-CL"/>
          </a:p>
        </c:txPr>
        <c:crossAx val="280995440"/>
        <c:crosses val="autoZero"/>
        <c:auto val="1"/>
        <c:lblAlgn val="ctr"/>
        <c:lblOffset val="100"/>
        <c:noMultiLvlLbl val="0"/>
      </c:catAx>
      <c:valAx>
        <c:axId val="280995440"/>
        <c:scaling>
          <c:orientation val="minMax"/>
          <c:max val="0.70000000000000007"/>
          <c:min val="0"/>
        </c:scaling>
        <c:delete val="0"/>
        <c:axPos val="l"/>
        <c:majorGridlines/>
        <c:numFmt formatCode="0.0000" sourceLinked="1"/>
        <c:majorTickMark val="out"/>
        <c:minorTickMark val="none"/>
        <c:tickLblPos val="nextTo"/>
        <c:crossAx val="280995048"/>
        <c:crosses val="autoZero"/>
        <c:crossBetween val="between"/>
      </c:valAx>
      <c:spPr>
        <a:ln>
          <a:solidFill>
            <a:srgbClr val="000000">
              <a:alpha val="98000"/>
            </a:srgbClr>
          </a:solid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2016</c:v>
                </c:pt>
                <c:pt idx="1">
                  <c:v>2017</c:v>
                </c:pt>
                <c:pt idx="2">
                  <c:v>2018</c:v>
                </c:pt>
                <c:pt idx="3">
                  <c:v>2019</c:v>
                </c:pt>
                <c:pt idx="4">
                  <c:v>2020</c:v>
                </c:pt>
              </c:numCache>
            </c:numRef>
          </c:cat>
          <c:val>
            <c:numRef>
              <c:f>'68'!$L$8:$P$8</c:f>
              <c:numCache>
                <c:formatCode>#,##0.00</c:formatCode>
                <c:ptCount val="5"/>
                <c:pt idx="0">
                  <c:v>1.7847487624079821</c:v>
                </c:pt>
                <c:pt idx="1">
                  <c:v>1.7008654240065546</c:v>
                </c:pt>
                <c:pt idx="2">
                  <c:v>1.6564911017385042</c:v>
                </c:pt>
                <c:pt idx="3">
                  <c:v>1.6892000310567044</c:v>
                </c:pt>
                <c:pt idx="4">
                  <c:v>0.61545677210902083</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2016</c:v>
                </c:pt>
                <c:pt idx="1">
                  <c:v>2017</c:v>
                </c:pt>
                <c:pt idx="2">
                  <c:v>2018</c:v>
                </c:pt>
                <c:pt idx="3">
                  <c:v>2019</c:v>
                </c:pt>
                <c:pt idx="4">
                  <c:v>2020</c:v>
                </c:pt>
              </c:numCache>
            </c:numRef>
          </c:cat>
          <c:val>
            <c:numRef>
              <c:f>'68'!$L$9:$P$9</c:f>
              <c:numCache>
                <c:formatCode>#,##0.00</c:formatCode>
                <c:ptCount val="5"/>
                <c:pt idx="0">
                  <c:v>1.182218333200753</c:v>
                </c:pt>
                <c:pt idx="1">
                  <c:v>1.1488262533793732</c:v>
                </c:pt>
                <c:pt idx="2">
                  <c:v>1.0841870943517675</c:v>
                </c:pt>
                <c:pt idx="3">
                  <c:v>1.0645428992102797</c:v>
                </c:pt>
                <c:pt idx="4">
                  <c:v>0.45993170783759268</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2016</c:v>
                </c:pt>
                <c:pt idx="1">
                  <c:v>2017</c:v>
                </c:pt>
                <c:pt idx="2">
                  <c:v>2018</c:v>
                </c:pt>
                <c:pt idx="3">
                  <c:v>2019</c:v>
                </c:pt>
                <c:pt idx="4">
                  <c:v>2020</c:v>
                </c:pt>
              </c:numCache>
            </c:numRef>
          </c:cat>
          <c:val>
            <c:numRef>
              <c:f>'68'!$L$11:$P$11</c:f>
              <c:numCache>
                <c:formatCode>#,##0.00</c:formatCode>
                <c:ptCount val="5"/>
                <c:pt idx="0">
                  <c:v>0.88674154794614002</c:v>
                </c:pt>
                <c:pt idx="1">
                  <c:v>0.87410302996935163</c:v>
                </c:pt>
                <c:pt idx="2">
                  <c:v>0.84262279268579421</c:v>
                </c:pt>
                <c:pt idx="3">
                  <c:v>0.79831298372427573</c:v>
                </c:pt>
                <c:pt idx="4">
                  <c:v>0.62140644434535686</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2016</c:v>
                </c:pt>
                <c:pt idx="1">
                  <c:v>2017</c:v>
                </c:pt>
                <c:pt idx="2">
                  <c:v>2018</c:v>
                </c:pt>
                <c:pt idx="3">
                  <c:v>2019</c:v>
                </c:pt>
                <c:pt idx="4">
                  <c:v>2020</c:v>
                </c:pt>
              </c:numCache>
            </c:numRef>
          </c:cat>
          <c:val>
            <c:numRef>
              <c:f>'68'!$L$13:$P$13</c:f>
              <c:numCache>
                <c:formatCode>#,##0.00</c:formatCode>
                <c:ptCount val="5"/>
                <c:pt idx="0">
                  <c:v>1.1648721024814384</c:v>
                </c:pt>
                <c:pt idx="1">
                  <c:v>1.1322613441584419</c:v>
                </c:pt>
                <c:pt idx="2">
                  <c:v>1.0882911208995016</c:v>
                </c:pt>
                <c:pt idx="3">
                  <c:v>1.0514734535262427</c:v>
                </c:pt>
                <c:pt idx="4">
                  <c:v>0.65803589703775334</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1.2533060755126813</c:v>
                </c:pt>
                <c:pt idx="1">
                  <c:v>1.2220073071136901</c:v>
                </c:pt>
                <c:pt idx="2">
                  <c:v>1.154886113152094</c:v>
                </c:pt>
                <c:pt idx="3">
                  <c:v>1.1216159112037638</c:v>
                </c:pt>
                <c:pt idx="4">
                  <c:v>0.7901937503373091</c:v>
                </c:pt>
              </c:numCache>
            </c:numRef>
          </c:val>
          <c:smooth val="0"/>
        </c:ser>
        <c:dLbls>
          <c:showLegendKey val="0"/>
          <c:showVal val="0"/>
          <c:showCatName val="0"/>
          <c:showSerName val="0"/>
          <c:showPercent val="0"/>
          <c:showBubbleSize val="0"/>
        </c:dLbls>
        <c:smooth val="0"/>
        <c:axId val="280996224"/>
        <c:axId val="280996616"/>
      </c:lineChart>
      <c:catAx>
        <c:axId val="28099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0996616"/>
        <c:crosses val="autoZero"/>
        <c:auto val="1"/>
        <c:lblAlgn val="ctr"/>
        <c:lblOffset val="100"/>
        <c:tickLblSkip val="1"/>
        <c:tickMarkSkip val="1"/>
        <c:noMultiLvlLbl val="0"/>
      </c:catAx>
      <c:valAx>
        <c:axId val="280996616"/>
        <c:scaling>
          <c:orientation val="minMax"/>
          <c:max val="2.25"/>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80996224"/>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2016</c:v>
                </c:pt>
                <c:pt idx="1">
                  <c:v>2017</c:v>
                </c:pt>
                <c:pt idx="2">
                  <c:v>2018</c:v>
                </c:pt>
                <c:pt idx="3">
                  <c:v>2019</c:v>
                </c:pt>
                <c:pt idx="4">
                  <c:v>2020</c:v>
                </c:pt>
              </c:numCache>
            </c:numRef>
          </c:cat>
          <c:val>
            <c:numRef>
              <c:f>'68'!$L$8:$P$8</c:f>
              <c:numCache>
                <c:formatCode>#,##0.00</c:formatCode>
                <c:ptCount val="5"/>
                <c:pt idx="0">
                  <c:v>1.7847487624079821</c:v>
                </c:pt>
                <c:pt idx="1">
                  <c:v>1.7008654240065546</c:v>
                </c:pt>
                <c:pt idx="2">
                  <c:v>1.6564911017385042</c:v>
                </c:pt>
                <c:pt idx="3">
                  <c:v>1.6892000310567044</c:v>
                </c:pt>
                <c:pt idx="4">
                  <c:v>0.61545677210902083</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2016</c:v>
                </c:pt>
                <c:pt idx="1">
                  <c:v>2017</c:v>
                </c:pt>
                <c:pt idx="2">
                  <c:v>2018</c:v>
                </c:pt>
                <c:pt idx="3">
                  <c:v>2019</c:v>
                </c:pt>
                <c:pt idx="4">
                  <c:v>2020</c:v>
                </c:pt>
              </c:numCache>
            </c:numRef>
          </c:cat>
          <c:val>
            <c:numRef>
              <c:f>'68'!$L$9:$P$9</c:f>
              <c:numCache>
                <c:formatCode>#,##0.00</c:formatCode>
                <c:ptCount val="5"/>
                <c:pt idx="0">
                  <c:v>1.182218333200753</c:v>
                </c:pt>
                <c:pt idx="1">
                  <c:v>1.1488262533793732</c:v>
                </c:pt>
                <c:pt idx="2">
                  <c:v>1.0841870943517675</c:v>
                </c:pt>
                <c:pt idx="3">
                  <c:v>1.0645428992102797</c:v>
                </c:pt>
                <c:pt idx="4">
                  <c:v>0.45993170783759268</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2016</c:v>
                </c:pt>
                <c:pt idx="1">
                  <c:v>2017</c:v>
                </c:pt>
                <c:pt idx="2">
                  <c:v>2018</c:v>
                </c:pt>
                <c:pt idx="3">
                  <c:v>2019</c:v>
                </c:pt>
                <c:pt idx="4">
                  <c:v>2020</c:v>
                </c:pt>
              </c:numCache>
            </c:numRef>
          </c:cat>
          <c:val>
            <c:numRef>
              <c:f>'68'!$L$11:$P$11</c:f>
              <c:numCache>
                <c:formatCode>#,##0.00</c:formatCode>
                <c:ptCount val="5"/>
                <c:pt idx="0">
                  <c:v>0.88674154794614002</c:v>
                </c:pt>
                <c:pt idx="1">
                  <c:v>0.87410302996935163</c:v>
                </c:pt>
                <c:pt idx="2">
                  <c:v>0.84262279268579421</c:v>
                </c:pt>
                <c:pt idx="3">
                  <c:v>0.79831298372427573</c:v>
                </c:pt>
                <c:pt idx="4">
                  <c:v>0.62140644434535686</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2016</c:v>
                </c:pt>
                <c:pt idx="1">
                  <c:v>2017</c:v>
                </c:pt>
                <c:pt idx="2">
                  <c:v>2018</c:v>
                </c:pt>
                <c:pt idx="3">
                  <c:v>2019</c:v>
                </c:pt>
                <c:pt idx="4">
                  <c:v>2020</c:v>
                </c:pt>
              </c:numCache>
            </c:numRef>
          </c:cat>
          <c:val>
            <c:numRef>
              <c:f>'68'!$L$13:$P$13</c:f>
              <c:numCache>
                <c:formatCode>#,##0.00</c:formatCode>
                <c:ptCount val="5"/>
                <c:pt idx="0">
                  <c:v>1.1648721024814384</c:v>
                </c:pt>
                <c:pt idx="1">
                  <c:v>1.1322613441584419</c:v>
                </c:pt>
                <c:pt idx="2">
                  <c:v>1.0882911208995016</c:v>
                </c:pt>
                <c:pt idx="3">
                  <c:v>1.0514734535262427</c:v>
                </c:pt>
                <c:pt idx="4">
                  <c:v>0.65803589703775334</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1.2533060755126813</c:v>
                </c:pt>
                <c:pt idx="1">
                  <c:v>1.2220073071136901</c:v>
                </c:pt>
                <c:pt idx="2">
                  <c:v>1.154886113152094</c:v>
                </c:pt>
                <c:pt idx="3">
                  <c:v>1.1216159112037638</c:v>
                </c:pt>
                <c:pt idx="4">
                  <c:v>0.7901937503373091</c:v>
                </c:pt>
              </c:numCache>
            </c:numRef>
          </c:val>
          <c:smooth val="0"/>
        </c:ser>
        <c:dLbls>
          <c:showLegendKey val="0"/>
          <c:showVal val="0"/>
          <c:showCatName val="0"/>
          <c:showSerName val="0"/>
          <c:showPercent val="0"/>
          <c:showBubbleSize val="0"/>
        </c:dLbls>
        <c:smooth val="0"/>
        <c:axId val="280997400"/>
        <c:axId val="280997792"/>
      </c:lineChart>
      <c:catAx>
        <c:axId val="280997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80997792"/>
        <c:crosses val="autoZero"/>
        <c:auto val="1"/>
        <c:lblAlgn val="ctr"/>
        <c:lblOffset val="100"/>
        <c:tickLblSkip val="1"/>
        <c:tickMarkSkip val="1"/>
        <c:noMultiLvlLbl val="0"/>
      </c:catAx>
      <c:valAx>
        <c:axId val="280997792"/>
        <c:scaling>
          <c:orientation val="minMax"/>
          <c:max val="2"/>
          <c:min val="0.46"/>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80997400"/>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2015</c:v>
                </c:pt>
                <c:pt idx="1">
                  <c:v>2016</c:v>
                </c:pt>
                <c:pt idx="2">
                  <c:v>2017</c:v>
                </c:pt>
                <c:pt idx="3">
                  <c:v>2018</c:v>
                </c:pt>
                <c:pt idx="4">
                  <c:v>2019</c:v>
                </c:pt>
                <c:pt idx="5">
                  <c:v>2020</c:v>
                </c:pt>
              </c:numCache>
            </c:numRef>
          </c:cat>
          <c:val>
            <c:numRef>
              <c:f>'69'!$B$8:$G$8</c:f>
              <c:numCache>
                <c:formatCode>#,##0</c:formatCode>
                <c:ptCount val="6"/>
                <c:pt idx="0">
                  <c:v>76526</c:v>
                </c:pt>
                <c:pt idx="1">
                  <c:v>74245</c:v>
                </c:pt>
                <c:pt idx="2">
                  <c:v>70255</c:v>
                </c:pt>
                <c:pt idx="3">
                  <c:v>66809</c:v>
                </c:pt>
                <c:pt idx="4">
                  <c:v>64708</c:v>
                </c:pt>
                <c:pt idx="5">
                  <c:v>46078</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2015</c:v>
                </c:pt>
                <c:pt idx="1">
                  <c:v>2016</c:v>
                </c:pt>
                <c:pt idx="2">
                  <c:v>2017</c:v>
                </c:pt>
                <c:pt idx="3">
                  <c:v>2018</c:v>
                </c:pt>
                <c:pt idx="4">
                  <c:v>2019</c:v>
                </c:pt>
                <c:pt idx="5">
                  <c:v>2020</c:v>
                </c:pt>
              </c:numCache>
            </c:numRef>
          </c:cat>
          <c:val>
            <c:numRef>
              <c:f>'69'!$B$9:$G$9</c:f>
              <c:numCache>
                <c:formatCode>#,##0</c:formatCode>
                <c:ptCount val="6"/>
                <c:pt idx="0">
                  <c:v>86259</c:v>
                </c:pt>
                <c:pt idx="1">
                  <c:v>83952</c:v>
                </c:pt>
                <c:pt idx="2">
                  <c:v>81437</c:v>
                </c:pt>
                <c:pt idx="3">
                  <c:v>74629</c:v>
                </c:pt>
                <c:pt idx="4">
                  <c:v>73920</c:v>
                </c:pt>
                <c:pt idx="5">
                  <c:v>49680</c:v>
                </c:pt>
              </c:numCache>
            </c:numRef>
          </c:val>
          <c:smooth val="0"/>
        </c:ser>
        <c:dLbls>
          <c:showLegendKey val="0"/>
          <c:showVal val="0"/>
          <c:showCatName val="0"/>
          <c:showSerName val="0"/>
          <c:showPercent val="0"/>
          <c:showBubbleSize val="0"/>
        </c:dLbls>
        <c:smooth val="0"/>
        <c:axId val="280998576"/>
        <c:axId val="280998968"/>
      </c:lineChart>
      <c:catAx>
        <c:axId val="28099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280998968"/>
        <c:crosses val="autoZero"/>
        <c:auto val="0"/>
        <c:lblAlgn val="ctr"/>
        <c:lblOffset val="100"/>
        <c:tickLblSkip val="1"/>
        <c:tickMarkSkip val="1"/>
        <c:noMultiLvlLbl val="0"/>
      </c:catAx>
      <c:valAx>
        <c:axId val="280998968"/>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280998576"/>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2013</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46078</c:v>
                </c:pt>
                <c:pt idx="1">
                  <c:v>49680</c:v>
                </c:pt>
                <c:pt idx="2">
                  <c:v>27280</c:v>
                </c:pt>
                <c:pt idx="3">
                  <c:v>4991</c:v>
                </c:pt>
                <c:pt idx="4">
                  <c:v>15703</c:v>
                </c:pt>
                <c:pt idx="5">
                  <c:v>15408</c:v>
                </c:pt>
                <c:pt idx="6">
                  <c:v>10963</c:v>
                </c:pt>
                <c:pt idx="7">
                  <c:v>16362</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2015</c:v>
                </c:pt>
                <c:pt idx="1">
                  <c:v>2016</c:v>
                </c:pt>
                <c:pt idx="2">
                  <c:v>2017</c:v>
                </c:pt>
                <c:pt idx="3">
                  <c:v>2018</c:v>
                </c:pt>
                <c:pt idx="4">
                  <c:v>2019</c:v>
                </c:pt>
                <c:pt idx="5">
                  <c:v>2020</c:v>
                </c:pt>
              </c:numCache>
            </c:numRef>
          </c:cat>
          <c:val>
            <c:numRef>
              <c:f>'69'!$B$8:$G$8</c:f>
              <c:numCache>
                <c:formatCode>#,##0</c:formatCode>
                <c:ptCount val="6"/>
                <c:pt idx="0">
                  <c:v>76526</c:v>
                </c:pt>
                <c:pt idx="1">
                  <c:v>74245</c:v>
                </c:pt>
                <c:pt idx="2">
                  <c:v>70255</c:v>
                </c:pt>
                <c:pt idx="3">
                  <c:v>66809</c:v>
                </c:pt>
                <c:pt idx="4">
                  <c:v>64708</c:v>
                </c:pt>
                <c:pt idx="5">
                  <c:v>46078</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2015</c:v>
                </c:pt>
                <c:pt idx="1">
                  <c:v>2016</c:v>
                </c:pt>
                <c:pt idx="2">
                  <c:v>2017</c:v>
                </c:pt>
                <c:pt idx="3">
                  <c:v>2018</c:v>
                </c:pt>
                <c:pt idx="4">
                  <c:v>2019</c:v>
                </c:pt>
                <c:pt idx="5">
                  <c:v>2020</c:v>
                </c:pt>
              </c:numCache>
            </c:numRef>
          </c:cat>
          <c:val>
            <c:numRef>
              <c:f>'69'!$B$9:$G$9</c:f>
              <c:numCache>
                <c:formatCode>#,##0</c:formatCode>
                <c:ptCount val="6"/>
                <c:pt idx="0">
                  <c:v>86259</c:v>
                </c:pt>
                <c:pt idx="1">
                  <c:v>83952</c:v>
                </c:pt>
                <c:pt idx="2">
                  <c:v>81437</c:v>
                </c:pt>
                <c:pt idx="3">
                  <c:v>74629</c:v>
                </c:pt>
                <c:pt idx="4">
                  <c:v>73920</c:v>
                </c:pt>
                <c:pt idx="5">
                  <c:v>49680</c:v>
                </c:pt>
              </c:numCache>
            </c:numRef>
          </c:val>
          <c:smooth val="0"/>
        </c:ser>
        <c:dLbls>
          <c:showLegendKey val="0"/>
          <c:showVal val="0"/>
          <c:showCatName val="0"/>
          <c:showSerName val="0"/>
          <c:showPercent val="0"/>
          <c:showBubbleSize val="0"/>
        </c:dLbls>
        <c:smooth val="0"/>
        <c:axId val="281000144"/>
        <c:axId val="281000536"/>
      </c:lineChart>
      <c:catAx>
        <c:axId val="281000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281000536"/>
        <c:crosses val="autoZero"/>
        <c:auto val="0"/>
        <c:lblAlgn val="ctr"/>
        <c:lblOffset val="100"/>
        <c:tickLblSkip val="1"/>
        <c:tickMarkSkip val="1"/>
        <c:noMultiLvlLbl val="0"/>
      </c:catAx>
      <c:valAx>
        <c:axId val="281000536"/>
        <c:scaling>
          <c:orientation val="minMax"/>
          <c:max val="100000"/>
          <c:min val="45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281000144"/>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sz="900"/>
              <a:t>PORCENTAJE DE CONS. URGENCIA SEGUN ESTABLECIMIENTOS
SERVICIO DE SALUD ACONCAGUA
AÑO 2020</a:t>
            </a:r>
            <a:endParaRPr lang="es-ES"/>
          </a:p>
        </c:rich>
      </c:tx>
      <c:layout>
        <c:manualLayout>
          <c:xMode val="edge"/>
          <c:yMode val="edge"/>
          <c:x val="8.7494480705186783E-2"/>
          <c:y val="1.485619853073921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46078</c:v>
                </c:pt>
                <c:pt idx="1">
                  <c:v>49680</c:v>
                </c:pt>
                <c:pt idx="2">
                  <c:v>27280</c:v>
                </c:pt>
                <c:pt idx="3">
                  <c:v>4991</c:v>
                </c:pt>
                <c:pt idx="4">
                  <c:v>15703</c:v>
                </c:pt>
                <c:pt idx="5">
                  <c:v>15408</c:v>
                </c:pt>
                <c:pt idx="6">
                  <c:v>10963</c:v>
                </c:pt>
                <c:pt idx="7">
                  <c:v>16362</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7100</c:v>
                </c:pt>
                <c:pt idx="1">
                  <c:v>1313</c:v>
                </c:pt>
                <c:pt idx="2">
                  <c:v>6734</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15036056856529986"/>
                  <c:y val="-0.3942425314813176"/>
                </c:manualLayout>
              </c:layout>
              <c:tx>
                <c:rich>
                  <a:bodyPr/>
                  <a:lstStyle/>
                  <a:p>
                    <a:pPr>
                      <a:defRPr sz="1050" b="1" i="0" u="none" strike="noStrike" baseline="0">
                        <a:solidFill>
                          <a:srgbClr val="FF0000"/>
                        </a:solidFill>
                        <a:latin typeface="Arial"/>
                        <a:ea typeface="Arial"/>
                        <a:cs typeface="Arial"/>
                      </a:defRPr>
                    </a:pPr>
                    <a:r>
                      <a:rPr lang="en-US"/>
                      <a:t>ELECTIVAS
83,9%</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2.9490677301700952E-2"/>
                  <c:y val="-0.12137308679111752"/>
                </c:manualLayout>
              </c:layout>
              <c:tx>
                <c:rich>
                  <a:bodyPr/>
                  <a:lstStyle/>
                  <a:p>
                    <a:pPr>
                      <a:defRPr sz="1200" b="1" i="0" u="none" strike="noStrike" baseline="0">
                        <a:solidFill>
                          <a:srgbClr val="FF0000"/>
                        </a:solidFill>
                        <a:latin typeface="Arial"/>
                        <a:ea typeface="Arial"/>
                        <a:cs typeface="Arial"/>
                      </a:defRPr>
                    </a:pPr>
                    <a:r>
                      <a:rPr lang="en-US"/>
                      <a:t>URGENCIAS
16,1%</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18"/>
              <c:layout>
                <c:manualLayout>
                  <c:xMode val="edge"/>
                  <c:yMode val="edge"/>
                  <c:x val="0.24025974025974026"/>
                  <c:y val="0.52808988764044962"/>
                </c:manualLayout>
              </c:layout>
              <c:tx>
                <c:rich>
                  <a:bodyPr/>
                  <a:lstStyle/>
                  <a:p>
                    <a:pPr>
                      <a:defRPr sz="1200" b="1" i="0" u="none" strike="noStrike" baseline="0">
                        <a:solidFill>
                          <a:srgbClr val="FF0000"/>
                        </a:solidFill>
                        <a:latin typeface="Arial"/>
                        <a:ea typeface="Arial"/>
                        <a:cs typeface="Arial"/>
                      </a:defRPr>
                    </a:pPr>
                    <a:r>
                      <a:t>URGENCIA
45%</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5"/>
              <c:layout>
                <c:manualLayout>
                  <c:xMode val="edge"/>
                  <c:yMode val="edge"/>
                  <c:x val="0.21948051948051947"/>
                  <c:y val="0.55617977528090001"/>
                </c:manualLayout>
              </c:layout>
              <c:tx>
                <c:rich>
                  <a:bodyPr/>
                  <a:lstStyle/>
                  <a:p>
                    <a:pPr>
                      <a:defRPr sz="1100" b="1" i="0" u="none" strike="noStrike" baseline="0">
                        <a:solidFill>
                          <a:srgbClr val="FF0000"/>
                        </a:solidFill>
                        <a:latin typeface="Arial"/>
                        <a:ea typeface="Arial"/>
                        <a:cs typeface="Arial"/>
                      </a:defRPr>
                    </a:pPr>
                    <a:r>
                      <a:t>CONSULTORIO
17%</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('70'!$A$8,'70'!$A$10)</c:f>
              <c:strCache>
                <c:ptCount val="2"/>
                <c:pt idx="0">
                  <c:v> ELECTIVAS MAYORES  NO  AMBULATORIAS</c:v>
                </c:pt>
                <c:pt idx="1">
                  <c:v>URGENCIAS  NO  AMBULATORIAS</c:v>
                </c:pt>
              </c:strCache>
            </c:strRef>
          </c:cat>
          <c:val>
            <c:numRef>
              <c:f>'70'!$L$9:$L$9</c:f>
              <c:numCache>
                <c:formatCode>#,##0</c:formatCode>
                <c:ptCount val="1"/>
                <c:pt idx="0">
                  <c:v>5435</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noFill/>
              <a:ln w="25400">
                <a:noFill/>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'70'!$L$11:$L$12</c:f>
              <c:numCache>
                <c:formatCode>#,##0</c:formatCode>
                <c:ptCount val="2"/>
                <c:pt idx="0">
                  <c:v>2978</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2007 - 2013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2014</c:v>
                </c:pt>
                <c:pt idx="1">
                  <c:v>2015</c:v>
                </c:pt>
                <c:pt idx="2">
                  <c:v>2016</c:v>
                </c:pt>
                <c:pt idx="3">
                  <c:v>2017</c:v>
                </c:pt>
                <c:pt idx="4">
                  <c:v>2018</c:v>
                </c:pt>
                <c:pt idx="5">
                  <c:v>2019</c:v>
                </c:pt>
                <c:pt idx="6">
                  <c:v>2020</c:v>
                </c:pt>
              </c:numCache>
            </c:numRef>
          </c:cat>
          <c:val>
            <c:numRef>
              <c:f>'12'!$B$19:$H$19</c:f>
              <c:numCache>
                <c:formatCode>#,##0.00</c:formatCode>
                <c:ptCount val="7"/>
                <c:pt idx="0">
                  <c:v>50.331825821767083</c:v>
                </c:pt>
                <c:pt idx="1">
                  <c:v>52.092194902652423</c:v>
                </c:pt>
                <c:pt idx="2">
                  <c:v>54.048548047374055</c:v>
                </c:pt>
                <c:pt idx="3">
                  <c:v>56.299586883999098</c:v>
                </c:pt>
                <c:pt idx="4">
                  <c:v>58.908568361640611</c:v>
                </c:pt>
                <c:pt idx="5">
                  <c:v>61.427310640801572</c:v>
                </c:pt>
                <c:pt idx="6">
                  <c:v>64.031101511879058</c:v>
                </c:pt>
              </c:numCache>
            </c:numRef>
          </c:val>
          <c:smooth val="0"/>
        </c:ser>
        <c:dLbls>
          <c:showLegendKey val="0"/>
          <c:showVal val="0"/>
          <c:showCatName val="0"/>
          <c:showSerName val="0"/>
          <c:showPercent val="0"/>
          <c:showBubbleSize val="0"/>
        </c:dLbls>
        <c:smooth val="0"/>
        <c:axId val="270544496"/>
        <c:axId val="270546848"/>
      </c:lineChart>
      <c:catAx>
        <c:axId val="270544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70546848"/>
        <c:crosses val="autoZero"/>
        <c:auto val="1"/>
        <c:lblAlgn val="ctr"/>
        <c:lblOffset val="100"/>
        <c:tickLblSkip val="1"/>
        <c:tickMarkSkip val="1"/>
        <c:noMultiLvlLbl val="0"/>
      </c:catAx>
      <c:valAx>
        <c:axId val="270546848"/>
        <c:scaling>
          <c:orientation val="minMax"/>
          <c:max val="49"/>
          <c:min val="3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25" b="1" i="1" u="none" strike="noStrike" baseline="0">
                <a:solidFill>
                  <a:srgbClr val="000080"/>
                </a:solidFill>
                <a:latin typeface="Arial"/>
                <a:ea typeface="Arial"/>
                <a:cs typeface="Arial"/>
              </a:defRPr>
            </a:pPr>
            <a:endParaRPr lang="es-CL"/>
          </a:p>
        </c:txPr>
        <c:crossAx val="270544496"/>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7100</c:v>
                </c:pt>
                <c:pt idx="1">
                  <c:v>1313</c:v>
                </c:pt>
                <c:pt idx="2">
                  <c:v>6734</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2"/>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1"/>
          <c:order val="0"/>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4336797900262466"/>
                  <c:y val="-4.0492399722583672E-2"/>
                </c:manualLayout>
              </c:layout>
              <c:tx>
                <c:rich>
                  <a:bodyPr/>
                  <a:lstStyle/>
                  <a:p>
                    <a:r>
                      <a:rPr lang="en-US" sz="1700" baseline="0">
                        <a:solidFill>
                          <a:srgbClr val="FF0000"/>
                        </a:solidFill>
                      </a:rPr>
                      <a:t>Electiva </a:t>
                    </a:r>
                    <a:fld id="{BF4CF427-BE39-4517-AECB-0A9BABBC1BB3}" type="PERCENTAGE">
                      <a:rPr lang="en-US" sz="1700" baseline="0">
                        <a:solidFill>
                          <a:srgbClr val="FF0000"/>
                        </a:solidFill>
                      </a:rPr>
                      <a:pPr/>
                      <a:t>[PORCENTAJE]</a:t>
                    </a:fld>
                    <a:endParaRPr lang="en-US" sz="1700" baseline="0">
                      <a:solidFill>
                        <a:srgbClr val="FF0000"/>
                      </a:solidFill>
                    </a:endParaRPr>
                  </a:p>
                </c:rich>
              </c:tx>
              <c:dLblPos val="bestFit"/>
              <c:showLegendKey val="0"/>
              <c:showVal val="0"/>
              <c:showCatName val="0"/>
              <c:showSerName val="1"/>
              <c:showPercent val="1"/>
              <c:showBubbleSize val="0"/>
              <c:extLst>
                <c:ext xmlns:c15="http://schemas.microsoft.com/office/drawing/2012/chart" uri="{CE6537A1-D6FC-4f65-9D91-7224C49458BB}">
                  <c15:dlblFieldTable/>
                  <c15:showDataLabelsRange val="0"/>
                </c:ext>
              </c:extLst>
            </c:dLbl>
            <c:dLbl>
              <c:idx val="1"/>
              <c:layout>
                <c:manualLayout>
                  <c:x val="-0.11776469479776569"/>
                  <c:y val="-0.10069151526545839"/>
                </c:manualLayout>
              </c:layout>
              <c:tx>
                <c:rich>
                  <a:bodyPr/>
                  <a:lstStyle/>
                  <a:p>
                    <a:r>
                      <a:rPr lang="en-US"/>
                      <a:t>Urgencia</a:t>
                    </a:r>
                    <a:r>
                      <a:rPr lang="en-US" baseline="0"/>
                      <a:t> </a:t>
                    </a:r>
                    <a:fld id="{21FAFD9F-1BBD-498D-9808-BC56B8800BE5}" type="PERCENTAGE">
                      <a:rPr lang="en-US"/>
                      <a:pPr/>
                      <a:t>[PORCENTAJE]</a:t>
                    </a:fld>
                    <a:endParaRPr lang="en-US" baseline="0"/>
                  </a:p>
                </c:rich>
              </c:tx>
              <c:dLblPos val="bestFit"/>
              <c:showLegendKey val="0"/>
              <c:showVal val="0"/>
              <c:showCatName val="0"/>
              <c:showSerName val="0"/>
              <c:showPercent val="1"/>
              <c:showBubbleSize val="0"/>
              <c:extLst>
                <c:ext xmlns:c15="http://schemas.microsoft.com/office/drawing/2012/chart" uri="{CE6537A1-D6FC-4f65-9D91-7224C49458BB}">
                  <c15:dlblFieldTable/>
                  <c15:showDataLabelsRange val="0"/>
                </c:ext>
              </c:extLst>
            </c:dLbl>
            <c:spPr>
              <a:solidFill>
                <a:schemeClr val="bg1"/>
              </a:solidFill>
              <a:ln>
                <a:noFill/>
              </a:ln>
              <a:effectLst/>
            </c:spPr>
            <c:txPr>
              <a:bodyPr wrap="square" lIns="38100" tIns="19050" rIns="38100" bIns="19050" anchor="ctr">
                <a:spAutoFit/>
              </a:bodyPr>
              <a:lstStyle/>
              <a:p>
                <a:pPr>
                  <a:defRPr sz="1700" baseline="0">
                    <a:solidFill>
                      <a:srgbClr val="FF0000"/>
                    </a:solidFil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5435</c:v>
                </c:pt>
                <c:pt idx="1">
                  <c:v>2978</c:v>
                </c:pt>
              </c:numCache>
            </c:numRef>
          </c:val>
        </c:ser>
        <c:ser>
          <c:idx val="0"/>
          <c:order val="1"/>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2100394373780199"/>
                  <c:y val="-0.14394666668188222"/>
                </c:manualLayout>
              </c:layout>
              <c:tx>
                <c:rich>
                  <a:bodyPr/>
                  <a:lstStyle/>
                  <a:p>
                    <a:r>
                      <a:rPr lang="es-ES"/>
                      <a:t>Electivas 79%</a:t>
                    </a:r>
                  </a:p>
                </c:rich>
              </c:tx>
              <c:dLblPos val="bestFi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tx>
                <c:rich>
                  <a:bodyPr/>
                  <a:lstStyle/>
                  <a:p>
                    <a:r>
                      <a:rPr lang="es-ES"/>
                      <a:t>Urgencias</a:t>
                    </a:r>
                  </a:p>
                  <a:p>
                    <a:r>
                      <a:rPr lang="es-ES"/>
                      <a:t>23%</a:t>
                    </a:r>
                  </a:p>
                </c:rich>
              </c:tx>
              <c:dLblPos val="ctr"/>
              <c:showLegendKey val="0"/>
              <c:showVal val="0"/>
              <c:showCatName val="0"/>
              <c:showSerName val="0"/>
              <c:showPercent val="1"/>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5435</c:v>
                </c:pt>
                <c:pt idx="1">
                  <c:v>2978</c:v>
                </c:pt>
              </c:numCache>
            </c:numRef>
          </c:val>
        </c:ser>
        <c:dLbls>
          <c:dLblPos val="ctr"/>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PERFIL DE INT. QUIR. MAYORES 
ELECTIVAS Y URGENCIA</a:t>
            </a:r>
          </a:p>
        </c:rich>
      </c:tx>
      <c:layout>
        <c:manualLayout>
          <c:xMode val="edge"/>
          <c:yMode val="edge"/>
          <c:x val="0.26888958880139985"/>
          <c:y val="4.2194092827004523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2666694155152294"/>
          <c:y val="0.24050732012840362"/>
          <c:w val="0.84222404996538625"/>
          <c:h val="0.61603629366220691"/>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'71'!$H$10:$H$19</c:f>
              <c:numCache>
                <c:formatCode>#,##0</c:formatCode>
                <c:ptCount val="10"/>
                <c:pt idx="0">
                  <c:v>8974</c:v>
                </c:pt>
                <c:pt idx="1">
                  <c:v>9300</c:v>
                </c:pt>
                <c:pt idx="2">
                  <c:v>9244</c:v>
                </c:pt>
                <c:pt idx="3">
                  <c:v>9546</c:v>
                </c:pt>
                <c:pt idx="4">
                  <c:v>9277</c:v>
                </c:pt>
                <c:pt idx="5">
                  <c:v>9632</c:v>
                </c:pt>
                <c:pt idx="6">
                  <c:v>10128</c:v>
                </c:pt>
                <c:pt idx="7">
                  <c:v>10010</c:v>
                </c:pt>
                <c:pt idx="8">
                  <c:v>10311</c:v>
                </c:pt>
                <c:pt idx="9">
                  <c:v>5435</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'71'!$I$10:$I$19</c:f>
              <c:numCache>
                <c:formatCode>#,##0</c:formatCode>
                <c:ptCount val="10"/>
                <c:pt idx="0">
                  <c:v>3294</c:v>
                </c:pt>
                <c:pt idx="1">
                  <c:v>3296</c:v>
                </c:pt>
                <c:pt idx="2">
                  <c:v>3303</c:v>
                </c:pt>
                <c:pt idx="3">
                  <c:v>3419</c:v>
                </c:pt>
                <c:pt idx="4">
                  <c:v>3415</c:v>
                </c:pt>
                <c:pt idx="5">
                  <c:v>3053</c:v>
                </c:pt>
                <c:pt idx="6">
                  <c:v>2505</c:v>
                </c:pt>
                <c:pt idx="7">
                  <c:v>2885</c:v>
                </c:pt>
                <c:pt idx="8">
                  <c:v>2771</c:v>
                </c:pt>
                <c:pt idx="9">
                  <c:v>2978</c:v>
                </c:pt>
              </c:numCache>
            </c:numRef>
          </c:val>
          <c:smooth val="0"/>
        </c:ser>
        <c:dLbls>
          <c:showLegendKey val="0"/>
          <c:showVal val="0"/>
          <c:showCatName val="0"/>
          <c:showSerName val="0"/>
          <c:showPercent val="0"/>
          <c:showBubbleSize val="0"/>
        </c:dLbls>
        <c:smooth val="0"/>
        <c:axId val="278535464"/>
        <c:axId val="278535856"/>
      </c:lineChart>
      <c:catAx>
        <c:axId val="278535464"/>
        <c:scaling>
          <c:orientation val="minMax"/>
        </c:scaling>
        <c:delete val="0"/>
        <c:axPos val="b"/>
        <c:title>
          <c:tx>
            <c:rich>
              <a:bodyPr/>
              <a:lstStyle/>
              <a:p>
                <a:pPr>
                  <a:defRPr sz="675" b="1" i="0" u="none" strike="noStrike" baseline="0">
                    <a:solidFill>
                      <a:srgbClr val="000000"/>
                    </a:solidFill>
                    <a:latin typeface="Arial"/>
                    <a:ea typeface="Arial"/>
                    <a:cs typeface="Arial"/>
                  </a:defRPr>
                </a:pPr>
                <a:r>
                  <a:rPr lang="es-ES"/>
                  <a:t>Numero</a:t>
                </a:r>
              </a:p>
            </c:rich>
          </c:tx>
          <c:layout>
            <c:manualLayout>
              <c:xMode val="edge"/>
              <c:yMode val="edge"/>
              <c:x val="5.1111111111111114E-2"/>
              <c:y val="0.126582721463607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000000"/>
                </a:solidFill>
                <a:latin typeface="Arial"/>
                <a:ea typeface="Arial"/>
                <a:cs typeface="Arial"/>
              </a:defRPr>
            </a:pPr>
            <a:endParaRPr lang="es-CL"/>
          </a:p>
        </c:txPr>
        <c:crossAx val="278535856"/>
        <c:crosses val="autoZero"/>
        <c:auto val="1"/>
        <c:lblAlgn val="ctr"/>
        <c:lblOffset val="100"/>
        <c:tickLblSkip val="1"/>
        <c:tickMarkSkip val="1"/>
        <c:noMultiLvlLbl val="0"/>
      </c:catAx>
      <c:valAx>
        <c:axId val="278535856"/>
        <c:scaling>
          <c:orientation val="minMax"/>
          <c:min val="1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278535464"/>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'71'!$N$10:$N$19</c:f>
              <c:numCache>
                <c:formatCode>0.00</c:formatCode>
                <c:ptCount val="10"/>
                <c:pt idx="0">
                  <c:v>3.5213423008405078</c:v>
                </c:pt>
                <c:pt idx="1">
                  <c:v>3.6063564941561514</c:v>
                </c:pt>
                <c:pt idx="2">
                  <c:v>3.5468040778271028</c:v>
                </c:pt>
                <c:pt idx="3">
                  <c:v>3.6233341810300654</c:v>
                </c:pt>
                <c:pt idx="4">
                  <c:v>3.4829326164982204</c:v>
                </c:pt>
                <c:pt idx="5">
                  <c:v>3.5774906310007091</c:v>
                </c:pt>
                <c:pt idx="6">
                  <c:v>3.7173384033209396</c:v>
                </c:pt>
                <c:pt idx="7">
                  <c:v>3.6259707893821722</c:v>
                </c:pt>
                <c:pt idx="8">
                  <c:v>3.6862257209965792</c:v>
                </c:pt>
                <c:pt idx="9">
                  <c:v>1.9180141583676233</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'71'!$O$10:$O$19</c:f>
              <c:numCache>
                <c:formatCode>0.00</c:formatCode>
                <c:ptCount val="10"/>
                <c:pt idx="0">
                  <c:v>1.2925453018685795</c:v>
                </c:pt>
                <c:pt idx="1">
                  <c:v>1.2781237639503951</c:v>
                </c:pt>
                <c:pt idx="2">
                  <c:v>1.2673186790418565</c:v>
                </c:pt>
                <c:pt idx="3">
                  <c:v>1.2977351314625805</c:v>
                </c:pt>
                <c:pt idx="4">
                  <c:v>1.2821186682485095</c:v>
                </c:pt>
                <c:pt idx="5">
                  <c:v>1.1339367625046892</c:v>
                </c:pt>
                <c:pt idx="6">
                  <c:v>0.91942463470763758</c:v>
                </c:pt>
                <c:pt idx="7">
                  <c:v>1.045047525211545</c:v>
                </c:pt>
                <c:pt idx="8">
                  <c:v>0.99064411530225183</c:v>
                </c:pt>
                <c:pt idx="9">
                  <c:v>1.050937656599592</c:v>
                </c:pt>
              </c:numCache>
            </c:numRef>
          </c:val>
          <c:smooth val="0"/>
        </c:ser>
        <c:dLbls>
          <c:showLegendKey val="0"/>
          <c:showVal val="0"/>
          <c:showCatName val="0"/>
          <c:showSerName val="0"/>
          <c:showPercent val="0"/>
          <c:showBubbleSize val="0"/>
        </c:dLbls>
        <c:smooth val="0"/>
        <c:axId val="278536640"/>
        <c:axId val="278537032"/>
      </c:lineChart>
      <c:catAx>
        <c:axId val="278536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8537032"/>
        <c:crosses val="autoZero"/>
        <c:auto val="1"/>
        <c:lblAlgn val="ctr"/>
        <c:lblOffset val="100"/>
        <c:tickLblSkip val="1"/>
        <c:tickMarkSkip val="1"/>
        <c:noMultiLvlLbl val="0"/>
      </c:catAx>
      <c:valAx>
        <c:axId val="278537032"/>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78536640"/>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SAN  FELIPE</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'71'!$Q$10:$Q$19</c:f>
              <c:numCache>
                <c:formatCode>0.00</c:formatCode>
                <c:ptCount val="10"/>
                <c:pt idx="0">
                  <c:v>4.2534049508742866</c:v>
                </c:pt>
                <c:pt idx="1">
                  <c:v>4.6042266289949216</c:v>
                </c:pt>
                <c:pt idx="2">
                  <c:v>4.6104416271942048</c:v>
                </c:pt>
                <c:pt idx="3">
                  <c:v>4.880506394522671</c:v>
                </c:pt>
                <c:pt idx="4">
                  <c:v>4.8965341054245082</c:v>
                </c:pt>
                <c:pt idx="5">
                  <c:v>4.8503785805125785</c:v>
                </c:pt>
                <c:pt idx="6">
                  <c:v>5.0854085716425237</c:v>
                </c:pt>
                <c:pt idx="7">
                  <c:v>5.1036826637332329</c:v>
                </c:pt>
                <c:pt idx="8">
                  <c:v>4.9220154511442589</c:v>
                </c:pt>
                <c:pt idx="9">
                  <c:v>2.5795315609042744</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'71'!$R$10:$R$19</c:f>
              <c:numCache>
                <c:formatCode>0.00</c:formatCode>
                <c:ptCount val="10"/>
                <c:pt idx="0">
                  <c:v>1.3174420779776062</c:v>
                </c:pt>
                <c:pt idx="1">
                  <c:v>1.246336246732328</c:v>
                </c:pt>
                <c:pt idx="2">
                  <c:v>1.3530927835051547</c:v>
                </c:pt>
                <c:pt idx="3">
                  <c:v>1.2969900529647331</c:v>
                </c:pt>
                <c:pt idx="4">
                  <c:v>1.0678702205569275</c:v>
                </c:pt>
                <c:pt idx="5">
                  <c:v>0.90791944952119463</c:v>
                </c:pt>
                <c:pt idx="6">
                  <c:v>0.64566051236822619</c:v>
                </c:pt>
                <c:pt idx="7">
                  <c:v>0.85786527000180601</c:v>
                </c:pt>
                <c:pt idx="8">
                  <c:v>0.83248303451403405</c:v>
                </c:pt>
                <c:pt idx="9">
                  <c:v>0.83906695754321203</c:v>
                </c:pt>
              </c:numCache>
            </c:numRef>
          </c:val>
          <c:smooth val="0"/>
        </c:ser>
        <c:dLbls>
          <c:showLegendKey val="0"/>
          <c:showVal val="0"/>
          <c:showCatName val="0"/>
          <c:showSerName val="0"/>
          <c:showPercent val="0"/>
          <c:showBubbleSize val="0"/>
        </c:dLbls>
        <c:smooth val="0"/>
        <c:axId val="278537816"/>
        <c:axId val="278538208"/>
      </c:lineChart>
      <c:catAx>
        <c:axId val="2785378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8538208"/>
        <c:crosses val="autoZero"/>
        <c:auto val="1"/>
        <c:lblAlgn val="ctr"/>
        <c:lblOffset val="100"/>
        <c:tickLblSkip val="1"/>
        <c:tickMarkSkip val="1"/>
        <c:noMultiLvlLbl val="0"/>
      </c:catAx>
      <c:valAx>
        <c:axId val="278538208"/>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78537816"/>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LOS  ANDES</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'71'!$T$10:$T$19</c:f>
              <c:numCache>
                <c:formatCode>0.00</c:formatCode>
                <c:ptCount val="10"/>
                <c:pt idx="0">
                  <c:v>4.0125757315138655</c:v>
                </c:pt>
                <c:pt idx="1">
                  <c:v>3.841397215010621</c:v>
                </c:pt>
                <c:pt idx="2">
                  <c:v>3.6879313404122191</c:v>
                </c:pt>
                <c:pt idx="3">
                  <c:v>3.5827098919368243</c:v>
                </c:pt>
                <c:pt idx="4">
                  <c:v>3.2219755725469779</c:v>
                </c:pt>
                <c:pt idx="5">
                  <c:v>3.4997198778305894</c:v>
                </c:pt>
                <c:pt idx="6">
                  <c:v>3.5858103342053802</c:v>
                </c:pt>
                <c:pt idx="7">
                  <c:v>3.3423213845123541</c:v>
                </c:pt>
                <c:pt idx="8">
                  <c:v>3.6816379070414698</c:v>
                </c:pt>
                <c:pt idx="9">
                  <c:v>1.8947296125548372</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'71'!$U$10:$U$19</c:f>
              <c:numCache>
                <c:formatCode>0.00</c:formatCode>
                <c:ptCount val="10"/>
                <c:pt idx="0">
                  <c:v>1.7229516656155037</c:v>
                </c:pt>
                <c:pt idx="1">
                  <c:v>1.7748406891668633</c:v>
                </c:pt>
                <c:pt idx="2">
                  <c:v>1.6333734906003978</c:v>
                </c:pt>
                <c:pt idx="3">
                  <c:v>1.7668790985499214</c:v>
                </c:pt>
                <c:pt idx="4">
                  <c:v>1.9741109192724748</c:v>
                </c:pt>
                <c:pt idx="5">
                  <c:v>1.7846493051162957</c:v>
                </c:pt>
                <c:pt idx="6">
                  <c:v>1.5437913515540596</c:v>
                </c:pt>
                <c:pt idx="7">
                  <c:v>1.6213739381763066</c:v>
                </c:pt>
                <c:pt idx="8">
                  <c:v>1.5159685499582523</c:v>
                </c:pt>
                <c:pt idx="9">
                  <c:v>1.6552055700071258</c:v>
                </c:pt>
              </c:numCache>
            </c:numRef>
          </c:val>
          <c:smooth val="0"/>
        </c:ser>
        <c:dLbls>
          <c:showLegendKey val="0"/>
          <c:showVal val="0"/>
          <c:showCatName val="0"/>
          <c:showSerName val="0"/>
          <c:showPercent val="0"/>
          <c:showBubbleSize val="0"/>
        </c:dLbls>
        <c:smooth val="0"/>
        <c:axId val="278538992"/>
        <c:axId val="278539384"/>
      </c:lineChart>
      <c:catAx>
        <c:axId val="2785389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78539384"/>
        <c:crosses val="autoZero"/>
        <c:auto val="1"/>
        <c:lblAlgn val="ctr"/>
        <c:lblOffset val="100"/>
        <c:tickLblSkip val="1"/>
        <c:tickMarkSkip val="1"/>
        <c:noMultiLvlLbl val="0"/>
      </c:catAx>
      <c:valAx>
        <c:axId val="278539384"/>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78538992"/>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DE DIAGNOSTICO HABITANTE /AÑO
SERVICIO SALUD  ACONCAGUA
2011 - 2020</a:t>
            </a:r>
          </a:p>
        </c:rich>
      </c:tx>
      <c:layout>
        <c:manualLayout>
          <c:xMode val="edge"/>
          <c:yMode val="edge"/>
          <c:x val="0.22795741346528611"/>
          <c:y val="3.9215686274509803E-2"/>
        </c:manualLayout>
      </c:layout>
      <c:overlay val="0"/>
      <c:spPr>
        <a:noFill/>
        <a:ln w="25400">
          <a:noFill/>
        </a:ln>
      </c:spPr>
    </c:title>
    <c:autoTitleDeleted val="0"/>
    <c:plotArea>
      <c:layout>
        <c:manualLayout>
          <c:layoutTarget val="inner"/>
          <c:xMode val="edge"/>
          <c:yMode val="edge"/>
          <c:x val="7.5268975279265959E-2"/>
          <c:y val="0.24705976968355417"/>
          <c:w val="0.91613095625620855"/>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'73'!$P$10:$P$19</c:f>
              <c:numCache>
                <c:formatCode>General</c:formatCode>
                <c:ptCount val="10"/>
                <c:pt idx="0">
                  <c:v>429.90472677617066</c:v>
                </c:pt>
                <c:pt idx="1">
                  <c:v>436.20432917891401</c:v>
                </c:pt>
                <c:pt idx="2">
                  <c:v>437.45899343511275</c:v>
                </c:pt>
                <c:pt idx="3">
                  <c:v>458.71653653889223</c:v>
                </c:pt>
                <c:pt idx="4">
                  <c:v>447.32388232290623</c:v>
                </c:pt>
                <c:pt idx="5">
                  <c:v>433.30126764696047</c:v>
                </c:pt>
                <c:pt idx="6">
                  <c:v>386.20569419312687</c:v>
                </c:pt>
                <c:pt idx="7">
                  <c:v>492.72885997449868</c:v>
                </c:pt>
                <c:pt idx="8" formatCode="0.0">
                  <c:v>512.03680863158127</c:v>
                </c:pt>
                <c:pt idx="9" formatCode="0.0">
                  <c:v>470.15026502826737</c:v>
                </c:pt>
              </c:numCache>
            </c:numRef>
          </c:val>
          <c:smooth val="0"/>
        </c:ser>
        <c:dLbls>
          <c:showLegendKey val="0"/>
          <c:showVal val="0"/>
          <c:showCatName val="0"/>
          <c:showSerName val="0"/>
          <c:showPercent val="0"/>
          <c:showBubbleSize val="0"/>
        </c:dLbls>
        <c:smooth val="0"/>
        <c:axId val="278540168"/>
        <c:axId val="278540560"/>
      </c:lineChart>
      <c:catAx>
        <c:axId val="278540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278540560"/>
        <c:crosses val="autoZero"/>
        <c:auto val="1"/>
        <c:lblAlgn val="ctr"/>
        <c:lblOffset val="100"/>
        <c:tickLblSkip val="1"/>
        <c:tickMarkSkip val="1"/>
        <c:noMultiLvlLbl val="0"/>
      </c:catAx>
      <c:valAx>
        <c:axId val="278540560"/>
        <c:scaling>
          <c:orientation val="minMax"/>
          <c:max val="520"/>
          <c:min val="36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278540168"/>
        <c:crosses val="autoZero"/>
        <c:crossBetween val="between"/>
        <c:majorUnit val="20"/>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IMAGENOLOGIA  HABITANTE /AÑO
SERVICIO SALUD  ACONCAGUA
2011 - 2020</a:t>
            </a:r>
          </a:p>
        </c:rich>
      </c:tx>
      <c:layout>
        <c:manualLayout>
          <c:xMode val="edge"/>
          <c:yMode val="edge"/>
          <c:x val="0.22580682633877217"/>
          <c:y val="3.9215686274509803E-2"/>
        </c:manualLayout>
      </c:layout>
      <c:overlay val="0"/>
      <c:spPr>
        <a:noFill/>
        <a:ln w="25400">
          <a:noFill/>
        </a:ln>
      </c:spPr>
    </c:title>
    <c:autoTitleDeleted val="0"/>
    <c:plotArea>
      <c:layout>
        <c:manualLayout>
          <c:layoutTarget val="inner"/>
          <c:xMode val="edge"/>
          <c:yMode val="edge"/>
          <c:x val="6.2365722374249012E-2"/>
          <c:y val="0.24705976968355417"/>
          <c:w val="0.92903420916122559"/>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'73'!$Q$10:$Q$19</c:f>
              <c:numCache>
                <c:formatCode>0.0</c:formatCode>
                <c:ptCount val="10"/>
                <c:pt idx="0">
                  <c:v>47.50908391734616</c:v>
                </c:pt>
                <c:pt idx="1">
                  <c:v>47.446854714244715</c:v>
                </c:pt>
                <c:pt idx="2">
                  <c:v>47.530397615000638</c:v>
                </c:pt>
                <c:pt idx="3">
                  <c:v>46.940510667694028</c:v>
                </c:pt>
                <c:pt idx="4">
                  <c:v>45.666701707489224</c:v>
                </c:pt>
                <c:pt idx="5">
                  <c:v>46.740999632296955</c:v>
                </c:pt>
                <c:pt idx="6">
                  <c:v>48.658300697735022</c:v>
                </c:pt>
                <c:pt idx="7">
                  <c:v>46.479077315405128</c:v>
                </c:pt>
                <c:pt idx="8">
                  <c:v>49.943335585609745</c:v>
                </c:pt>
                <c:pt idx="9">
                  <c:v>32.83209700528645</c:v>
                </c:pt>
              </c:numCache>
            </c:numRef>
          </c:val>
          <c:smooth val="0"/>
        </c:ser>
        <c:dLbls>
          <c:showLegendKey val="0"/>
          <c:showVal val="0"/>
          <c:showCatName val="0"/>
          <c:showSerName val="0"/>
          <c:showPercent val="0"/>
          <c:showBubbleSize val="0"/>
        </c:dLbls>
        <c:smooth val="0"/>
        <c:axId val="278541344"/>
        <c:axId val="282782200"/>
      </c:lineChart>
      <c:catAx>
        <c:axId val="278541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282782200"/>
        <c:crosses val="autoZero"/>
        <c:auto val="1"/>
        <c:lblAlgn val="ctr"/>
        <c:lblOffset val="100"/>
        <c:tickLblSkip val="1"/>
        <c:tickMarkSkip val="1"/>
        <c:noMultiLvlLbl val="0"/>
      </c:catAx>
      <c:valAx>
        <c:axId val="282782200"/>
        <c:scaling>
          <c:orientation val="minMax"/>
          <c:max val="51"/>
          <c:min val="3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278541344"/>
        <c:crosses val="autoZero"/>
        <c:crossBetween val="between"/>
        <c:majorUnit val="2"/>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Servicio de  Salud  Aconcagua
</a:t>
            </a:r>
          </a:p>
        </c:rich>
      </c:tx>
      <c:layout>
        <c:manualLayout>
          <c:xMode val="edge"/>
          <c:yMode val="edge"/>
          <c:x val="0.19720803338691473"/>
          <c:y val="3.8327526132404179E-2"/>
        </c:manualLayout>
      </c:layout>
      <c:overlay val="0"/>
      <c:spPr>
        <a:noFill/>
        <a:ln w="25400">
          <a:noFill/>
        </a:ln>
      </c:spPr>
    </c:title>
    <c:autoTitleDeleted val="0"/>
    <c:plotArea>
      <c:layout>
        <c:manualLayout>
          <c:layoutTarget val="inner"/>
          <c:xMode val="edge"/>
          <c:yMode val="edge"/>
          <c:x val="0.10471222034559829"/>
          <c:y val="0.3101045296167248"/>
          <c:w val="0.81182209856701015"/>
          <c:h val="0.4425087108013937"/>
        </c:manualLayout>
      </c:layout>
      <c:lineChart>
        <c:grouping val="standard"/>
        <c:varyColors val="0"/>
        <c:ser>
          <c:idx val="1"/>
          <c:order val="0"/>
          <c:tx>
            <c:v>N° de  Egresos</c:v>
          </c:tx>
          <c:spPr>
            <a:ln w="25400">
              <a:solidFill>
                <a:srgbClr val="FF0000"/>
              </a:solidFill>
              <a:prstDash val="solid"/>
            </a:ln>
          </c:spPr>
          <c:marker>
            <c:symbol val="none"/>
          </c:marker>
          <c:cat>
            <c:numRef>
              <c:f>'83'!$B$9:$B$18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'83'!$E$9:$E$18</c:f>
              <c:numCache>
                <c:formatCode>#,##0</c:formatCode>
                <c:ptCount val="10"/>
                <c:pt idx="0">
                  <c:v>24229</c:v>
                </c:pt>
                <c:pt idx="1">
                  <c:v>24975</c:v>
                </c:pt>
                <c:pt idx="2">
                  <c:v>24175</c:v>
                </c:pt>
                <c:pt idx="3">
                  <c:v>24626</c:v>
                </c:pt>
                <c:pt idx="4">
                  <c:v>23665</c:v>
                </c:pt>
                <c:pt idx="5">
                  <c:v>23155</c:v>
                </c:pt>
                <c:pt idx="6">
                  <c:v>23436</c:v>
                </c:pt>
                <c:pt idx="7">
                  <c:v>23706</c:v>
                </c:pt>
                <c:pt idx="8">
                  <c:v>22872</c:v>
                </c:pt>
                <c:pt idx="9">
                  <c:v>17330</c:v>
                </c:pt>
              </c:numCache>
            </c:numRef>
          </c:val>
          <c:smooth val="0"/>
        </c:ser>
        <c:dLbls>
          <c:showLegendKey val="0"/>
          <c:showVal val="0"/>
          <c:showCatName val="0"/>
          <c:showSerName val="0"/>
          <c:showPercent val="0"/>
          <c:showBubbleSize val="0"/>
        </c:dLbls>
        <c:marker val="1"/>
        <c:smooth val="0"/>
        <c:axId val="282782984"/>
        <c:axId val="282783376"/>
      </c:lineChart>
      <c:lineChart>
        <c:grouping val="standard"/>
        <c:varyColors val="0"/>
        <c:ser>
          <c:idx val="0"/>
          <c:order val="1"/>
          <c:tx>
            <c:v>Promedio  de  Camas</c:v>
          </c:tx>
          <c:spPr>
            <a:ln w="25400">
              <a:solidFill>
                <a:srgbClr val="000080"/>
              </a:solidFill>
              <a:prstDash val="solid"/>
            </a:ln>
          </c:spPr>
          <c:marker>
            <c:symbol val="none"/>
          </c:marker>
          <c:cat>
            <c:numRef>
              <c:f>'83'!$C$9:$C$18</c:f>
              <c:numCache>
                <c:formatCode>#,##0</c:formatCode>
                <c:ptCount val="10"/>
                <c:pt idx="0">
                  <c:v>816</c:v>
                </c:pt>
                <c:pt idx="1">
                  <c:v>816</c:v>
                </c:pt>
                <c:pt idx="2">
                  <c:v>816</c:v>
                </c:pt>
                <c:pt idx="3">
                  <c:v>829</c:v>
                </c:pt>
                <c:pt idx="4">
                  <c:v>829</c:v>
                </c:pt>
                <c:pt idx="5">
                  <c:v>829</c:v>
                </c:pt>
                <c:pt idx="6">
                  <c:v>829</c:v>
                </c:pt>
                <c:pt idx="7">
                  <c:v>829</c:v>
                </c:pt>
                <c:pt idx="8">
                  <c:v>817</c:v>
                </c:pt>
                <c:pt idx="9">
                  <c:v>817</c:v>
                </c:pt>
              </c:numCache>
            </c:numRef>
          </c:cat>
          <c:val>
            <c:numRef>
              <c:f>'83'!$D$9:$D$18</c:f>
              <c:numCache>
                <c:formatCode>#,##0</c:formatCode>
                <c:ptCount val="10"/>
                <c:pt idx="0">
                  <c:v>762</c:v>
                </c:pt>
                <c:pt idx="1">
                  <c:v>785</c:v>
                </c:pt>
                <c:pt idx="2">
                  <c:v>766</c:v>
                </c:pt>
                <c:pt idx="3">
                  <c:v>786</c:v>
                </c:pt>
                <c:pt idx="4">
                  <c:v>786</c:v>
                </c:pt>
                <c:pt idx="5">
                  <c:v>773</c:v>
                </c:pt>
                <c:pt idx="6">
                  <c:v>772.67945205479452</c:v>
                </c:pt>
                <c:pt idx="7">
                  <c:v>746.2027397260274</c:v>
                </c:pt>
                <c:pt idx="8">
                  <c:v>735.67123287671234</c:v>
                </c:pt>
                <c:pt idx="9">
                  <c:v>720.90136986301377</c:v>
                </c:pt>
              </c:numCache>
            </c:numRef>
          </c:val>
          <c:smooth val="0"/>
        </c:ser>
        <c:dLbls>
          <c:showLegendKey val="0"/>
          <c:showVal val="0"/>
          <c:showCatName val="0"/>
          <c:showSerName val="0"/>
          <c:showPercent val="0"/>
          <c:showBubbleSize val="0"/>
        </c:dLbls>
        <c:marker val="1"/>
        <c:smooth val="0"/>
        <c:axId val="282783768"/>
        <c:axId val="282784160"/>
      </c:lineChart>
      <c:catAx>
        <c:axId val="2827829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3.1413586166223216E-2"/>
              <c:y val="0.2229965156794425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3376"/>
        <c:crosses val="autoZero"/>
        <c:auto val="0"/>
        <c:lblAlgn val="ctr"/>
        <c:lblOffset val="100"/>
        <c:tickLblSkip val="1"/>
        <c:tickMarkSkip val="1"/>
        <c:noMultiLvlLbl val="0"/>
      </c:catAx>
      <c:valAx>
        <c:axId val="282783376"/>
        <c:scaling>
          <c:orientation val="minMax"/>
          <c:max val="26000"/>
          <c:min val="17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2984"/>
        <c:crosses val="autoZero"/>
        <c:crossBetween val="between"/>
        <c:majorUnit val="2000"/>
        <c:minorUnit val="2000"/>
      </c:valAx>
      <c:catAx>
        <c:axId val="28278376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4991414666651277"/>
              <c:y val="0.20209059233449544"/>
            </c:manualLayout>
          </c:layout>
          <c:overlay val="0"/>
          <c:spPr>
            <a:noFill/>
            <a:ln w="25400">
              <a:noFill/>
            </a:ln>
          </c:spPr>
        </c:title>
        <c:numFmt formatCode="#,##0" sourceLinked="1"/>
        <c:majorTickMark val="out"/>
        <c:minorTickMark val="none"/>
        <c:tickLblPos val="nextTo"/>
        <c:crossAx val="282784160"/>
        <c:crosses val="autoZero"/>
        <c:auto val="0"/>
        <c:lblAlgn val="ctr"/>
        <c:lblOffset val="100"/>
        <c:noMultiLvlLbl val="0"/>
      </c:catAx>
      <c:valAx>
        <c:axId val="282784160"/>
        <c:scaling>
          <c:orientation val="minMax"/>
          <c:min val="65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3768"/>
        <c:crosses val="max"/>
        <c:crossBetween val="between"/>
        <c:majorUnit val="50"/>
      </c:valAx>
      <c:spPr>
        <a:noFill/>
        <a:ln w="25400">
          <a:noFill/>
        </a:ln>
      </c:spPr>
    </c:plotArea>
    <c:legend>
      <c:legendPos val="r"/>
      <c:layout>
        <c:manualLayout>
          <c:xMode val="edge"/>
          <c:yMode val="edge"/>
          <c:x val="0.15532313177834595"/>
          <c:y val="0.82578397212543564"/>
          <c:w val="0.68411969944580164"/>
          <c:h val="0.1463414634146419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Servicio de  Salud  Aconcagua
</a:t>
            </a:r>
          </a:p>
        </c:rich>
      </c:tx>
      <c:layout>
        <c:manualLayout>
          <c:xMode val="edge"/>
          <c:yMode val="edge"/>
          <c:x val="0.20000036837500573"/>
          <c:y val="3.873239436619718E-2"/>
        </c:manualLayout>
      </c:layout>
      <c:overlay val="0"/>
      <c:spPr>
        <a:noFill/>
        <a:ln w="25400">
          <a:noFill/>
        </a:ln>
      </c:spPr>
    </c:title>
    <c:autoTitleDeleted val="0"/>
    <c:plotArea>
      <c:layout>
        <c:manualLayout>
          <c:layoutTarget val="inner"/>
          <c:xMode val="edge"/>
          <c:yMode val="edge"/>
          <c:x val="8.4210670591198231E-2"/>
          <c:y val="0.31338028169016968"/>
          <c:w val="0.81403648238158965"/>
          <c:h val="0.43661971830988522"/>
        </c:manualLayout>
      </c:layout>
      <c:lineChart>
        <c:grouping val="standard"/>
        <c:varyColors val="0"/>
        <c:ser>
          <c:idx val="1"/>
          <c:order val="0"/>
          <c:tx>
            <c:v>indice</c:v>
          </c:tx>
          <c:spPr>
            <a:ln w="25400">
              <a:solidFill>
                <a:srgbClr val="FF0000"/>
              </a:solidFill>
              <a:prstDash val="solid"/>
            </a:ln>
          </c:spPr>
          <c:marker>
            <c:symbol val="none"/>
          </c:marker>
          <c:cat>
            <c:numRef>
              <c:f>'83'!$B$9:$B$18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'83'!$F$9:$F$18</c:f>
              <c:numCache>
                <c:formatCode>#,##0.0</c:formatCode>
                <c:ptCount val="10"/>
                <c:pt idx="0">
                  <c:v>81.254692613601662</c:v>
                </c:pt>
                <c:pt idx="1">
                  <c:v>79.109242877358824</c:v>
                </c:pt>
                <c:pt idx="2">
                  <c:v>80.425263775961383</c:v>
                </c:pt>
                <c:pt idx="3">
                  <c:v>80.434570516662248</c:v>
                </c:pt>
                <c:pt idx="4">
                  <c:v>79.143192610942137</c:v>
                </c:pt>
                <c:pt idx="5">
                  <c:v>79.169135044821019</c:v>
                </c:pt>
                <c:pt idx="6">
                  <c:v>79.112724640149906</c:v>
                </c:pt>
                <c:pt idx="7">
                  <c:v>82.204696655945725</c:v>
                </c:pt>
                <c:pt idx="8">
                  <c:v>83.510725458066432</c:v>
                </c:pt>
                <c:pt idx="9">
                  <c:v>74.851878736285244</c:v>
                </c:pt>
              </c:numCache>
            </c:numRef>
          </c:val>
          <c:smooth val="0"/>
        </c:ser>
        <c:dLbls>
          <c:showLegendKey val="0"/>
          <c:showVal val="0"/>
          <c:showCatName val="0"/>
          <c:showSerName val="0"/>
          <c:showPercent val="0"/>
          <c:showBubbleSize val="0"/>
        </c:dLbls>
        <c:marker val="1"/>
        <c:smooth val="0"/>
        <c:axId val="282784944"/>
        <c:axId val="282785336"/>
      </c:lineChart>
      <c:lineChart>
        <c:grouping val="standard"/>
        <c:varyColors val="0"/>
        <c:ser>
          <c:idx val="0"/>
          <c:order val="1"/>
          <c:tx>
            <c:v>Promedio</c:v>
          </c:tx>
          <c:spPr>
            <a:ln w="25400">
              <a:solidFill>
                <a:srgbClr val="000080"/>
              </a:solidFill>
              <a:prstDash val="solid"/>
            </a:ln>
          </c:spPr>
          <c:marker>
            <c:symbol val="none"/>
          </c:marker>
          <c:cat>
            <c:numRef>
              <c:f>'83'!$G$9:$G$18</c:f>
              <c:numCache>
                <c:formatCode>0.00</c:formatCode>
                <c:ptCount val="10"/>
                <c:pt idx="0">
                  <c:v>9.9765570184489665</c:v>
                </c:pt>
                <c:pt idx="1">
                  <c:v>9.3496696696696695</c:v>
                </c:pt>
                <c:pt idx="2">
                  <c:v>9.5870941054808689</c:v>
                </c:pt>
                <c:pt idx="3">
                  <c:v>9.6418419556566235</c:v>
                </c:pt>
                <c:pt idx="4">
                  <c:v>9.5555884217198397</c:v>
                </c:pt>
                <c:pt idx="5">
                  <c:v>13.571928309220471</c:v>
                </c:pt>
                <c:pt idx="6">
                  <c:v>11.470558115719406</c:v>
                </c:pt>
                <c:pt idx="7">
                  <c:v>9.7483337551674687</c:v>
                </c:pt>
                <c:pt idx="8">
                  <c:v>9.3189052116124511</c:v>
                </c:pt>
                <c:pt idx="9">
                  <c:v>9.7656664743219856</c:v>
                </c:pt>
              </c:numCache>
            </c:numRef>
          </c:cat>
          <c:val>
            <c:numRef>
              <c:f>'83'!$G$9:$G$18</c:f>
              <c:numCache>
                <c:formatCode>0.00</c:formatCode>
                <c:ptCount val="10"/>
                <c:pt idx="0">
                  <c:v>9.9765570184489665</c:v>
                </c:pt>
                <c:pt idx="1">
                  <c:v>9.3496696696696695</c:v>
                </c:pt>
                <c:pt idx="2">
                  <c:v>9.5870941054808689</c:v>
                </c:pt>
                <c:pt idx="3">
                  <c:v>9.6418419556566235</c:v>
                </c:pt>
                <c:pt idx="4">
                  <c:v>9.5555884217198397</c:v>
                </c:pt>
                <c:pt idx="5">
                  <c:v>13.571928309220471</c:v>
                </c:pt>
                <c:pt idx="6">
                  <c:v>11.470558115719406</c:v>
                </c:pt>
                <c:pt idx="7">
                  <c:v>9.7483337551674687</c:v>
                </c:pt>
                <c:pt idx="8">
                  <c:v>9.3189052116124511</c:v>
                </c:pt>
                <c:pt idx="9">
                  <c:v>9.7656664743219856</c:v>
                </c:pt>
              </c:numCache>
            </c:numRef>
          </c:val>
          <c:smooth val="0"/>
        </c:ser>
        <c:dLbls>
          <c:showLegendKey val="0"/>
          <c:showVal val="0"/>
          <c:showCatName val="0"/>
          <c:showSerName val="0"/>
          <c:showPercent val="0"/>
          <c:showBubbleSize val="0"/>
        </c:dLbls>
        <c:marker val="1"/>
        <c:smooth val="0"/>
        <c:axId val="282785728"/>
        <c:axId val="282786120"/>
      </c:lineChart>
      <c:catAx>
        <c:axId val="2827849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4035087719298246E-2"/>
              <c:y val="0.225352112676056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5336"/>
        <c:crosses val="autoZero"/>
        <c:auto val="0"/>
        <c:lblAlgn val="ctr"/>
        <c:lblOffset val="100"/>
        <c:tickLblSkip val="1"/>
        <c:tickMarkSkip val="1"/>
        <c:noMultiLvlLbl val="0"/>
      </c:catAx>
      <c:valAx>
        <c:axId val="282785336"/>
        <c:scaling>
          <c:orientation val="minMax"/>
          <c:max val="85"/>
          <c:min val="7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4944"/>
        <c:crosses val="autoZero"/>
        <c:crossBetween val="between"/>
        <c:majorUnit val="5"/>
        <c:minorUnit val="5"/>
      </c:valAx>
      <c:catAx>
        <c:axId val="28278572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01769120965448"/>
              <c:y val="0.20422535211268281"/>
            </c:manualLayout>
          </c:layout>
          <c:overlay val="0"/>
          <c:spPr>
            <a:noFill/>
            <a:ln w="25400">
              <a:noFill/>
            </a:ln>
          </c:spPr>
        </c:title>
        <c:numFmt formatCode="0.00" sourceLinked="1"/>
        <c:majorTickMark val="out"/>
        <c:minorTickMark val="none"/>
        <c:tickLblPos val="nextTo"/>
        <c:crossAx val="282786120"/>
        <c:crosses val="autoZero"/>
        <c:auto val="0"/>
        <c:lblAlgn val="ctr"/>
        <c:lblOffset val="100"/>
        <c:noMultiLvlLbl val="0"/>
      </c:catAx>
      <c:valAx>
        <c:axId val="282786120"/>
        <c:scaling>
          <c:orientation val="minMax"/>
          <c:max val="20"/>
          <c:min val="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5728"/>
        <c:crosses val="max"/>
        <c:crossBetween val="between"/>
        <c:majorUnit val="5"/>
      </c:valAx>
      <c:spPr>
        <a:noFill/>
        <a:ln w="25400">
          <a:noFill/>
        </a:ln>
      </c:spPr>
    </c:plotArea>
    <c:legend>
      <c:legendPos val="r"/>
      <c:layout>
        <c:manualLayout>
          <c:xMode val="edge"/>
          <c:yMode val="edge"/>
          <c:x val="0.21228107012939956"/>
          <c:y val="0.84154929577464788"/>
          <c:w val="0.68772040337065365"/>
          <c:h val="0.14788732394365367"/>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2020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67.10273466371028</c:v>
                </c:pt>
                <c:pt idx="1">
                  <c:v>60.654227136604469</c:v>
                </c:pt>
                <c:pt idx="2">
                  <c:v>55.336297943301837</c:v>
                </c:pt>
                <c:pt idx="3">
                  <c:v>52.26910828025477</c:v>
                </c:pt>
                <c:pt idx="4">
                  <c:v>60.572059763967211</c:v>
                </c:pt>
                <c:pt idx="5">
                  <c:v>83.485967503692763</c:v>
                </c:pt>
                <c:pt idx="6">
                  <c:v>66.758494031221304</c:v>
                </c:pt>
                <c:pt idx="7">
                  <c:v>62.842242503259449</c:v>
                </c:pt>
                <c:pt idx="8">
                  <c:v>64.691856199559794</c:v>
                </c:pt>
                <c:pt idx="9">
                  <c:v>69.558101472995091</c:v>
                </c:pt>
              </c:numCache>
            </c:numRef>
          </c:val>
        </c:ser>
        <c:dLbls>
          <c:showLegendKey val="0"/>
          <c:showVal val="0"/>
          <c:showCatName val="0"/>
          <c:showSerName val="0"/>
          <c:showPercent val="0"/>
          <c:showBubbleSize val="0"/>
        </c:dLbls>
        <c:gapWidth val="150"/>
        <c:axId val="270547632"/>
        <c:axId val="249879304"/>
      </c:barChart>
      <c:catAx>
        <c:axId val="2705476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49879304"/>
        <c:crosses val="autoZero"/>
        <c:auto val="0"/>
        <c:lblAlgn val="ctr"/>
        <c:lblOffset val="100"/>
        <c:tickLblSkip val="1"/>
        <c:tickMarkSkip val="1"/>
        <c:noMultiLvlLbl val="0"/>
      </c:catAx>
      <c:valAx>
        <c:axId val="249879304"/>
        <c:scaling>
          <c:orientation val="minMax"/>
          <c:max val="85"/>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054763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San  Camilo
</a:t>
            </a:r>
          </a:p>
        </c:rich>
      </c:tx>
      <c:layout>
        <c:manualLayout>
          <c:xMode val="edge"/>
          <c:yMode val="edge"/>
          <c:x val="0.21568661760417202"/>
          <c:y val="3.6065573770491806E-2"/>
        </c:manualLayout>
      </c:layout>
      <c:overlay val="0"/>
      <c:spPr>
        <a:noFill/>
        <a:ln w="25400">
          <a:noFill/>
        </a:ln>
      </c:spPr>
    </c:title>
    <c:autoTitleDeleted val="0"/>
    <c:plotArea>
      <c:layout>
        <c:manualLayout>
          <c:layoutTarget val="inner"/>
          <c:xMode val="edge"/>
          <c:yMode val="edge"/>
          <c:x val="9.8039372126762739E-2"/>
          <c:y val="0.29180327868852457"/>
          <c:w val="0.82189673632933091"/>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'84'!$B$9:$B$18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'84'!$E$9:$E$18</c:f>
              <c:numCache>
                <c:formatCode>#,##0</c:formatCode>
                <c:ptCount val="10"/>
                <c:pt idx="0">
                  <c:v>10500</c:v>
                </c:pt>
                <c:pt idx="1">
                  <c:v>11443</c:v>
                </c:pt>
                <c:pt idx="2">
                  <c:v>11340</c:v>
                </c:pt>
                <c:pt idx="3">
                  <c:v>11948</c:v>
                </c:pt>
                <c:pt idx="4">
                  <c:v>11421</c:v>
                </c:pt>
                <c:pt idx="5">
                  <c:v>10752</c:v>
                </c:pt>
                <c:pt idx="6">
                  <c:v>11194</c:v>
                </c:pt>
                <c:pt idx="7">
                  <c:v>11761</c:v>
                </c:pt>
                <c:pt idx="8">
                  <c:v>11046</c:v>
                </c:pt>
                <c:pt idx="9">
                  <c:v>8460</c:v>
                </c:pt>
              </c:numCache>
            </c:numRef>
          </c:val>
          <c:smooth val="0"/>
        </c:ser>
        <c:dLbls>
          <c:showLegendKey val="0"/>
          <c:showVal val="0"/>
          <c:showCatName val="0"/>
          <c:showSerName val="0"/>
          <c:showPercent val="0"/>
          <c:showBubbleSize val="0"/>
        </c:dLbls>
        <c:marker val="1"/>
        <c:smooth val="0"/>
        <c:axId val="282786904"/>
        <c:axId val="282787296"/>
      </c:lineChart>
      <c:lineChart>
        <c:grouping val="standard"/>
        <c:varyColors val="0"/>
        <c:ser>
          <c:idx val="0"/>
          <c:order val="1"/>
          <c:tx>
            <c:v>Promedio  de  Camas</c:v>
          </c:tx>
          <c:spPr>
            <a:ln w="25400">
              <a:solidFill>
                <a:srgbClr val="000080"/>
              </a:solidFill>
              <a:prstDash val="solid"/>
            </a:ln>
          </c:spPr>
          <c:marker>
            <c:symbol val="none"/>
          </c:marker>
          <c:cat>
            <c:numRef>
              <c:f>'84'!$C$9:$C$18</c:f>
              <c:numCache>
                <c:formatCode>General</c:formatCode>
                <c:ptCount val="10"/>
                <c:pt idx="0">
                  <c:v>226</c:v>
                </c:pt>
                <c:pt idx="1">
                  <c:v>226</c:v>
                </c:pt>
                <c:pt idx="2">
                  <c:v>226</c:v>
                </c:pt>
                <c:pt idx="3">
                  <c:v>234</c:v>
                </c:pt>
                <c:pt idx="4">
                  <c:v>234</c:v>
                </c:pt>
                <c:pt idx="5">
                  <c:v>234</c:v>
                </c:pt>
                <c:pt idx="6">
                  <c:v>234</c:v>
                </c:pt>
                <c:pt idx="7">
                  <c:v>234</c:v>
                </c:pt>
                <c:pt idx="8">
                  <c:v>225</c:v>
                </c:pt>
                <c:pt idx="9">
                  <c:v>225</c:v>
                </c:pt>
              </c:numCache>
            </c:numRef>
          </c:cat>
          <c:val>
            <c:numRef>
              <c:f>'84'!$D$9:$D$18</c:f>
              <c:numCache>
                <c:formatCode>General</c:formatCode>
                <c:ptCount val="10"/>
                <c:pt idx="0">
                  <c:v>224</c:v>
                </c:pt>
                <c:pt idx="1">
                  <c:v>226</c:v>
                </c:pt>
                <c:pt idx="2">
                  <c:v>226</c:v>
                </c:pt>
                <c:pt idx="3">
                  <c:v>233</c:v>
                </c:pt>
                <c:pt idx="4">
                  <c:v>233</c:v>
                </c:pt>
                <c:pt idx="5">
                  <c:v>233</c:v>
                </c:pt>
                <c:pt idx="6">
                  <c:v>232</c:v>
                </c:pt>
                <c:pt idx="7" formatCode="0">
                  <c:v>222.03287671232877</c:v>
                </c:pt>
                <c:pt idx="8" formatCode="0">
                  <c:v>224.89589041095891</c:v>
                </c:pt>
                <c:pt idx="9" formatCode="0">
                  <c:v>223.64931506849314</c:v>
                </c:pt>
              </c:numCache>
            </c:numRef>
          </c:val>
          <c:smooth val="0"/>
        </c:ser>
        <c:dLbls>
          <c:showLegendKey val="0"/>
          <c:showVal val="0"/>
          <c:showCatName val="0"/>
          <c:showSerName val="0"/>
          <c:showPercent val="0"/>
          <c:showBubbleSize val="0"/>
        </c:dLbls>
        <c:marker val="1"/>
        <c:smooth val="0"/>
        <c:axId val="282787688"/>
        <c:axId val="282788080"/>
      </c:lineChart>
      <c:catAx>
        <c:axId val="2827869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4509803921568631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7296"/>
        <c:crosses val="autoZero"/>
        <c:auto val="0"/>
        <c:lblAlgn val="ctr"/>
        <c:lblOffset val="100"/>
        <c:tickLblSkip val="1"/>
        <c:tickMarkSkip val="1"/>
        <c:noMultiLvlLbl val="0"/>
      </c:catAx>
      <c:valAx>
        <c:axId val="282787296"/>
        <c:scaling>
          <c:orientation val="minMax"/>
          <c:max val="12000"/>
          <c:min val="101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6904"/>
        <c:crosses val="autoZero"/>
        <c:crossBetween val="between"/>
        <c:majorUnit val="300"/>
        <c:minorUnit val="300"/>
      </c:valAx>
      <c:catAx>
        <c:axId val="28278768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6601444427289764"/>
              <c:y val="0.19016393442623244"/>
            </c:manualLayout>
          </c:layout>
          <c:overlay val="0"/>
          <c:spPr>
            <a:noFill/>
            <a:ln w="25400">
              <a:noFill/>
            </a:ln>
          </c:spPr>
        </c:title>
        <c:numFmt formatCode="General" sourceLinked="1"/>
        <c:majorTickMark val="out"/>
        <c:minorTickMark val="none"/>
        <c:tickLblPos val="nextTo"/>
        <c:crossAx val="282788080"/>
        <c:crosses val="autoZero"/>
        <c:auto val="0"/>
        <c:lblAlgn val="ctr"/>
        <c:lblOffset val="100"/>
        <c:noMultiLvlLbl val="0"/>
      </c:catAx>
      <c:valAx>
        <c:axId val="282788080"/>
        <c:scaling>
          <c:orientation val="minMax"/>
          <c:max val="240"/>
          <c:min val="21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7688"/>
        <c:crosses val="max"/>
        <c:crossBetween val="between"/>
        <c:majorUnit val="10"/>
      </c:valAx>
      <c:spPr>
        <a:noFill/>
        <a:ln w="25400">
          <a:noFill/>
        </a:ln>
      </c:spPr>
    </c:plotArea>
    <c:legend>
      <c:legendPos val="r"/>
      <c:layout>
        <c:manualLayout>
          <c:xMode val="edge"/>
          <c:yMode val="edge"/>
          <c:x val="0.18300687904208054"/>
          <c:y val="0.83606557377049184"/>
          <c:w val="0.64052390510009771"/>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San  Camilo
</a:t>
            </a:r>
          </a:p>
        </c:rich>
      </c:tx>
      <c:layout>
        <c:manualLayout>
          <c:xMode val="edge"/>
          <c:yMode val="edge"/>
          <c:x val="0.22003318550698694"/>
          <c:y val="3.6544850498338874E-2"/>
        </c:manualLayout>
      </c:layout>
      <c:overlay val="0"/>
      <c:spPr>
        <a:noFill/>
        <a:ln w="25400">
          <a:noFill/>
        </a:ln>
      </c:spPr>
    </c:title>
    <c:autoTitleDeleted val="0"/>
    <c:plotArea>
      <c:layout>
        <c:manualLayout>
          <c:layoutTarget val="inner"/>
          <c:xMode val="edge"/>
          <c:yMode val="edge"/>
          <c:x val="7.8817860378598989E-2"/>
          <c:y val="0.29568154277658909"/>
          <c:w val="0.83579772776472661"/>
          <c:h val="0.46511703358115125"/>
        </c:manualLayout>
      </c:layout>
      <c:lineChart>
        <c:grouping val="standard"/>
        <c:varyColors val="0"/>
        <c:ser>
          <c:idx val="1"/>
          <c:order val="0"/>
          <c:tx>
            <c:v>indice</c:v>
          </c:tx>
          <c:spPr>
            <a:ln w="25400">
              <a:solidFill>
                <a:srgbClr val="FF0000"/>
              </a:solidFill>
              <a:prstDash val="solid"/>
            </a:ln>
          </c:spPr>
          <c:marker>
            <c:symbol val="none"/>
          </c:marker>
          <c:cat>
            <c:numRef>
              <c:f>'84'!$B$9:$B$18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'84'!$F$9:$F$18</c:f>
              <c:numCache>
                <c:formatCode>#,##0.0</c:formatCode>
                <c:ptCount val="10"/>
                <c:pt idx="0">
                  <c:v>68.17643395327822</c:v>
                </c:pt>
                <c:pt idx="1">
                  <c:v>68.993356931581246</c:v>
                </c:pt>
                <c:pt idx="2">
                  <c:v>69.163118502614111</c:v>
                </c:pt>
                <c:pt idx="3">
                  <c:v>69.898782801324415</c:v>
                </c:pt>
                <c:pt idx="4">
                  <c:v>64.493501618730349</c:v>
                </c:pt>
                <c:pt idx="5">
                  <c:v>62.549711730791856</c:v>
                </c:pt>
                <c:pt idx="6">
                  <c:v>65.759969724206442</c:v>
                </c:pt>
                <c:pt idx="7">
                  <c:v>70.390661632240068</c:v>
                </c:pt>
                <c:pt idx="8">
                  <c:v>72.046730907451845</c:v>
                </c:pt>
                <c:pt idx="9">
                  <c:v>61.376666013328105</c:v>
                </c:pt>
              </c:numCache>
            </c:numRef>
          </c:val>
          <c:smooth val="0"/>
        </c:ser>
        <c:dLbls>
          <c:showLegendKey val="0"/>
          <c:showVal val="0"/>
          <c:showCatName val="0"/>
          <c:showSerName val="0"/>
          <c:showPercent val="0"/>
          <c:showBubbleSize val="0"/>
        </c:dLbls>
        <c:marker val="1"/>
        <c:smooth val="0"/>
        <c:axId val="282788864"/>
        <c:axId val="282789256"/>
      </c:lineChart>
      <c:lineChart>
        <c:grouping val="standard"/>
        <c:varyColors val="0"/>
        <c:ser>
          <c:idx val="0"/>
          <c:order val="1"/>
          <c:tx>
            <c:v>Promedio</c:v>
          </c:tx>
          <c:spPr>
            <a:ln w="25400">
              <a:solidFill>
                <a:srgbClr val="000080"/>
              </a:solidFill>
              <a:prstDash val="solid"/>
            </a:ln>
          </c:spPr>
          <c:marker>
            <c:symbol val="none"/>
          </c:marker>
          <c:cat>
            <c:numRef>
              <c:f>'84'!$G$9:$G$18</c:f>
              <c:numCache>
                <c:formatCode>0.00</c:formatCode>
                <c:ptCount val="10"/>
                <c:pt idx="0">
                  <c:v>5.3314285714285718</c:v>
                </c:pt>
                <c:pt idx="1">
                  <c:v>4.9829590142445159</c:v>
                </c:pt>
                <c:pt idx="2">
                  <c:v>5.0448853615520282</c:v>
                </c:pt>
                <c:pt idx="3">
                  <c:v>5.0907264814194848</c:v>
                </c:pt>
                <c:pt idx="4">
                  <c:v>4.7750634795552056</c:v>
                </c:pt>
                <c:pt idx="5">
                  <c:v>5.0465959821428568</c:v>
                </c:pt>
                <c:pt idx="6">
                  <c:v>5.1546364123637662</c:v>
                </c:pt>
                <c:pt idx="7">
                  <c:v>4.85069296828501</c:v>
                </c:pt>
                <c:pt idx="8">
                  <c:v>5.4436900235379326</c:v>
                </c:pt>
                <c:pt idx="9">
                  <c:v>5.949290780141844</c:v>
                </c:pt>
              </c:numCache>
            </c:numRef>
          </c:cat>
          <c:val>
            <c:numRef>
              <c:f>'84'!$G$9:$G$18</c:f>
              <c:numCache>
                <c:formatCode>0.00</c:formatCode>
                <c:ptCount val="10"/>
                <c:pt idx="0">
                  <c:v>5.3314285714285718</c:v>
                </c:pt>
                <c:pt idx="1">
                  <c:v>4.9829590142445159</c:v>
                </c:pt>
                <c:pt idx="2">
                  <c:v>5.0448853615520282</c:v>
                </c:pt>
                <c:pt idx="3">
                  <c:v>5.0907264814194848</c:v>
                </c:pt>
                <c:pt idx="4">
                  <c:v>4.7750634795552056</c:v>
                </c:pt>
                <c:pt idx="5">
                  <c:v>5.0465959821428568</c:v>
                </c:pt>
                <c:pt idx="6">
                  <c:v>5.1546364123637662</c:v>
                </c:pt>
                <c:pt idx="7">
                  <c:v>4.85069296828501</c:v>
                </c:pt>
                <c:pt idx="8">
                  <c:v>5.4436900235379326</c:v>
                </c:pt>
                <c:pt idx="9">
                  <c:v>5.949290780141844</c:v>
                </c:pt>
              </c:numCache>
            </c:numRef>
          </c:val>
          <c:smooth val="0"/>
        </c:ser>
        <c:dLbls>
          <c:showLegendKey val="0"/>
          <c:showVal val="0"/>
          <c:showCatName val="0"/>
          <c:showSerName val="0"/>
          <c:showPercent val="0"/>
          <c:showBubbleSize val="0"/>
        </c:dLbls>
        <c:marker val="1"/>
        <c:smooth val="0"/>
        <c:axId val="282789648"/>
        <c:axId val="281827720"/>
      </c:lineChart>
      <c:catAx>
        <c:axId val="2827888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9.8522167487693664E-3"/>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9256"/>
        <c:crosses val="autoZero"/>
        <c:auto val="0"/>
        <c:lblAlgn val="ctr"/>
        <c:lblOffset val="100"/>
        <c:tickLblSkip val="1"/>
        <c:tickMarkSkip val="1"/>
        <c:noMultiLvlLbl val="0"/>
      </c:catAx>
      <c:valAx>
        <c:axId val="282789256"/>
        <c:scaling>
          <c:orientation val="minMax"/>
          <c:max val="74"/>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8864"/>
        <c:crosses val="autoZero"/>
        <c:crossBetween val="between"/>
        <c:majorUnit val="2"/>
        <c:minorUnit val="2"/>
      </c:valAx>
      <c:catAx>
        <c:axId val="28278964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998495877670458"/>
              <c:y val="0.19269137869394232"/>
            </c:manualLayout>
          </c:layout>
          <c:overlay val="0"/>
          <c:spPr>
            <a:noFill/>
            <a:ln w="25400">
              <a:noFill/>
            </a:ln>
          </c:spPr>
        </c:title>
        <c:numFmt formatCode="0.00" sourceLinked="1"/>
        <c:majorTickMark val="out"/>
        <c:minorTickMark val="none"/>
        <c:tickLblPos val="nextTo"/>
        <c:crossAx val="281827720"/>
        <c:crosses val="autoZero"/>
        <c:auto val="0"/>
        <c:lblAlgn val="ctr"/>
        <c:lblOffset val="100"/>
        <c:noMultiLvlLbl val="0"/>
      </c:catAx>
      <c:valAx>
        <c:axId val="281827720"/>
        <c:scaling>
          <c:orientation val="minMax"/>
          <c:max val="5.5"/>
          <c:min val="4.5"/>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2789648"/>
        <c:crosses val="max"/>
        <c:crossBetween val="between"/>
        <c:majorUnit val="0.5"/>
      </c:valAx>
      <c:spPr>
        <a:noFill/>
        <a:ln w="25400">
          <a:noFill/>
        </a:ln>
      </c:spPr>
    </c:plotArea>
    <c:legend>
      <c:legendPos val="r"/>
      <c:layout>
        <c:manualLayout>
          <c:xMode val="edge"/>
          <c:yMode val="edge"/>
          <c:x val="0.23481151063013672"/>
          <c:y val="0.85049973404490065"/>
          <c:w val="0.64367919527302953"/>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Los  Andes
</a:t>
            </a:r>
          </a:p>
        </c:rich>
      </c:tx>
      <c:layout>
        <c:manualLayout>
          <c:xMode val="edge"/>
          <c:yMode val="edge"/>
          <c:x val="0.21322314049587687"/>
          <c:y val="3.6065573770491806E-2"/>
        </c:manualLayout>
      </c:layout>
      <c:overlay val="0"/>
      <c:spPr>
        <a:noFill/>
        <a:ln w="25400">
          <a:noFill/>
        </a:ln>
      </c:spPr>
    </c:title>
    <c:autoTitleDeleted val="0"/>
    <c:plotArea>
      <c:layout>
        <c:manualLayout>
          <c:layoutTarget val="inner"/>
          <c:xMode val="edge"/>
          <c:yMode val="edge"/>
          <c:x val="9.9173553719008253E-2"/>
          <c:y val="0.29180327868852457"/>
          <c:w val="0.8198347107438016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'85'!$B$9:$B$18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'85'!$E$9:$E$18</c:f>
              <c:numCache>
                <c:formatCode>#,##0</c:formatCode>
                <c:ptCount val="10"/>
                <c:pt idx="0">
                  <c:v>10483</c:v>
                </c:pt>
                <c:pt idx="1">
                  <c:v>10303</c:v>
                </c:pt>
                <c:pt idx="2">
                  <c:v>10041</c:v>
                </c:pt>
                <c:pt idx="3">
                  <c:v>9671</c:v>
                </c:pt>
                <c:pt idx="4">
                  <c:v>9361</c:v>
                </c:pt>
                <c:pt idx="5">
                  <c:v>9344</c:v>
                </c:pt>
                <c:pt idx="6">
                  <c:v>9208</c:v>
                </c:pt>
                <c:pt idx="7">
                  <c:v>9081</c:v>
                </c:pt>
                <c:pt idx="8">
                  <c:v>9086</c:v>
                </c:pt>
                <c:pt idx="9">
                  <c:v>6807</c:v>
                </c:pt>
              </c:numCache>
            </c:numRef>
          </c:val>
          <c:smooth val="0"/>
        </c:ser>
        <c:dLbls>
          <c:showLegendKey val="0"/>
          <c:showVal val="0"/>
          <c:showCatName val="0"/>
          <c:showSerName val="0"/>
          <c:showPercent val="0"/>
          <c:showBubbleSize val="0"/>
        </c:dLbls>
        <c:marker val="1"/>
        <c:smooth val="0"/>
        <c:axId val="281828504"/>
        <c:axId val="281828896"/>
      </c:lineChart>
      <c:lineChart>
        <c:grouping val="standard"/>
        <c:varyColors val="0"/>
        <c:ser>
          <c:idx val="0"/>
          <c:order val="1"/>
          <c:tx>
            <c:v>Promedio  de  Camas</c:v>
          </c:tx>
          <c:spPr>
            <a:ln w="25400">
              <a:solidFill>
                <a:srgbClr val="000080"/>
              </a:solidFill>
              <a:prstDash val="solid"/>
            </a:ln>
          </c:spPr>
          <c:marker>
            <c:symbol val="none"/>
          </c:marker>
          <c:cat>
            <c:numRef>
              <c:f>'85'!$C$9:$C$18</c:f>
              <c:numCache>
                <c:formatCode>General</c:formatCode>
                <c:ptCount val="10"/>
                <c:pt idx="0">
                  <c:v>163</c:v>
                </c:pt>
                <c:pt idx="1">
                  <c:v>163</c:v>
                </c:pt>
                <c:pt idx="2">
                  <c:v>163</c:v>
                </c:pt>
                <c:pt idx="3">
                  <c:v>168</c:v>
                </c:pt>
                <c:pt idx="4">
                  <c:v>168</c:v>
                </c:pt>
                <c:pt idx="5">
                  <c:v>168</c:v>
                </c:pt>
                <c:pt idx="6">
                  <c:v>168</c:v>
                </c:pt>
                <c:pt idx="7">
                  <c:v>168</c:v>
                </c:pt>
                <c:pt idx="8">
                  <c:v>168</c:v>
                </c:pt>
                <c:pt idx="9">
                  <c:v>168</c:v>
                </c:pt>
              </c:numCache>
            </c:numRef>
          </c:cat>
          <c:val>
            <c:numRef>
              <c:f>'85'!$D$9:$D$18</c:f>
              <c:numCache>
                <c:formatCode>General</c:formatCode>
                <c:ptCount val="10"/>
                <c:pt idx="0">
                  <c:v>158</c:v>
                </c:pt>
                <c:pt idx="1">
                  <c:v>158</c:v>
                </c:pt>
                <c:pt idx="2">
                  <c:v>156</c:v>
                </c:pt>
                <c:pt idx="3">
                  <c:v>160</c:v>
                </c:pt>
                <c:pt idx="4">
                  <c:v>160</c:v>
                </c:pt>
                <c:pt idx="5">
                  <c:v>153</c:v>
                </c:pt>
                <c:pt idx="6" formatCode="0">
                  <c:v>163.67945205479452</c:v>
                </c:pt>
                <c:pt idx="7" formatCode="0">
                  <c:v>164.0958904109589</c:v>
                </c:pt>
                <c:pt idx="8" formatCode="0">
                  <c:v>164.07671232876712</c:v>
                </c:pt>
                <c:pt idx="9" formatCode="0">
                  <c:v>156.75342465753425</c:v>
                </c:pt>
              </c:numCache>
            </c:numRef>
          </c:val>
          <c:smooth val="0"/>
        </c:ser>
        <c:dLbls>
          <c:showLegendKey val="0"/>
          <c:showVal val="0"/>
          <c:showCatName val="0"/>
          <c:showSerName val="0"/>
          <c:showPercent val="0"/>
          <c:showBubbleSize val="0"/>
        </c:dLbls>
        <c:marker val="1"/>
        <c:smooth val="0"/>
        <c:axId val="281829288"/>
        <c:axId val="281829680"/>
      </c:lineChart>
      <c:catAx>
        <c:axId val="2818285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644628099173554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28896"/>
        <c:crosses val="autoZero"/>
        <c:auto val="0"/>
        <c:lblAlgn val="ctr"/>
        <c:lblOffset val="100"/>
        <c:tickLblSkip val="1"/>
        <c:tickMarkSkip val="1"/>
        <c:noMultiLvlLbl val="0"/>
      </c:catAx>
      <c:valAx>
        <c:axId val="281828896"/>
        <c:scaling>
          <c:orientation val="minMax"/>
          <c:max val="10500"/>
          <c:min val="7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28504"/>
        <c:crosses val="autoZero"/>
        <c:crossBetween val="between"/>
        <c:majorUnit val="500"/>
        <c:minorUnit val="500"/>
      </c:valAx>
      <c:catAx>
        <c:axId val="28182928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247933884297449"/>
              <c:y val="0.19016393442623244"/>
            </c:manualLayout>
          </c:layout>
          <c:overlay val="0"/>
          <c:spPr>
            <a:noFill/>
            <a:ln w="25400">
              <a:noFill/>
            </a:ln>
          </c:spPr>
        </c:title>
        <c:numFmt formatCode="General" sourceLinked="1"/>
        <c:majorTickMark val="out"/>
        <c:minorTickMark val="none"/>
        <c:tickLblPos val="nextTo"/>
        <c:crossAx val="281829680"/>
        <c:crosses val="autoZero"/>
        <c:auto val="0"/>
        <c:lblAlgn val="ctr"/>
        <c:lblOffset val="100"/>
        <c:noMultiLvlLbl val="0"/>
      </c:catAx>
      <c:valAx>
        <c:axId val="281829680"/>
        <c:scaling>
          <c:orientation val="minMax"/>
          <c:max val="220"/>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29288"/>
        <c:crosses val="max"/>
        <c:crossBetween val="between"/>
        <c:majorUnit val="50"/>
      </c:valAx>
      <c:spPr>
        <a:noFill/>
        <a:ln w="25400">
          <a:noFill/>
        </a:ln>
      </c:spPr>
    </c:plotArea>
    <c:legend>
      <c:legendPos val="r"/>
      <c:layout>
        <c:manualLayout>
          <c:xMode val="edge"/>
          <c:yMode val="edge"/>
          <c:x val="0.18016528925620623"/>
          <c:y val="0.83606557377049184"/>
          <c:w val="0.64793388429752363"/>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Los  Andes</a:t>
            </a:r>
          </a:p>
        </c:rich>
      </c:tx>
      <c:layout>
        <c:manualLayout>
          <c:xMode val="edge"/>
          <c:yMode val="edge"/>
          <c:x val="0.21594684385383414"/>
          <c:y val="3.6544850498338874E-2"/>
        </c:manualLayout>
      </c:layout>
      <c:overlay val="0"/>
      <c:spPr>
        <a:noFill/>
        <a:ln w="25400">
          <a:noFill/>
        </a:ln>
      </c:spPr>
    </c:title>
    <c:autoTitleDeleted val="0"/>
    <c:plotArea>
      <c:layout>
        <c:manualLayout>
          <c:layoutTarget val="inner"/>
          <c:xMode val="edge"/>
          <c:yMode val="edge"/>
          <c:x val="7.9734219269103124E-2"/>
          <c:y val="0.29568154277658909"/>
          <c:w val="0.8338870431893687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'85'!$B$9:$B$18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'85'!$F$9:$F$18</c:f>
              <c:numCache>
                <c:formatCode>#,##0.0</c:formatCode>
                <c:ptCount val="10"/>
                <c:pt idx="0">
                  <c:v>82.908376234868513</c:v>
                </c:pt>
                <c:pt idx="1">
                  <c:v>80.20476635190758</c:v>
                </c:pt>
                <c:pt idx="2">
                  <c:v>80.940450953941038</c:v>
                </c:pt>
                <c:pt idx="3">
                  <c:v>78.718246380770282</c:v>
                </c:pt>
                <c:pt idx="4">
                  <c:v>80.627072862173904</c:v>
                </c:pt>
                <c:pt idx="5">
                  <c:v>87.477343287331976</c:v>
                </c:pt>
                <c:pt idx="6">
                  <c:v>82.351070418291684</c:v>
                </c:pt>
                <c:pt idx="7">
                  <c:v>86.102345771767261</c:v>
                </c:pt>
                <c:pt idx="8">
                  <c:v>84.714800961795362</c:v>
                </c:pt>
                <c:pt idx="9">
                  <c:v>71.36764834396574</c:v>
                </c:pt>
              </c:numCache>
            </c:numRef>
          </c:val>
          <c:smooth val="0"/>
        </c:ser>
        <c:dLbls>
          <c:showLegendKey val="0"/>
          <c:showVal val="0"/>
          <c:showCatName val="0"/>
          <c:showSerName val="0"/>
          <c:showPercent val="0"/>
          <c:showBubbleSize val="0"/>
        </c:dLbls>
        <c:marker val="1"/>
        <c:smooth val="0"/>
        <c:axId val="281830464"/>
        <c:axId val="281830856"/>
      </c:lineChart>
      <c:lineChart>
        <c:grouping val="standard"/>
        <c:varyColors val="0"/>
        <c:ser>
          <c:idx val="0"/>
          <c:order val="1"/>
          <c:tx>
            <c:v>Promedio</c:v>
          </c:tx>
          <c:spPr>
            <a:ln w="25400">
              <a:solidFill>
                <a:srgbClr val="000080"/>
              </a:solidFill>
              <a:prstDash val="solid"/>
            </a:ln>
          </c:spPr>
          <c:marker>
            <c:symbol val="none"/>
          </c:marker>
          <c:cat>
            <c:numRef>
              <c:f>'85'!$G$9:$G$18</c:f>
              <c:numCache>
                <c:formatCode>0.00</c:formatCode>
                <c:ptCount val="10"/>
                <c:pt idx="0">
                  <c:v>4.5489840694457691</c:v>
                </c:pt>
                <c:pt idx="1">
                  <c:v>4.5715810928855669</c:v>
                </c:pt>
                <c:pt idx="2">
                  <c:v>4.6188626630813667</c:v>
                </c:pt>
                <c:pt idx="3">
                  <c:v>4.7527660014476272</c:v>
                </c:pt>
                <c:pt idx="4">
                  <c:v>5.0138874051917526</c:v>
                </c:pt>
                <c:pt idx="5">
                  <c:v>5.2456121575342465</c:v>
                </c:pt>
                <c:pt idx="6">
                  <c:v>5.3322111207645522</c:v>
                </c:pt>
                <c:pt idx="7">
                  <c:v>5.6168924127298752</c:v>
                </c:pt>
                <c:pt idx="8">
                  <c:v>5.5651551837992512</c:v>
                </c:pt>
                <c:pt idx="9">
                  <c:v>6.079477008961363</c:v>
                </c:pt>
              </c:numCache>
            </c:numRef>
          </c:cat>
          <c:val>
            <c:numRef>
              <c:f>'85'!$G$9:$G$18</c:f>
              <c:numCache>
                <c:formatCode>0.00</c:formatCode>
                <c:ptCount val="10"/>
                <c:pt idx="0">
                  <c:v>4.5489840694457691</c:v>
                </c:pt>
                <c:pt idx="1">
                  <c:v>4.5715810928855669</c:v>
                </c:pt>
                <c:pt idx="2">
                  <c:v>4.6188626630813667</c:v>
                </c:pt>
                <c:pt idx="3">
                  <c:v>4.7527660014476272</c:v>
                </c:pt>
                <c:pt idx="4">
                  <c:v>5.0138874051917526</c:v>
                </c:pt>
                <c:pt idx="5">
                  <c:v>5.2456121575342465</c:v>
                </c:pt>
                <c:pt idx="6">
                  <c:v>5.3322111207645522</c:v>
                </c:pt>
                <c:pt idx="7">
                  <c:v>5.6168924127298752</c:v>
                </c:pt>
                <c:pt idx="8">
                  <c:v>5.5651551837992512</c:v>
                </c:pt>
                <c:pt idx="9">
                  <c:v>6.079477008961363</c:v>
                </c:pt>
              </c:numCache>
            </c:numRef>
          </c:val>
          <c:smooth val="0"/>
        </c:ser>
        <c:dLbls>
          <c:showLegendKey val="0"/>
          <c:showVal val="0"/>
          <c:showCatName val="0"/>
          <c:showSerName val="0"/>
          <c:showPercent val="0"/>
          <c:showBubbleSize val="0"/>
        </c:dLbls>
        <c:marker val="1"/>
        <c:smooth val="0"/>
        <c:axId val="281831248"/>
        <c:axId val="281831640"/>
      </c:lineChart>
      <c:catAx>
        <c:axId val="281830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627906976744136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30856"/>
        <c:crosses val="autoZero"/>
        <c:auto val="0"/>
        <c:lblAlgn val="ctr"/>
        <c:lblOffset val="100"/>
        <c:tickLblSkip val="1"/>
        <c:tickMarkSkip val="1"/>
        <c:noMultiLvlLbl val="0"/>
      </c:catAx>
      <c:valAx>
        <c:axId val="281830856"/>
        <c:scaling>
          <c:orientation val="minMax"/>
          <c:max val="90"/>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30464"/>
        <c:crosses val="autoZero"/>
        <c:crossBetween val="between"/>
        <c:majorUnit val="5"/>
        <c:minorUnit val="5"/>
      </c:valAx>
      <c:catAx>
        <c:axId val="28183124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870431893687762"/>
              <c:y val="0.19269137869394232"/>
            </c:manualLayout>
          </c:layout>
          <c:overlay val="0"/>
          <c:spPr>
            <a:noFill/>
            <a:ln w="25400">
              <a:noFill/>
            </a:ln>
          </c:spPr>
        </c:title>
        <c:numFmt formatCode="0.00" sourceLinked="1"/>
        <c:majorTickMark val="out"/>
        <c:minorTickMark val="none"/>
        <c:tickLblPos val="nextTo"/>
        <c:crossAx val="281831640"/>
        <c:crosses val="autoZero"/>
        <c:auto val="0"/>
        <c:lblAlgn val="ctr"/>
        <c:lblOffset val="100"/>
        <c:noMultiLvlLbl val="0"/>
      </c:catAx>
      <c:valAx>
        <c:axId val="281831640"/>
        <c:scaling>
          <c:orientation val="minMax"/>
          <c:max val="6"/>
          <c:min val="4"/>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31248"/>
        <c:crosses val="max"/>
        <c:crossBetween val="between"/>
        <c:majorUnit val="0.5"/>
        <c:minorUnit val="0.5"/>
      </c:valAx>
      <c:spPr>
        <a:noFill/>
        <a:ln w="25400">
          <a:noFill/>
        </a:ln>
      </c:spPr>
    </c:plotArea>
    <c:legend>
      <c:legendPos val="r"/>
      <c:layout>
        <c:manualLayout>
          <c:xMode val="edge"/>
          <c:yMode val="edge"/>
          <c:x val="0.22425249169435221"/>
          <c:y val="0.85049973404490065"/>
          <c:w val="0.65116279069767469"/>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Llay Llay
</a:t>
            </a:r>
          </a:p>
        </c:rich>
      </c:tx>
      <c:layout>
        <c:manualLayout>
          <c:xMode val="edge"/>
          <c:yMode val="edge"/>
          <c:x val="0.21696591351855896"/>
          <c:y val="3.6065573770491806E-2"/>
        </c:manualLayout>
      </c:layout>
      <c:overlay val="0"/>
      <c:spPr>
        <a:noFill/>
        <a:ln w="25400">
          <a:noFill/>
        </a:ln>
      </c:spPr>
    </c:title>
    <c:autoTitleDeleted val="0"/>
    <c:plotArea>
      <c:layout>
        <c:manualLayout>
          <c:layoutTarget val="inner"/>
          <c:xMode val="edge"/>
          <c:yMode val="edge"/>
          <c:x val="8.8091424165405247E-2"/>
          <c:y val="0.29180327868852457"/>
          <c:w val="0.8417624975805263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'86'!$B$9:$B$18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'86'!$E$9:$E$18</c:f>
              <c:numCache>
                <c:formatCode>#,##0</c:formatCode>
                <c:ptCount val="10"/>
                <c:pt idx="0">
                  <c:v>1863</c:v>
                </c:pt>
                <c:pt idx="1">
                  <c:v>1709</c:v>
                </c:pt>
                <c:pt idx="2">
                  <c:v>1248</c:v>
                </c:pt>
                <c:pt idx="3">
                  <c:v>1480</c:v>
                </c:pt>
                <c:pt idx="4">
                  <c:v>1442</c:v>
                </c:pt>
                <c:pt idx="5">
                  <c:v>1558</c:v>
                </c:pt>
                <c:pt idx="6">
                  <c:v>1514</c:v>
                </c:pt>
                <c:pt idx="7">
                  <c:v>1416</c:v>
                </c:pt>
                <c:pt idx="8">
                  <c:v>1408</c:v>
                </c:pt>
                <c:pt idx="9">
                  <c:v>1025</c:v>
                </c:pt>
              </c:numCache>
            </c:numRef>
          </c:val>
          <c:smooth val="0"/>
        </c:ser>
        <c:dLbls>
          <c:showLegendKey val="0"/>
          <c:showVal val="0"/>
          <c:showCatName val="0"/>
          <c:showSerName val="0"/>
          <c:showPercent val="0"/>
          <c:showBubbleSize val="0"/>
        </c:dLbls>
        <c:marker val="1"/>
        <c:smooth val="0"/>
        <c:axId val="281832424"/>
        <c:axId val="281832816"/>
      </c:lineChart>
      <c:lineChart>
        <c:grouping val="standard"/>
        <c:varyColors val="0"/>
        <c:ser>
          <c:idx val="0"/>
          <c:order val="1"/>
          <c:tx>
            <c:v>Promedio  de  Camas</c:v>
          </c:tx>
          <c:spPr>
            <a:ln w="25400">
              <a:solidFill>
                <a:srgbClr val="000080"/>
              </a:solidFill>
              <a:prstDash val="solid"/>
            </a:ln>
          </c:spPr>
          <c:marker>
            <c:symbol val="none"/>
          </c:marker>
          <c:cat>
            <c:numRef>
              <c:f>'86'!$C$9:$C$18</c:f>
              <c:numCache>
                <c:formatCode>General</c:formatCode>
                <c:ptCount val="10"/>
                <c:pt idx="0">
                  <c:v>45</c:v>
                </c:pt>
                <c:pt idx="1">
                  <c:v>45</c:v>
                </c:pt>
                <c:pt idx="2">
                  <c:v>45</c:v>
                </c:pt>
                <c:pt idx="3">
                  <c:v>45</c:v>
                </c:pt>
                <c:pt idx="4">
                  <c:v>45</c:v>
                </c:pt>
                <c:pt idx="5">
                  <c:v>45</c:v>
                </c:pt>
                <c:pt idx="6">
                  <c:v>45</c:v>
                </c:pt>
                <c:pt idx="7">
                  <c:v>45</c:v>
                </c:pt>
                <c:pt idx="8">
                  <c:v>42</c:v>
                </c:pt>
                <c:pt idx="9">
                  <c:v>42</c:v>
                </c:pt>
              </c:numCache>
            </c:numRef>
          </c:cat>
          <c:val>
            <c:numRef>
              <c:f>'86'!$D$9:$D$18</c:f>
              <c:numCache>
                <c:formatCode>General</c:formatCode>
                <c:ptCount val="10"/>
                <c:pt idx="0">
                  <c:v>43</c:v>
                </c:pt>
                <c:pt idx="1">
                  <c:v>44</c:v>
                </c:pt>
                <c:pt idx="2">
                  <c:v>35</c:v>
                </c:pt>
                <c:pt idx="3">
                  <c:v>44</c:v>
                </c:pt>
                <c:pt idx="4">
                  <c:v>44</c:v>
                </c:pt>
                <c:pt idx="5">
                  <c:v>44</c:v>
                </c:pt>
                <c:pt idx="6">
                  <c:v>44</c:v>
                </c:pt>
                <c:pt idx="7" formatCode="0">
                  <c:v>40.232876712328768</c:v>
                </c:pt>
                <c:pt idx="8" formatCode="0">
                  <c:v>37.016438356164386</c:v>
                </c:pt>
                <c:pt idx="9" formatCode="0">
                  <c:v>39.531506849315072</c:v>
                </c:pt>
              </c:numCache>
            </c:numRef>
          </c:val>
          <c:smooth val="0"/>
        </c:ser>
        <c:dLbls>
          <c:showLegendKey val="0"/>
          <c:showVal val="0"/>
          <c:showCatName val="0"/>
          <c:showSerName val="0"/>
          <c:showPercent val="0"/>
          <c:showBubbleSize val="0"/>
        </c:dLbls>
        <c:marker val="1"/>
        <c:smooth val="0"/>
        <c:axId val="281833208"/>
        <c:axId val="281833600"/>
      </c:lineChart>
      <c:catAx>
        <c:axId val="2818324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5557368134855901E-2"/>
              <c:y val="0.1508196721311475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32816"/>
        <c:crosses val="autoZero"/>
        <c:auto val="0"/>
        <c:lblAlgn val="ctr"/>
        <c:lblOffset val="100"/>
        <c:tickLblSkip val="1"/>
        <c:tickMarkSkip val="1"/>
        <c:noMultiLvlLbl val="0"/>
      </c:catAx>
      <c:valAx>
        <c:axId val="281832816"/>
        <c:scaling>
          <c:orientation val="minMax"/>
          <c:max val="2400"/>
          <c:min val="12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32424"/>
        <c:crosses val="autoZero"/>
        <c:crossBetween val="between"/>
        <c:majorUnit val="200"/>
        <c:minorUnit val="100"/>
      </c:valAx>
      <c:catAx>
        <c:axId val="28183320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354065244291449"/>
              <c:y val="0.14644808743169399"/>
            </c:manualLayout>
          </c:layout>
          <c:overlay val="0"/>
          <c:spPr>
            <a:noFill/>
            <a:ln w="25400">
              <a:noFill/>
            </a:ln>
          </c:spPr>
        </c:title>
        <c:numFmt formatCode="General" sourceLinked="1"/>
        <c:majorTickMark val="out"/>
        <c:minorTickMark val="none"/>
        <c:tickLblPos val="nextTo"/>
        <c:crossAx val="281833600"/>
        <c:crosses val="autoZero"/>
        <c:auto val="0"/>
        <c:lblAlgn val="ctr"/>
        <c:lblOffset val="100"/>
        <c:noMultiLvlLbl val="0"/>
      </c:catAx>
      <c:valAx>
        <c:axId val="281833600"/>
        <c:scaling>
          <c:orientation val="minMax"/>
          <c:max val="60"/>
          <c:min val="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33208"/>
        <c:crosses val="max"/>
        <c:crossBetween val="between"/>
        <c:majorUnit val="5"/>
      </c:valAx>
      <c:spPr>
        <a:noFill/>
        <a:ln w="25400">
          <a:noFill/>
        </a:ln>
      </c:spPr>
    </c:plotArea>
    <c:legend>
      <c:legendPos val="r"/>
      <c:layout>
        <c:manualLayout>
          <c:xMode val="edge"/>
          <c:yMode val="edge"/>
          <c:x val="0.18433948611237802"/>
          <c:y val="0.83606557377049184"/>
          <c:w val="0.6394784909635360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Llay Llay
</a:t>
            </a:r>
          </a:p>
        </c:rich>
      </c:tx>
      <c:layout>
        <c:manualLayout>
          <c:xMode val="edge"/>
          <c:yMode val="edge"/>
          <c:x val="0.21967230325717491"/>
          <c:y val="3.6544850498338874E-2"/>
        </c:manualLayout>
      </c:layout>
      <c:overlay val="0"/>
      <c:spPr>
        <a:noFill/>
        <a:ln w="25400">
          <a:noFill/>
        </a:ln>
      </c:spPr>
    </c:title>
    <c:autoTitleDeleted val="0"/>
    <c:plotArea>
      <c:layout>
        <c:manualLayout>
          <c:layoutTarget val="inner"/>
          <c:xMode val="edge"/>
          <c:yMode val="edge"/>
          <c:x val="7.8688587577314589E-2"/>
          <c:y val="0.2336659080405647"/>
          <c:w val="0.83606624300896759"/>
          <c:h val="0.5758589478640751"/>
        </c:manualLayout>
      </c:layout>
      <c:lineChart>
        <c:grouping val="standard"/>
        <c:varyColors val="0"/>
        <c:ser>
          <c:idx val="1"/>
          <c:order val="0"/>
          <c:tx>
            <c:v>indice</c:v>
          </c:tx>
          <c:spPr>
            <a:ln w="25400">
              <a:solidFill>
                <a:srgbClr val="FF0000"/>
              </a:solidFill>
              <a:prstDash val="solid"/>
            </a:ln>
          </c:spPr>
          <c:marker>
            <c:symbol val="none"/>
          </c:marker>
          <c:cat>
            <c:numRef>
              <c:f>'86'!$B$9:$B$18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'86'!$F$9:$F$18</c:f>
              <c:numCache>
                <c:formatCode>#,##0.0</c:formatCode>
                <c:ptCount val="10"/>
                <c:pt idx="0">
                  <c:v>45.050415371932274</c:v>
                </c:pt>
                <c:pt idx="1">
                  <c:v>38.77563627378305</c:v>
                </c:pt>
                <c:pt idx="2">
                  <c:v>43.671489903005245</c:v>
                </c:pt>
                <c:pt idx="3">
                  <c:v>49.95308101345011</c:v>
                </c:pt>
                <c:pt idx="4">
                  <c:v>52.73520249221184</c:v>
                </c:pt>
                <c:pt idx="5">
                  <c:v>61.449004975124375</c:v>
                </c:pt>
                <c:pt idx="6">
                  <c:v>58.069738480697389</c:v>
                </c:pt>
                <c:pt idx="7">
                  <c:v>50.956758597208044</c:v>
                </c:pt>
                <c:pt idx="8">
                  <c:v>64.969284286877354</c:v>
                </c:pt>
                <c:pt idx="9">
                  <c:v>46.212488737958282</c:v>
                </c:pt>
              </c:numCache>
            </c:numRef>
          </c:val>
          <c:smooth val="0"/>
        </c:ser>
        <c:dLbls>
          <c:showLegendKey val="0"/>
          <c:showVal val="0"/>
          <c:showCatName val="0"/>
          <c:showSerName val="0"/>
          <c:showPercent val="0"/>
          <c:showBubbleSize val="0"/>
        </c:dLbls>
        <c:marker val="1"/>
        <c:smooth val="0"/>
        <c:axId val="281834384"/>
        <c:axId val="281834776"/>
      </c:lineChart>
      <c:lineChart>
        <c:grouping val="standard"/>
        <c:varyColors val="0"/>
        <c:ser>
          <c:idx val="0"/>
          <c:order val="1"/>
          <c:tx>
            <c:v>Promedio</c:v>
          </c:tx>
          <c:spPr>
            <a:ln w="25400">
              <a:solidFill>
                <a:srgbClr val="000080"/>
              </a:solidFill>
              <a:prstDash val="solid"/>
            </a:ln>
          </c:spPr>
          <c:marker>
            <c:symbol val="none"/>
          </c:marker>
          <c:cat>
            <c:numRef>
              <c:f>'86'!$G$9:$G$18</c:f>
              <c:numCache>
                <c:formatCode>0.00</c:formatCode>
                <c:ptCount val="10"/>
                <c:pt idx="0">
                  <c:v>3.595276435856146</c:v>
                </c:pt>
                <c:pt idx="1">
                  <c:v>3.9531889994148623</c:v>
                </c:pt>
                <c:pt idx="2">
                  <c:v>4.0376602564102564</c:v>
                </c:pt>
                <c:pt idx="3">
                  <c:v>5.5182432432432433</c:v>
                </c:pt>
                <c:pt idx="4">
                  <c:v>6.0208044382801669</c:v>
                </c:pt>
                <c:pt idx="5">
                  <c:v>6.4268292682926829</c:v>
                </c:pt>
                <c:pt idx="6">
                  <c:v>6.1717305151915456</c:v>
                </c:pt>
                <c:pt idx="7">
                  <c:v>5.3248587570621471</c:v>
                </c:pt>
                <c:pt idx="8">
                  <c:v>6.1789772727272725</c:v>
                </c:pt>
                <c:pt idx="9">
                  <c:v>6.5434146341463411</c:v>
                </c:pt>
              </c:numCache>
            </c:numRef>
          </c:cat>
          <c:val>
            <c:numRef>
              <c:f>'86'!$G$9:$G$18</c:f>
              <c:numCache>
                <c:formatCode>0.00</c:formatCode>
                <c:ptCount val="10"/>
                <c:pt idx="0">
                  <c:v>3.595276435856146</c:v>
                </c:pt>
                <c:pt idx="1">
                  <c:v>3.9531889994148623</c:v>
                </c:pt>
                <c:pt idx="2">
                  <c:v>4.0376602564102564</c:v>
                </c:pt>
                <c:pt idx="3">
                  <c:v>5.5182432432432433</c:v>
                </c:pt>
                <c:pt idx="4">
                  <c:v>6.0208044382801669</c:v>
                </c:pt>
                <c:pt idx="5">
                  <c:v>6.4268292682926829</c:v>
                </c:pt>
                <c:pt idx="6">
                  <c:v>6.1717305151915456</c:v>
                </c:pt>
                <c:pt idx="7">
                  <c:v>5.3248587570621471</c:v>
                </c:pt>
                <c:pt idx="8">
                  <c:v>6.1789772727272725</c:v>
                </c:pt>
                <c:pt idx="9">
                  <c:v>6.5434146341463411</c:v>
                </c:pt>
              </c:numCache>
            </c:numRef>
          </c:val>
          <c:smooth val="0"/>
        </c:ser>
        <c:dLbls>
          <c:showLegendKey val="0"/>
          <c:showVal val="0"/>
          <c:showCatName val="0"/>
          <c:showSerName val="0"/>
          <c:showPercent val="0"/>
          <c:showBubbleSize val="0"/>
        </c:dLbls>
        <c:marker val="1"/>
        <c:smooth val="0"/>
        <c:axId val="281835168"/>
        <c:axId val="283882968"/>
      </c:lineChart>
      <c:catAx>
        <c:axId val="2818343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475409836065573E-2"/>
              <c:y val="0.148394590211107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34776"/>
        <c:crosses val="autoZero"/>
        <c:auto val="0"/>
        <c:lblAlgn val="ctr"/>
        <c:lblOffset val="100"/>
        <c:tickLblSkip val="1"/>
        <c:tickMarkSkip val="1"/>
        <c:noMultiLvlLbl val="0"/>
      </c:catAx>
      <c:valAx>
        <c:axId val="281834776"/>
        <c:scaling>
          <c:orientation val="minMax"/>
          <c:max val="65"/>
          <c:min val="2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34384"/>
        <c:crosses val="autoZero"/>
        <c:crossBetween val="between"/>
        <c:majorUnit val="10"/>
        <c:minorUnit val="5"/>
      </c:valAx>
      <c:catAx>
        <c:axId val="28183516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9453620756421837"/>
              <c:y val="0.11738683827312281"/>
            </c:manualLayout>
          </c:layout>
          <c:overlay val="0"/>
          <c:spPr>
            <a:noFill/>
            <a:ln w="25400">
              <a:noFill/>
            </a:ln>
          </c:spPr>
        </c:title>
        <c:numFmt formatCode="0.00" sourceLinked="1"/>
        <c:majorTickMark val="out"/>
        <c:minorTickMark val="none"/>
        <c:tickLblPos val="nextTo"/>
        <c:crossAx val="283882968"/>
        <c:crosses val="autoZero"/>
        <c:auto val="0"/>
        <c:lblAlgn val="ctr"/>
        <c:lblOffset val="100"/>
        <c:noMultiLvlLbl val="0"/>
      </c:catAx>
      <c:valAx>
        <c:axId val="283882968"/>
        <c:scaling>
          <c:orientation val="minMax"/>
          <c:max val="7.5"/>
          <c:min val="3"/>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1835168"/>
        <c:crosses val="max"/>
        <c:crossBetween val="between"/>
        <c:majorUnit val="1"/>
      </c:valAx>
      <c:spPr>
        <a:noFill/>
        <a:ln w="25400">
          <a:noFill/>
        </a:ln>
      </c:spPr>
    </c:plotArea>
    <c:legend>
      <c:legendPos val="r"/>
      <c:layout>
        <c:manualLayout>
          <c:xMode val="edge"/>
          <c:yMode val="edge"/>
          <c:x val="0.22950836883094541"/>
          <c:y val="0.85049973404490065"/>
          <c:w val="0.64262346714861474"/>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Putaendo
</a:t>
            </a:r>
          </a:p>
        </c:rich>
      </c:tx>
      <c:layout>
        <c:manualLayout>
          <c:xMode val="edge"/>
          <c:yMode val="edge"/>
          <c:x val="0.22294039577848518"/>
          <c:y val="3.6065573770491806E-2"/>
        </c:manualLayout>
      </c:layout>
      <c:overlay val="0"/>
      <c:spPr>
        <a:noFill/>
        <a:ln w="25400">
          <a:noFill/>
        </a:ln>
      </c:spPr>
    </c:title>
    <c:autoTitleDeleted val="0"/>
    <c:plotArea>
      <c:layout>
        <c:manualLayout>
          <c:layoutTarget val="inner"/>
          <c:xMode val="edge"/>
          <c:yMode val="edge"/>
          <c:x val="7.2697957184247833E-2"/>
          <c:y val="0.29180327868852457"/>
          <c:w val="0.8578358947741529"/>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'87'!$B$9:$B$18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'87'!$E$9:$E$18</c:f>
              <c:numCache>
                <c:formatCode>#,##0</c:formatCode>
                <c:ptCount val="10"/>
                <c:pt idx="0">
                  <c:v>452</c:v>
                </c:pt>
                <c:pt idx="1">
                  <c:v>519</c:v>
                </c:pt>
                <c:pt idx="2">
                  <c:v>576</c:v>
                </c:pt>
                <c:pt idx="3">
                  <c:v>608</c:v>
                </c:pt>
                <c:pt idx="4">
                  <c:v>568</c:v>
                </c:pt>
                <c:pt idx="5">
                  <c:v>685</c:v>
                </c:pt>
                <c:pt idx="6">
                  <c:v>722</c:v>
                </c:pt>
                <c:pt idx="7">
                  <c:v>645</c:v>
                </c:pt>
                <c:pt idx="8">
                  <c:v>660</c:v>
                </c:pt>
                <c:pt idx="9">
                  <c:v>578</c:v>
                </c:pt>
              </c:numCache>
            </c:numRef>
          </c:val>
          <c:smooth val="0"/>
        </c:ser>
        <c:dLbls>
          <c:showLegendKey val="0"/>
          <c:showVal val="0"/>
          <c:showCatName val="0"/>
          <c:showSerName val="0"/>
          <c:showPercent val="0"/>
          <c:showBubbleSize val="0"/>
        </c:dLbls>
        <c:marker val="1"/>
        <c:smooth val="0"/>
        <c:axId val="283883752"/>
        <c:axId val="283884144"/>
      </c:lineChart>
      <c:lineChart>
        <c:grouping val="standard"/>
        <c:varyColors val="0"/>
        <c:ser>
          <c:idx val="0"/>
          <c:order val="1"/>
          <c:tx>
            <c:v>Promedio  de  Camas</c:v>
          </c:tx>
          <c:spPr>
            <a:ln w="25400">
              <a:solidFill>
                <a:srgbClr val="000080"/>
              </a:solidFill>
              <a:prstDash val="solid"/>
            </a:ln>
          </c:spPr>
          <c:marker>
            <c:symbol val="none"/>
          </c:marker>
          <c:cat>
            <c:numRef>
              <c:f>'87'!$C$9:$C$18</c:f>
              <c:numCache>
                <c:formatCode>General</c:formatCode>
                <c:ptCount val="10"/>
                <c:pt idx="0">
                  <c:v>28</c:v>
                </c:pt>
                <c:pt idx="1">
                  <c:v>28</c:v>
                </c:pt>
                <c:pt idx="2">
                  <c:v>28</c:v>
                </c:pt>
                <c:pt idx="3">
                  <c:v>28</c:v>
                </c:pt>
                <c:pt idx="4">
                  <c:v>28</c:v>
                </c:pt>
                <c:pt idx="5">
                  <c:v>28</c:v>
                </c:pt>
                <c:pt idx="6">
                  <c:v>28</c:v>
                </c:pt>
                <c:pt idx="7">
                  <c:v>28</c:v>
                </c:pt>
                <c:pt idx="8">
                  <c:v>28</c:v>
                </c:pt>
                <c:pt idx="9">
                  <c:v>28</c:v>
                </c:pt>
              </c:numCache>
            </c:numRef>
          </c:cat>
          <c:val>
            <c:numRef>
              <c:f>'87'!$D$9:$D$18</c:f>
              <c:numCache>
                <c:formatCode>General</c:formatCode>
                <c:ptCount val="10"/>
                <c:pt idx="0">
                  <c:v>17</c:v>
                </c:pt>
                <c:pt idx="1">
                  <c:v>28</c:v>
                </c:pt>
                <c:pt idx="2">
                  <c:v>28</c:v>
                </c:pt>
                <c:pt idx="3">
                  <c:v>28</c:v>
                </c:pt>
                <c:pt idx="4">
                  <c:v>28</c:v>
                </c:pt>
                <c:pt idx="5">
                  <c:v>28</c:v>
                </c:pt>
                <c:pt idx="6">
                  <c:v>28</c:v>
                </c:pt>
                <c:pt idx="7">
                  <c:v>28</c:v>
                </c:pt>
                <c:pt idx="8" formatCode="0">
                  <c:v>27.923287671232877</c:v>
                </c:pt>
                <c:pt idx="9" formatCode="0">
                  <c:v>28</c:v>
                </c:pt>
              </c:numCache>
            </c:numRef>
          </c:val>
          <c:smooth val="0"/>
        </c:ser>
        <c:dLbls>
          <c:showLegendKey val="0"/>
          <c:showVal val="0"/>
          <c:showCatName val="0"/>
          <c:showSerName val="0"/>
          <c:showPercent val="0"/>
          <c:showBubbleSize val="0"/>
        </c:dLbls>
        <c:marker val="1"/>
        <c:smooth val="0"/>
        <c:axId val="283884536"/>
        <c:axId val="283884928"/>
      </c:lineChart>
      <c:catAx>
        <c:axId val="283883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8.0775444264944048E-3"/>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4144"/>
        <c:crosses val="autoZero"/>
        <c:auto val="0"/>
        <c:lblAlgn val="ctr"/>
        <c:lblOffset val="100"/>
        <c:tickLblSkip val="1"/>
        <c:tickMarkSkip val="1"/>
        <c:noMultiLvlLbl val="0"/>
      </c:catAx>
      <c:valAx>
        <c:axId val="283884144"/>
        <c:scaling>
          <c:orientation val="minMax"/>
          <c:max val="750"/>
          <c:min val="2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3752"/>
        <c:crosses val="autoZero"/>
        <c:crossBetween val="between"/>
        <c:majorUnit val="50"/>
        <c:minorUnit val="50"/>
      </c:valAx>
      <c:catAx>
        <c:axId val="28388453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437870750811634"/>
              <c:y val="0.19016393442623244"/>
            </c:manualLayout>
          </c:layout>
          <c:overlay val="0"/>
          <c:spPr>
            <a:noFill/>
            <a:ln w="25400">
              <a:noFill/>
            </a:ln>
          </c:spPr>
        </c:title>
        <c:numFmt formatCode="General" sourceLinked="1"/>
        <c:majorTickMark val="out"/>
        <c:minorTickMark val="none"/>
        <c:tickLblPos val="nextTo"/>
        <c:crossAx val="283884928"/>
        <c:crosses val="autoZero"/>
        <c:auto val="0"/>
        <c:lblAlgn val="ctr"/>
        <c:lblOffset val="100"/>
        <c:noMultiLvlLbl val="0"/>
      </c:catAx>
      <c:valAx>
        <c:axId val="283884928"/>
        <c:scaling>
          <c:orientation val="minMax"/>
          <c:max val="29"/>
          <c:min val="9"/>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4536"/>
        <c:crosses val="max"/>
        <c:crossBetween val="between"/>
        <c:majorUnit val="4"/>
        <c:minorUnit val="1"/>
      </c:valAx>
      <c:spPr>
        <a:noFill/>
        <a:ln w="25400">
          <a:noFill/>
        </a:ln>
      </c:spPr>
    </c:plotArea>
    <c:legend>
      <c:legendPos val="r"/>
      <c:layout>
        <c:manualLayout>
          <c:xMode val="edge"/>
          <c:yMode val="edge"/>
          <c:x val="0.17932165587540674"/>
          <c:y val="0.83606557377049184"/>
          <c:w val="0.6332799918588536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Putaendo
</a:t>
            </a:r>
          </a:p>
        </c:rich>
      </c:tx>
      <c:layout>
        <c:manualLayout>
          <c:xMode val="edge"/>
          <c:yMode val="edge"/>
          <c:x val="0.22240276783583871"/>
          <c:y val="3.6544850498338874E-2"/>
        </c:manualLayout>
      </c:layout>
      <c:overlay val="0"/>
      <c:spPr>
        <a:noFill/>
        <a:ln w="25400">
          <a:noFill/>
        </a:ln>
      </c:spPr>
    </c:title>
    <c:autoTitleDeleted val="0"/>
    <c:plotArea>
      <c:layout>
        <c:manualLayout>
          <c:layoutTarget val="inner"/>
          <c:xMode val="edge"/>
          <c:yMode val="edge"/>
          <c:x val="7.7922139688181472E-2"/>
          <c:y val="0.29568154277658909"/>
          <c:w val="0.82792273418692786"/>
          <c:h val="0.46511703358115125"/>
        </c:manualLayout>
      </c:layout>
      <c:lineChart>
        <c:grouping val="standard"/>
        <c:varyColors val="0"/>
        <c:ser>
          <c:idx val="1"/>
          <c:order val="0"/>
          <c:tx>
            <c:v>indice</c:v>
          </c:tx>
          <c:spPr>
            <a:ln w="25400">
              <a:solidFill>
                <a:srgbClr val="FF0000"/>
              </a:solidFill>
              <a:prstDash val="solid"/>
            </a:ln>
          </c:spPr>
          <c:marker>
            <c:symbol val="none"/>
          </c:marker>
          <c:cat>
            <c:numRef>
              <c:f>'87'!$B$9:$B$18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'87'!$F$9:$F$18</c:f>
              <c:numCache>
                <c:formatCode>#,##0.0</c:formatCode>
                <c:ptCount val="10"/>
                <c:pt idx="0">
                  <c:v>66.287818152713314</c:v>
                </c:pt>
                <c:pt idx="1">
                  <c:v>56.240234375</c:v>
                </c:pt>
                <c:pt idx="2">
                  <c:v>49.126766091051806</c:v>
                </c:pt>
                <c:pt idx="3">
                  <c:v>56.391491022638562</c:v>
                </c:pt>
                <c:pt idx="4">
                  <c:v>56.193737769080229</c:v>
                </c:pt>
                <c:pt idx="5">
                  <c:v>59.338407494145194</c:v>
                </c:pt>
                <c:pt idx="6">
                  <c:v>62.09772370486656</c:v>
                </c:pt>
                <c:pt idx="7">
                  <c:v>59.050880626223091</c:v>
                </c:pt>
                <c:pt idx="8">
                  <c:v>59.134615384615387</c:v>
                </c:pt>
                <c:pt idx="9">
                  <c:v>64.080234833659489</c:v>
                </c:pt>
              </c:numCache>
            </c:numRef>
          </c:val>
          <c:smooth val="0"/>
        </c:ser>
        <c:dLbls>
          <c:showLegendKey val="0"/>
          <c:showVal val="0"/>
          <c:showCatName val="0"/>
          <c:showSerName val="0"/>
          <c:showPercent val="0"/>
          <c:showBubbleSize val="0"/>
        </c:dLbls>
        <c:marker val="1"/>
        <c:smooth val="0"/>
        <c:axId val="283885712"/>
        <c:axId val="283886104"/>
      </c:lineChart>
      <c:lineChart>
        <c:grouping val="standard"/>
        <c:varyColors val="0"/>
        <c:ser>
          <c:idx val="0"/>
          <c:order val="1"/>
          <c:tx>
            <c:v>Promedio</c:v>
          </c:tx>
          <c:spPr>
            <a:ln w="25400">
              <a:solidFill>
                <a:srgbClr val="000080"/>
              </a:solidFill>
              <a:prstDash val="solid"/>
            </a:ln>
          </c:spPr>
          <c:marker>
            <c:symbol val="none"/>
          </c:marker>
          <c:cat>
            <c:numRef>
              <c:f>'87'!$G$9:$G$18</c:f>
              <c:numCache>
                <c:formatCode>0.00</c:formatCode>
                <c:ptCount val="10"/>
                <c:pt idx="0">
                  <c:v>9.0044247787610612</c:v>
                </c:pt>
                <c:pt idx="1">
                  <c:v>10.273603082851638</c:v>
                </c:pt>
                <c:pt idx="2">
                  <c:v>8.3524305555555554</c:v>
                </c:pt>
                <c:pt idx="3">
                  <c:v>8.1891447368421044</c:v>
                </c:pt>
                <c:pt idx="4">
                  <c:v>12.40669014084507</c:v>
                </c:pt>
                <c:pt idx="5">
                  <c:v>8.25985401459854</c:v>
                </c:pt>
                <c:pt idx="6">
                  <c:v>8.54016620498615</c:v>
                </c:pt>
                <c:pt idx="7">
                  <c:v>8.590697674418605</c:v>
                </c:pt>
                <c:pt idx="8">
                  <c:v>8.4333333333333336</c:v>
                </c:pt>
                <c:pt idx="9">
                  <c:v>8.2145328719723185</c:v>
                </c:pt>
              </c:numCache>
            </c:numRef>
          </c:cat>
          <c:val>
            <c:numRef>
              <c:f>'87'!$G$9:$G$18</c:f>
              <c:numCache>
                <c:formatCode>0.00</c:formatCode>
                <c:ptCount val="10"/>
                <c:pt idx="0">
                  <c:v>9.0044247787610612</c:v>
                </c:pt>
                <c:pt idx="1">
                  <c:v>10.273603082851638</c:v>
                </c:pt>
                <c:pt idx="2">
                  <c:v>8.3524305555555554</c:v>
                </c:pt>
                <c:pt idx="3">
                  <c:v>8.1891447368421044</c:v>
                </c:pt>
                <c:pt idx="4">
                  <c:v>12.40669014084507</c:v>
                </c:pt>
                <c:pt idx="5">
                  <c:v>8.25985401459854</c:v>
                </c:pt>
                <c:pt idx="6">
                  <c:v>8.54016620498615</c:v>
                </c:pt>
                <c:pt idx="7">
                  <c:v>8.590697674418605</c:v>
                </c:pt>
                <c:pt idx="8">
                  <c:v>8.4333333333333336</c:v>
                </c:pt>
                <c:pt idx="9">
                  <c:v>8.2145328719723185</c:v>
                </c:pt>
              </c:numCache>
            </c:numRef>
          </c:val>
          <c:smooth val="0"/>
        </c:ser>
        <c:dLbls>
          <c:showLegendKey val="0"/>
          <c:showVal val="0"/>
          <c:showCatName val="0"/>
          <c:showSerName val="0"/>
          <c:showPercent val="0"/>
          <c:showBubbleSize val="0"/>
        </c:dLbls>
        <c:marker val="1"/>
        <c:smooth val="0"/>
        <c:axId val="283886496"/>
        <c:axId val="283886888"/>
      </c:lineChart>
      <c:catAx>
        <c:axId val="2838857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363636363636367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6104"/>
        <c:crosses val="autoZero"/>
        <c:auto val="0"/>
        <c:lblAlgn val="ctr"/>
        <c:lblOffset val="100"/>
        <c:tickLblSkip val="1"/>
        <c:tickMarkSkip val="1"/>
        <c:noMultiLvlLbl val="0"/>
      </c:catAx>
      <c:valAx>
        <c:axId val="283886104"/>
        <c:scaling>
          <c:orientation val="minMax"/>
          <c:max val="67"/>
          <c:min val="45"/>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5712"/>
        <c:crosses val="autoZero"/>
        <c:crossBetween val="between"/>
        <c:majorUnit val="5"/>
        <c:minorUnit val="5"/>
      </c:valAx>
      <c:catAx>
        <c:axId val="28388649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149418822647152"/>
              <c:y val="0.19269137869394232"/>
            </c:manualLayout>
          </c:layout>
          <c:overlay val="0"/>
          <c:spPr>
            <a:noFill/>
            <a:ln w="25400">
              <a:noFill/>
            </a:ln>
          </c:spPr>
        </c:title>
        <c:numFmt formatCode="0.00" sourceLinked="1"/>
        <c:majorTickMark val="out"/>
        <c:minorTickMark val="none"/>
        <c:tickLblPos val="nextTo"/>
        <c:crossAx val="283886888"/>
        <c:crosses val="autoZero"/>
        <c:auto val="0"/>
        <c:lblAlgn val="ctr"/>
        <c:lblOffset val="100"/>
        <c:noMultiLvlLbl val="0"/>
      </c:catAx>
      <c:valAx>
        <c:axId val="283886888"/>
        <c:scaling>
          <c:orientation val="minMax"/>
          <c:max val="13"/>
          <c:min val="6"/>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6496"/>
        <c:crosses val="max"/>
        <c:crossBetween val="between"/>
        <c:majorUnit val="2"/>
      </c:valAx>
      <c:spPr>
        <a:noFill/>
        <a:ln w="25400">
          <a:noFill/>
        </a:ln>
      </c:spPr>
    </c:plotArea>
    <c:legend>
      <c:legendPos val="r"/>
      <c:layout>
        <c:manualLayout>
          <c:xMode val="edge"/>
          <c:yMode val="edge"/>
          <c:x val="0.24513004056311141"/>
          <c:y val="0.85049973404490065"/>
          <c:w val="0.6363641476633601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Psiquiatrico
</a:t>
            </a:r>
          </a:p>
        </c:rich>
      </c:tx>
      <c:layout>
        <c:manualLayout>
          <c:xMode val="edge"/>
          <c:yMode val="edge"/>
          <c:x val="0.22025740351587891"/>
          <c:y val="3.6065573770491806E-2"/>
        </c:manualLayout>
      </c:layout>
      <c:overlay val="0"/>
      <c:spPr>
        <a:noFill/>
        <a:ln w="25400">
          <a:noFill/>
        </a:ln>
      </c:spPr>
    </c:title>
    <c:autoTitleDeleted val="0"/>
    <c:plotArea>
      <c:layout>
        <c:manualLayout>
          <c:layoutTarget val="inner"/>
          <c:xMode val="edge"/>
          <c:yMode val="edge"/>
          <c:x val="8.6816788409983831E-2"/>
          <c:y val="0.29180327868852457"/>
          <c:w val="0.83440579971817863"/>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'88'!$B$9:$B$18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'88'!$E$9:$E$18</c:f>
              <c:numCache>
                <c:formatCode>#,##0</c:formatCode>
                <c:ptCount val="10"/>
                <c:pt idx="0">
                  <c:v>931</c:v>
                </c:pt>
                <c:pt idx="1">
                  <c:v>1001</c:v>
                </c:pt>
                <c:pt idx="2">
                  <c:v>970</c:v>
                </c:pt>
                <c:pt idx="3">
                  <c:v>919</c:v>
                </c:pt>
                <c:pt idx="4">
                  <c:v>873</c:v>
                </c:pt>
                <c:pt idx="5">
                  <c:v>816</c:v>
                </c:pt>
                <c:pt idx="6">
                  <c:v>798</c:v>
                </c:pt>
                <c:pt idx="7">
                  <c:v>803</c:v>
                </c:pt>
                <c:pt idx="8">
                  <c:v>672</c:v>
                </c:pt>
                <c:pt idx="9">
                  <c:v>460</c:v>
                </c:pt>
              </c:numCache>
            </c:numRef>
          </c:val>
          <c:smooth val="0"/>
        </c:ser>
        <c:dLbls>
          <c:showLegendKey val="0"/>
          <c:showVal val="0"/>
          <c:showCatName val="0"/>
          <c:showSerName val="0"/>
          <c:showPercent val="0"/>
          <c:showBubbleSize val="0"/>
        </c:dLbls>
        <c:marker val="1"/>
        <c:smooth val="0"/>
        <c:axId val="283887672"/>
        <c:axId val="283888064"/>
      </c:lineChart>
      <c:lineChart>
        <c:grouping val="standard"/>
        <c:varyColors val="0"/>
        <c:ser>
          <c:idx val="0"/>
          <c:order val="1"/>
          <c:tx>
            <c:v>Promedio  de  Camas</c:v>
          </c:tx>
          <c:spPr>
            <a:ln w="25400">
              <a:solidFill>
                <a:srgbClr val="000080"/>
              </a:solidFill>
              <a:prstDash val="solid"/>
            </a:ln>
          </c:spPr>
          <c:marker>
            <c:symbol val="none"/>
          </c:marker>
          <c:cat>
            <c:numRef>
              <c:f>'88'!$C$9:$C$18</c:f>
              <c:numCache>
                <c:formatCode>General</c:formatCode>
                <c:ptCount val="10"/>
                <c:pt idx="0">
                  <c:v>354</c:v>
                </c:pt>
                <c:pt idx="1">
                  <c:v>354</c:v>
                </c:pt>
                <c:pt idx="2">
                  <c:v>354</c:v>
                </c:pt>
                <c:pt idx="3">
                  <c:v>354</c:v>
                </c:pt>
                <c:pt idx="4">
                  <c:v>354</c:v>
                </c:pt>
                <c:pt idx="5">
                  <c:v>354</c:v>
                </c:pt>
                <c:pt idx="6">
                  <c:v>354</c:v>
                </c:pt>
                <c:pt idx="7">
                  <c:v>354</c:v>
                </c:pt>
                <c:pt idx="8">
                  <c:v>354</c:v>
                </c:pt>
                <c:pt idx="9">
                  <c:v>354</c:v>
                </c:pt>
              </c:numCache>
            </c:numRef>
          </c:cat>
          <c:val>
            <c:numRef>
              <c:f>'88'!$D$9:$D$18</c:f>
              <c:numCache>
                <c:formatCode>General</c:formatCode>
                <c:ptCount val="10"/>
                <c:pt idx="0">
                  <c:v>320</c:v>
                </c:pt>
                <c:pt idx="1">
                  <c:v>329</c:v>
                </c:pt>
                <c:pt idx="2">
                  <c:v>321</c:v>
                </c:pt>
                <c:pt idx="3">
                  <c:v>321</c:v>
                </c:pt>
                <c:pt idx="4">
                  <c:v>321</c:v>
                </c:pt>
                <c:pt idx="5">
                  <c:v>315</c:v>
                </c:pt>
                <c:pt idx="6">
                  <c:v>305</c:v>
                </c:pt>
                <c:pt idx="7" formatCode="0">
                  <c:v>291.84109589041094</c:v>
                </c:pt>
                <c:pt idx="8" formatCode="0">
                  <c:v>281.75890410958903</c:v>
                </c:pt>
                <c:pt idx="9" formatCode="0">
                  <c:v>272.96712328767126</c:v>
                </c:pt>
              </c:numCache>
            </c:numRef>
          </c:val>
          <c:smooth val="0"/>
        </c:ser>
        <c:dLbls>
          <c:showLegendKey val="0"/>
          <c:showVal val="0"/>
          <c:showCatName val="0"/>
          <c:showSerName val="0"/>
          <c:showPercent val="0"/>
          <c:showBubbleSize val="0"/>
        </c:dLbls>
        <c:marker val="1"/>
        <c:smooth val="0"/>
        <c:axId val="283888456"/>
        <c:axId val="283888848"/>
      </c:lineChart>
      <c:catAx>
        <c:axId val="2838876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1.4469453376205787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8064"/>
        <c:crosses val="autoZero"/>
        <c:auto val="0"/>
        <c:lblAlgn val="ctr"/>
        <c:lblOffset val="100"/>
        <c:tickLblSkip val="1"/>
        <c:tickMarkSkip val="1"/>
        <c:noMultiLvlLbl val="0"/>
      </c:catAx>
      <c:valAx>
        <c:axId val="283888064"/>
        <c:scaling>
          <c:orientation val="minMax"/>
          <c:max val="1100"/>
          <c:min val="6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7672"/>
        <c:crosses val="autoZero"/>
        <c:crossBetween val="between"/>
        <c:majorUnit val="100"/>
        <c:minorUnit val="100"/>
      </c:valAx>
      <c:catAx>
        <c:axId val="28388845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514536969052495"/>
              <c:y val="0.19016393442623244"/>
            </c:manualLayout>
          </c:layout>
          <c:overlay val="0"/>
          <c:spPr>
            <a:noFill/>
            <a:ln w="25400">
              <a:noFill/>
            </a:ln>
          </c:spPr>
        </c:title>
        <c:numFmt formatCode="General" sourceLinked="1"/>
        <c:majorTickMark val="out"/>
        <c:minorTickMark val="none"/>
        <c:tickLblPos val="nextTo"/>
        <c:crossAx val="283888848"/>
        <c:crosses val="autoZero"/>
        <c:auto val="0"/>
        <c:lblAlgn val="ctr"/>
        <c:lblOffset val="100"/>
        <c:noMultiLvlLbl val="0"/>
      </c:catAx>
      <c:valAx>
        <c:axId val="283888848"/>
        <c:scaling>
          <c:orientation val="minMax"/>
          <c:max val="400"/>
          <c:min val="28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8456"/>
        <c:crosses val="max"/>
        <c:crossBetween val="between"/>
        <c:majorUnit val="30"/>
      </c:valAx>
      <c:spPr>
        <a:noFill/>
        <a:ln w="25400">
          <a:noFill/>
        </a:ln>
      </c:spPr>
    </c:plotArea>
    <c:legend>
      <c:legendPos val="r"/>
      <c:layout>
        <c:manualLayout>
          <c:xMode val="edge"/>
          <c:yMode val="edge"/>
          <c:x val="0.18327991155447337"/>
          <c:y val="0.83606557377049184"/>
          <c:w val="0.63022558675343165"/>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Psiquiatrico
</a:t>
            </a:r>
          </a:p>
        </c:rich>
      </c:tx>
      <c:layout>
        <c:manualLayout>
          <c:xMode val="edge"/>
          <c:yMode val="edge"/>
          <c:x val="0.22455590466377487"/>
          <c:y val="3.6544850498338874E-2"/>
        </c:manualLayout>
      </c:layout>
      <c:overlay val="0"/>
      <c:spPr>
        <a:noFill/>
        <a:ln w="25400">
          <a:noFill/>
        </a:ln>
      </c:spPr>
    </c:title>
    <c:autoTitleDeleted val="0"/>
    <c:plotArea>
      <c:layout>
        <c:manualLayout>
          <c:layoutTarget val="inner"/>
          <c:xMode val="edge"/>
          <c:yMode val="edge"/>
          <c:x val="8.7237548621097546E-2"/>
          <c:y val="0.29568154277658909"/>
          <c:w val="0.8093705899845999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'88'!$B$9:$B$18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'88'!$F$9:$F$18</c:f>
              <c:numCache>
                <c:formatCode>#,##0.0</c:formatCode>
                <c:ptCount val="10"/>
                <c:pt idx="0">
                  <c:v>95.278808501906596</c:v>
                </c:pt>
                <c:pt idx="1">
                  <c:v>92.909454061251665</c:v>
                </c:pt>
                <c:pt idx="2">
                  <c:v>94.783931363919919</c:v>
                </c:pt>
                <c:pt idx="3">
                  <c:v>97.723320831912716</c:v>
                </c:pt>
                <c:pt idx="4">
                  <c:v>94.702699930771004</c:v>
                </c:pt>
                <c:pt idx="5">
                  <c:v>91.686256072715878</c:v>
                </c:pt>
                <c:pt idx="6">
                  <c:v>92.121043215592493</c:v>
                </c:pt>
                <c:pt idx="7">
                  <c:v>95.530500741630846</c:v>
                </c:pt>
                <c:pt idx="8">
                  <c:v>96.811613932051117</c:v>
                </c:pt>
                <c:pt idx="9">
                  <c:v>93.145845252075119</c:v>
                </c:pt>
              </c:numCache>
            </c:numRef>
          </c:val>
          <c:smooth val="0"/>
        </c:ser>
        <c:dLbls>
          <c:showLegendKey val="0"/>
          <c:showVal val="0"/>
          <c:showCatName val="0"/>
          <c:showSerName val="0"/>
          <c:showPercent val="0"/>
          <c:showBubbleSize val="0"/>
        </c:dLbls>
        <c:marker val="1"/>
        <c:smooth val="0"/>
        <c:axId val="283889632"/>
        <c:axId val="283890024"/>
      </c:lineChart>
      <c:lineChart>
        <c:grouping val="standard"/>
        <c:varyColors val="0"/>
        <c:ser>
          <c:idx val="0"/>
          <c:order val="1"/>
          <c:tx>
            <c:v>Promedio</c:v>
          </c:tx>
          <c:spPr>
            <a:ln w="25400">
              <a:solidFill>
                <a:srgbClr val="000080"/>
              </a:solidFill>
              <a:prstDash val="solid"/>
            </a:ln>
          </c:spPr>
          <c:marker>
            <c:symbol val="none"/>
          </c:marker>
          <c:cat>
            <c:numRef>
              <c:f>'88'!$G$9:$G$18</c:f>
              <c:numCache>
                <c:formatCode>0.00</c:formatCode>
                <c:ptCount val="10"/>
                <c:pt idx="0">
                  <c:v>136.72073039742213</c:v>
                </c:pt>
                <c:pt idx="1">
                  <c:v>117.18181818181819</c:v>
                </c:pt>
                <c:pt idx="2">
                  <c:v>121.99072164948454</c:v>
                </c:pt>
                <c:pt idx="3">
                  <c:v>127.86289445048966</c:v>
                </c:pt>
                <c:pt idx="4">
                  <c:v>124.78006872852234</c:v>
                </c:pt>
                <c:pt idx="5">
                  <c:v>239.3517156862745</c:v>
                </c:pt>
                <c:pt idx="6">
                  <c:v>183.6015037593985</c:v>
                </c:pt>
                <c:pt idx="7">
                  <c:v>136.93275217932751</c:v>
                </c:pt>
                <c:pt idx="8">
                  <c:v>131.2202380952381</c:v>
                </c:pt>
                <c:pt idx="9">
                  <c:v>143.63043478260869</c:v>
                </c:pt>
              </c:numCache>
            </c:numRef>
          </c:cat>
          <c:val>
            <c:numRef>
              <c:f>'88'!$G$9:$G$18</c:f>
              <c:numCache>
                <c:formatCode>0.00</c:formatCode>
                <c:ptCount val="10"/>
                <c:pt idx="0">
                  <c:v>136.72073039742213</c:v>
                </c:pt>
                <c:pt idx="1">
                  <c:v>117.18181818181819</c:v>
                </c:pt>
                <c:pt idx="2">
                  <c:v>121.99072164948454</c:v>
                </c:pt>
                <c:pt idx="3">
                  <c:v>127.86289445048966</c:v>
                </c:pt>
                <c:pt idx="4">
                  <c:v>124.78006872852234</c:v>
                </c:pt>
                <c:pt idx="5">
                  <c:v>239.3517156862745</c:v>
                </c:pt>
                <c:pt idx="6">
                  <c:v>183.6015037593985</c:v>
                </c:pt>
                <c:pt idx="7">
                  <c:v>136.93275217932751</c:v>
                </c:pt>
                <c:pt idx="8">
                  <c:v>131.2202380952381</c:v>
                </c:pt>
                <c:pt idx="9">
                  <c:v>143.63043478260869</c:v>
                </c:pt>
              </c:numCache>
            </c:numRef>
          </c:val>
          <c:smooth val="0"/>
        </c:ser>
        <c:dLbls>
          <c:showLegendKey val="0"/>
          <c:showVal val="0"/>
          <c:showCatName val="0"/>
          <c:showSerName val="0"/>
          <c:showPercent val="0"/>
          <c:showBubbleSize val="0"/>
        </c:dLbls>
        <c:marker val="1"/>
        <c:smooth val="0"/>
        <c:axId val="283890416"/>
        <c:axId val="283265544"/>
      </c:lineChart>
      <c:catAx>
        <c:axId val="283889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9386106623586741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90024"/>
        <c:crosses val="autoZero"/>
        <c:auto val="0"/>
        <c:lblAlgn val="ctr"/>
        <c:lblOffset val="100"/>
        <c:tickLblSkip val="1"/>
        <c:tickMarkSkip val="1"/>
        <c:noMultiLvlLbl val="0"/>
      </c:catAx>
      <c:valAx>
        <c:axId val="283890024"/>
        <c:scaling>
          <c:orientation val="minMax"/>
          <c:max val="100"/>
          <c:min val="8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89632"/>
        <c:crosses val="autoZero"/>
        <c:crossBetween val="between"/>
        <c:majorUnit val="5"/>
        <c:minorUnit val="5"/>
      </c:valAx>
      <c:catAx>
        <c:axId val="28389041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23754764903594"/>
              <c:y val="0.19269137869394232"/>
            </c:manualLayout>
          </c:layout>
          <c:overlay val="0"/>
          <c:spPr>
            <a:noFill/>
            <a:ln w="25400">
              <a:noFill/>
            </a:ln>
          </c:spPr>
        </c:title>
        <c:numFmt formatCode="0.00" sourceLinked="1"/>
        <c:majorTickMark val="out"/>
        <c:minorTickMark val="none"/>
        <c:tickLblPos val="nextTo"/>
        <c:crossAx val="283265544"/>
        <c:crosses val="autoZero"/>
        <c:auto val="0"/>
        <c:lblAlgn val="ctr"/>
        <c:lblOffset val="100"/>
        <c:noMultiLvlLbl val="0"/>
      </c:catAx>
      <c:valAx>
        <c:axId val="283265544"/>
        <c:scaling>
          <c:orientation val="minMax"/>
          <c:max val="340"/>
          <c:min val="9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83890416"/>
        <c:crosses val="max"/>
        <c:crossBetween val="between"/>
        <c:majorUnit val="50"/>
      </c:valAx>
      <c:spPr>
        <a:noFill/>
        <a:ln w="25400">
          <a:noFill/>
        </a:ln>
      </c:spPr>
    </c:plotArea>
    <c:legend>
      <c:legendPos val="r"/>
      <c:layout>
        <c:manualLayout>
          <c:xMode val="edge"/>
          <c:yMode val="edge"/>
          <c:x val="0.22778692243437271"/>
          <c:y val="0.85049973404490065"/>
          <c:w val="0.6332799918588536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4" Type="http://schemas.openxmlformats.org/officeDocument/2006/relationships/chart" Target="../charts/chart77.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51882</xdr:colOff>
      <xdr:row>1</xdr:row>
      <xdr:rowOff>64851</xdr:rowOff>
    </xdr:from>
    <xdr:to>
      <xdr:col>10</xdr:col>
      <xdr:colOff>518810</xdr:colOff>
      <xdr:row>29</xdr:row>
      <xdr:rowOff>159695</xdr:rowOff>
    </xdr:to>
    <xdr:sp macro="" textlink="">
      <xdr:nvSpPr>
        <xdr:cNvPr id="2" name="1 CuadroTexto"/>
        <xdr:cNvSpPr txBox="1"/>
      </xdr:nvSpPr>
      <xdr:spPr>
        <a:xfrm>
          <a:off x="416669" y="226979"/>
          <a:ext cx="8532779" cy="9944099"/>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r>
            <a:rPr lang="es-ES" sz="800">
              <a:effectLst/>
              <a:latin typeface="Arial"/>
              <a:ea typeface="Times New Roman"/>
              <a:cs typeface="Times New Roman"/>
            </a:rPr>
            <a:t>	   MINISTERIO DE SALUD</a:t>
          </a:r>
          <a:endParaRPr lang="es-CL" sz="8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8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800">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0"/>
            </a:spcAft>
          </a:pPr>
          <a:r>
            <a:rPr lang="es-ES_tradnl" sz="1200" b="1">
              <a:effectLst/>
              <a:latin typeface="Arial"/>
              <a:ea typeface="Calibri"/>
              <a:cs typeface="Times New Roman"/>
            </a:rPr>
            <a:t>MEMORIA ESTADISTICA SERVICIO DE SALUD ACONCAGUA 2011-2020</a:t>
          </a:r>
          <a:endParaRPr lang="es-CL" sz="1200">
            <a:effectLst/>
            <a:latin typeface="Verdana"/>
            <a:ea typeface="Times New Roman"/>
            <a:cs typeface="Times New Roman"/>
          </a:endParaRPr>
        </a:p>
        <a:p>
          <a:pPr algn="ctr">
            <a:lnSpc>
              <a:spcPct val="150000"/>
            </a:lnSpc>
            <a:spcAft>
              <a:spcPts val="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PROLOGO</a:t>
          </a:r>
          <a:endParaRPr lang="es-CL" sz="1100">
            <a:effectLst/>
            <a:latin typeface="Verdana"/>
            <a:ea typeface="Times New Roman"/>
            <a:cs typeface="Times New Roman"/>
          </a:endParaRPr>
        </a:p>
        <a:p>
          <a:pPr algn="ctr">
            <a:lnSpc>
              <a:spcPct val="150000"/>
            </a:lnSpc>
            <a:spcAft>
              <a:spcPts val="100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Valle del Aconcagua,  tierras de  sol y aire puro, de campos y cordillera,  de artesanos; de  vegetación silvestre, de uvas y duraznos que porfían al secano  y de nieves en estado virgen, trepadas en la cima de  las montañas.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Es en este valle, que acoge al afuerino para quedarse, donde extiende sus redes el Servicio de Salud Aconcagua, uno de los  29 Servicios que conforman el Sistema Nacional de Salud y constituye uno de los tres Servicios de la  Región de Valparaíso,  los que, en conjunto, satisfacen la demanda de salud pública de casi dos millones de  habitantes.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Corresponde a este   Servicio de Salud cubrir las necesidades de salud de las personas de  las 10 comunas del Valle del Aconcagua, las que conglomeradas en dos provincias: San Felipe y Los Andes, representan el 15% de la población de la Región y en una superficie de 5.700 kilómetros cuadrados, ocupan el 35% del territorio regional.</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Tiene por misión ser  “un Servicio Público que contribuye a mejorar el nivel de salud de las personas del Valle de Aconcagua, a través del desarrollo de una Red Asistencial coordinada e integrada” y concibe como visión   “ser una  Red Asistencial de excelencia, que otorgue servicios altamente valorados por  los  usuarios y su grupo familiar, con un equipo  de  trabajo competente, innovador, participativo e integrado con la comunidad."</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Para contribuir al cumplimiento de dicha misión y su perspectiva  hacia la excelencia, se desarrolla esta Memoria Estadística.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Pretende ser  una valiosa herramienta para el necesario  diagnostico en salud, compilando información básica, antecedentes biogeográficos 2011-2020  y las atenciones de salud entregadas a las personas del valle en los últimos cuatro años.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Cumplirá ese cometido, cada vez que el equipo de salud revise su contenido, extraiga datos, los convierta en información que fundamente su acción.</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100">
            <a:effectLst/>
            <a:latin typeface="Verdana"/>
            <a:ea typeface="Times New Roman"/>
            <a:cs typeface="Times New Roman"/>
          </a:endParaRPr>
        </a:p>
        <a:p>
          <a:pPr marL="2697480" indent="449580" algn="just">
            <a:spcAft>
              <a:spcPts val="0"/>
            </a:spcAft>
          </a:pPr>
          <a:r>
            <a:rPr lang="es-CL" sz="1100" b="1">
              <a:effectLst/>
              <a:latin typeface="Arial"/>
              <a:ea typeface="Calibri"/>
              <a:cs typeface="Times New Roman"/>
            </a:rPr>
            <a:t>GUILLERMO PINTO  M.</a:t>
          </a:r>
          <a:endParaRPr lang="es-CL" sz="1100">
            <a:effectLst/>
            <a:latin typeface="Verdana"/>
            <a:ea typeface="Times New Roman"/>
            <a:cs typeface="Times New Roman"/>
          </a:endParaRPr>
        </a:p>
        <a:p>
          <a:pPr marL="2247900" indent="449580" algn="just">
            <a:spcAft>
              <a:spcPts val="0"/>
            </a:spcAft>
          </a:pPr>
          <a:r>
            <a:rPr lang="es-ES" sz="1100" b="1">
              <a:effectLst/>
              <a:latin typeface="Arial"/>
              <a:ea typeface="Calibri"/>
              <a:cs typeface="Times New Roman"/>
            </a:rPr>
            <a:t>    SERVICIO DE SALUD ACONCAGUA</a:t>
          </a:r>
          <a:r>
            <a:rPr lang="es-ES" sz="1100">
              <a:effectLst/>
              <a:latin typeface="Arial"/>
              <a:ea typeface="Calibri"/>
              <a:cs typeface="Times New Roman"/>
            </a:rPr>
            <a:t> 	</a:t>
          </a:r>
          <a:endParaRPr lang="es-CL" sz="1100">
            <a:effectLst/>
            <a:latin typeface="Verdana"/>
            <a:ea typeface="Times New Roman"/>
            <a:cs typeface="Times New Roman"/>
          </a:endParaRPr>
        </a:p>
        <a:p>
          <a:pPr marL="2247900" indent="44958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San Felipe, Septiembre   2021.</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xdr:txBody>
    </xdr:sp>
    <xdr:clientData/>
  </xdr:twoCellAnchor>
  <xdr:twoCellAnchor editAs="oneCell">
    <xdr:from>
      <xdr:col>1</xdr:col>
      <xdr:colOff>64649</xdr:colOff>
      <xdr:row>1</xdr:row>
      <xdr:rowOff>90589</xdr:rowOff>
    </xdr:from>
    <xdr:to>
      <xdr:col>1</xdr:col>
      <xdr:colOff>1059302</xdr:colOff>
      <xdr:row>5</xdr:row>
      <xdr:rowOff>1217</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43" y="260823"/>
          <a:ext cx="994653" cy="74558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0.98796</cdr:y>
    </cdr:to>
    <cdr:sp macro="" textlink="">
      <cdr:nvSpPr>
        <cdr:cNvPr id="8195" name="Text Box 3"/>
        <cdr:cNvSpPr txBox="1">
          <a:spLocks xmlns:a="http://schemas.openxmlformats.org/drawingml/2006/main" noChangeArrowheads="1"/>
        </cdr:cNvSpPr>
      </cdr:nvSpPr>
      <cdr:spPr bwMode="auto">
        <a:xfrm xmlns:a="http://schemas.openxmlformats.org/drawingml/2006/main">
          <a:off x="108098" y="7787296"/>
          <a:ext cx="845410" cy="242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950" b="1" i="0" strike="noStrike">
              <a:solidFill>
                <a:srgbClr val="000000"/>
              </a:solidFill>
              <a:latin typeface="Arial"/>
              <a:cs typeface="Arial"/>
            </a:rPr>
            <a:t>Fuente :  INE</a:t>
          </a: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2020</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1</cdr:y>
    </cdr:to>
    <cdr:sp macro="" textlink="">
      <cdr:nvSpPr>
        <cdr:cNvPr id="8195" name="Text Box 3"/>
        <cdr:cNvSpPr txBox="1">
          <a:spLocks xmlns:a="http://schemas.openxmlformats.org/drawingml/2006/main" noChangeArrowheads="1"/>
        </cdr:cNvSpPr>
      </cdr:nvSpPr>
      <cdr:spPr bwMode="auto">
        <a:xfrm xmlns:a="http://schemas.openxmlformats.org/drawingml/2006/main">
          <a:off x="104695" y="7775025"/>
          <a:ext cx="843603" cy="340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800" b="1" i="0" strike="noStrike">
              <a:solidFill>
                <a:srgbClr val="000000"/>
              </a:solidFill>
              <a:latin typeface="Arial"/>
              <a:cs typeface="Arial"/>
            </a:rPr>
            <a:t>Fuente :  INE censo</a:t>
          </a:r>
          <a:r>
            <a:rPr lang="es-ES" sz="800" b="1" i="0" strike="noStrike" baseline="0">
              <a:solidFill>
                <a:srgbClr val="000000"/>
              </a:solidFill>
              <a:latin typeface="Arial"/>
              <a:cs typeface="Arial"/>
            </a:rPr>
            <a:t> 2019</a:t>
          </a:r>
          <a:endParaRPr lang="es-ES" sz="800" b="1" i="0" strike="noStrike">
            <a:solidFill>
              <a:srgbClr val="000000"/>
            </a:solidFill>
            <a:latin typeface="Arial"/>
            <a:cs typeface="Arial"/>
          </a:endParaRP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xdr:from>
      <xdr:col>0</xdr:col>
      <xdr:colOff>381000</xdr:colOff>
      <xdr:row>28</xdr:row>
      <xdr:rowOff>0</xdr:rowOff>
    </xdr:from>
    <xdr:to>
      <xdr:col>9</xdr:col>
      <xdr:colOff>447675</xdr:colOff>
      <xdr:row>49</xdr:row>
      <xdr:rowOff>9525</xdr:rowOff>
    </xdr:to>
    <xdr:graphicFrame macro="">
      <xdr:nvGraphicFramePr>
        <xdr:cNvPr id="654950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28</xdr:row>
      <xdr:rowOff>0</xdr:rowOff>
    </xdr:from>
    <xdr:to>
      <xdr:col>9</xdr:col>
      <xdr:colOff>447675</xdr:colOff>
      <xdr:row>49</xdr:row>
      <xdr:rowOff>9525</xdr:rowOff>
    </xdr:to>
    <xdr:graphicFrame macro="">
      <xdr:nvGraphicFramePr>
        <xdr:cNvPr id="654950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676275</xdr:colOff>
      <xdr:row>37</xdr:row>
      <xdr:rowOff>152400</xdr:rowOff>
    </xdr:from>
    <xdr:to>
      <xdr:col>6</xdr:col>
      <xdr:colOff>304800</xdr:colOff>
      <xdr:row>50</xdr:row>
      <xdr:rowOff>152400</xdr:rowOff>
    </xdr:to>
    <xdr:graphicFrame macro="">
      <xdr:nvGraphicFramePr>
        <xdr:cNvPr id="654991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676275</xdr:colOff>
      <xdr:row>37</xdr:row>
      <xdr:rowOff>152400</xdr:rowOff>
    </xdr:from>
    <xdr:to>
      <xdr:col>6</xdr:col>
      <xdr:colOff>304800</xdr:colOff>
      <xdr:row>50</xdr:row>
      <xdr:rowOff>152400</xdr:rowOff>
    </xdr:to>
    <xdr:graphicFrame macro="">
      <xdr:nvGraphicFramePr>
        <xdr:cNvPr id="65499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5.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247650</xdr:colOff>
      <xdr:row>24</xdr:row>
      <xdr:rowOff>9525</xdr:rowOff>
    </xdr:from>
    <xdr:to>
      <xdr:col>5</xdr:col>
      <xdr:colOff>409575</xdr:colOff>
      <xdr:row>38</xdr:row>
      <xdr:rowOff>19050</xdr:rowOff>
    </xdr:to>
    <xdr:graphicFrame macro="">
      <xdr:nvGraphicFramePr>
        <xdr:cNvPr id="65504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0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24</xdr:row>
      <xdr:rowOff>9525</xdr:rowOff>
    </xdr:from>
    <xdr:to>
      <xdr:col>5</xdr:col>
      <xdr:colOff>409575</xdr:colOff>
      <xdr:row>38</xdr:row>
      <xdr:rowOff>19050</xdr:rowOff>
    </xdr:to>
    <xdr:graphicFrame macro="">
      <xdr:nvGraphicFramePr>
        <xdr:cNvPr id="65504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8.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563880</xdr:colOff>
      <xdr:row>1</xdr:row>
      <xdr:rowOff>76200</xdr:rowOff>
    </xdr:from>
    <xdr:to>
      <xdr:col>10</xdr:col>
      <xdr:colOff>171450</xdr:colOff>
      <xdr:row>67</xdr:row>
      <xdr:rowOff>28575</xdr:rowOff>
    </xdr:to>
    <xdr:sp macro="" textlink="">
      <xdr:nvSpPr>
        <xdr:cNvPr id="2" name="1 CuadroTexto"/>
        <xdr:cNvSpPr txBox="1"/>
      </xdr:nvSpPr>
      <xdr:spPr>
        <a:xfrm>
          <a:off x="563880" y="400050"/>
          <a:ext cx="8732520" cy="126206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a:effectLst/>
              <a:latin typeface="Arial"/>
              <a:ea typeface="Calibri"/>
              <a:cs typeface="Times New Roman"/>
            </a:rPr>
            <a:t> </a:t>
          </a:r>
          <a:r>
            <a:rPr lang="es-ES_tradnl" sz="1100" b="1">
              <a:effectLst/>
              <a:latin typeface="Arial"/>
              <a:ea typeface="Calibri"/>
              <a:cs typeface="Times New Roman"/>
            </a:rPr>
            <a:t>MEMORIA ESTADISTICA SERVICIO DE SALUD ACONCAGUA  2011-2020</a:t>
          </a:r>
        </a:p>
        <a:p>
          <a:pPr algn="ctr">
            <a:lnSpc>
              <a:spcPct val="150000"/>
            </a:lnSpc>
            <a:spcAft>
              <a:spcPts val="0"/>
            </a:spcAft>
          </a:pPr>
          <a:endParaRPr lang="es-ES_tradnl" sz="1100" b="1">
            <a:effectLst/>
            <a:latin typeface="Arial"/>
            <a:ea typeface="Calibri"/>
            <a:cs typeface="Times New Roman"/>
          </a:endParaRPr>
        </a:p>
        <a:p>
          <a:pPr algn="ctr">
            <a:lnSpc>
              <a:spcPct val="150000"/>
            </a:lnSpc>
            <a:spcAft>
              <a:spcPts val="1000"/>
            </a:spcAft>
          </a:pPr>
          <a:r>
            <a:rPr lang="es-ES_tradnl" sz="1100" b="1">
              <a:effectLst/>
              <a:latin typeface="Arial"/>
              <a:ea typeface="Calibri"/>
              <a:cs typeface="Times New Roman"/>
            </a:rPr>
            <a:t>CAPITULO  II     INDICADORES BIODEMOGRAFICOS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NATALIDAD:</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nacidos vivos por cada 1000 habitantes. En nuestro Servicio de Salud se  observa un  descenso  significativo  de la natalidad  desde  el  año  2011 (13,8 %</a:t>
          </a:r>
          <a:r>
            <a:rPr lang="es-ES_tradnl" sz="800">
              <a:effectLst/>
              <a:latin typeface="Arial"/>
              <a:ea typeface="Calibri"/>
              <a:cs typeface="Times New Roman"/>
            </a:rPr>
            <a:t>o</a:t>
          </a:r>
          <a:r>
            <a:rPr lang="es-ES_tradnl" sz="1100">
              <a:effectLst/>
              <a:latin typeface="Arial"/>
              <a:ea typeface="Calibri"/>
              <a:cs typeface="Times New Roman"/>
            </a:rPr>
            <a:t>)  al  2020 (9,2 %</a:t>
          </a:r>
          <a:r>
            <a:rPr lang="es-ES_tradnl" sz="800">
              <a:effectLst/>
              <a:latin typeface="Arial"/>
              <a:ea typeface="Calibri"/>
              <a:cs typeface="Times New Roman"/>
            </a:rPr>
            <a:t>o</a:t>
          </a:r>
          <a:r>
            <a:rPr lang="es-ES_tradnl" sz="1100">
              <a:effectLst/>
              <a:latin typeface="Arial"/>
              <a:ea typeface="Calibri"/>
              <a:cs typeface="Times New Roman"/>
            </a:rPr>
            <a:t>). Lo  mismo  ocurre en   la  Región  de Valparaíso y el país. (pag.18)</a:t>
          </a:r>
        </a:p>
        <a:p>
          <a:pPr algn="just">
            <a:lnSpc>
              <a:spcPct val="150000"/>
            </a:lnSpc>
            <a:spcAft>
              <a:spcPts val="1000"/>
            </a:spcAft>
          </a:pPr>
          <a:r>
            <a:rPr lang="es-ES_tradnl" sz="1100">
              <a:effectLst/>
              <a:latin typeface="Arial"/>
              <a:ea typeface="Calibri"/>
              <a:cs typeface="Times New Roman"/>
            </a:rPr>
            <a:t>De acuerdo a las últimas publicaciones sobre estadísticas vitales, Chile se aleja de sus pares de la región y se acerca más a Europa en lo que se refiere a los niveles de natalidad, los que además están por debajo de la tasa de reposición (fertilidad).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NEONATAL:</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fallecidos  menores de 28 días/ por mil nacidos vivos.  En el  período  2011-2020  en  el  SSA, este indicador muestra una curva fluctuante, con tasas que se ubican por encima de las tasas nacionales. En el SSA la tasa más alta del período se produjo el 2012, alcanzando un 7,3%</a:t>
          </a:r>
          <a:r>
            <a:rPr lang="es-ES_tradnl" sz="800">
              <a:effectLst/>
              <a:latin typeface="Arial"/>
              <a:ea typeface="Calibri"/>
              <a:cs typeface="Times New Roman"/>
            </a:rPr>
            <a:t>o</a:t>
          </a:r>
          <a:r>
            <a:rPr lang="es-ES_tradnl" sz="1100">
              <a:effectLst/>
              <a:latin typeface="Arial"/>
              <a:ea typeface="Calibri"/>
              <a:cs typeface="Times New Roman"/>
            </a:rPr>
            <a:t>. El mismo año, la comuna con la mayor  tasa corresponde a Calle Larga: 15,6%</a:t>
          </a:r>
          <a:r>
            <a:rPr lang="es-ES_tradnl" sz="800">
              <a:effectLst/>
              <a:latin typeface="Arial"/>
              <a:ea typeface="Calibri"/>
              <a:cs typeface="Times New Roman"/>
            </a:rPr>
            <a:t>o</a:t>
          </a:r>
          <a:r>
            <a:rPr lang="es-ES_tradnl" sz="1100">
              <a:effectLst/>
              <a:latin typeface="Arial"/>
              <a:ea typeface="Calibri"/>
              <a:cs typeface="Times New Roman"/>
            </a:rPr>
            <a:t> con tres neonatos fallecidos. (pag.22).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INFANTIL:</a:t>
          </a:r>
          <a:r>
            <a:rPr lang="es-ES_tradnl" sz="1100">
              <a:effectLst/>
              <a:latin typeface="Arial"/>
              <a:ea typeface="Calibri"/>
              <a:cs typeface="Times New Roman"/>
            </a:rPr>
            <a:t>	  </a:t>
          </a:r>
          <a:endParaRPr lang="es-CL" sz="1000">
            <a:effectLst/>
            <a:latin typeface="Verdana"/>
            <a:ea typeface="Times New Roman"/>
            <a:cs typeface="Times New Roman"/>
          </a:endParaRPr>
        </a:p>
        <a:p>
          <a:pPr algn="l">
            <a:lnSpc>
              <a:spcPct val="150000"/>
            </a:lnSpc>
            <a:spcAft>
              <a:spcPts val="1000"/>
            </a:spcAft>
          </a:pPr>
          <a:r>
            <a:rPr lang="es-ES_tradnl" sz="1100">
              <a:effectLst/>
              <a:latin typeface="Arial"/>
              <a:ea typeface="Calibri"/>
              <a:cs typeface="Times New Roman"/>
            </a:rPr>
            <a:t>La tasa de  Mortalidad Infantil  se constituye por los fallecidos menores de 1 año, sobre el total de nacidos vivos. Se presenta en el periodo  2011-2020,  en  el  SSA, como una  curva fluctuante por debajo de las tasas nacionales, sin embargo, se aprecia  un decrecimiento de un 21,8 % entre el inicio del periodo (7,8 %</a:t>
          </a:r>
          <a:r>
            <a:rPr lang="es-ES_tradnl" sz="800">
              <a:effectLst/>
              <a:latin typeface="Arial"/>
              <a:ea typeface="Calibri"/>
              <a:cs typeface="Times New Roman"/>
            </a:rPr>
            <a:t>o</a:t>
          </a:r>
          <a:r>
            <a:rPr lang="es-ES_tradnl" sz="1100">
              <a:effectLst/>
              <a:latin typeface="Arial"/>
              <a:ea typeface="Calibri"/>
              <a:cs typeface="Times New Roman"/>
            </a:rPr>
            <a:t>)  y el 2020 (6,1 %</a:t>
          </a:r>
          <a:r>
            <a:rPr lang="es-ES_tradnl" sz="800">
              <a:effectLst/>
              <a:latin typeface="Arial"/>
              <a:ea typeface="Calibri"/>
              <a:cs typeface="Times New Roman"/>
            </a:rPr>
            <a:t>o</a:t>
          </a:r>
          <a:r>
            <a:rPr lang="es-ES_tradnl" sz="1100">
              <a:effectLst/>
              <a:latin typeface="Arial"/>
              <a:ea typeface="Calibri"/>
              <a:cs typeface="Times New Roman"/>
            </a:rPr>
            <a:t>).  Se obserban las comunas de Calle Larga(16,1%</a:t>
          </a:r>
          <a:r>
            <a:rPr lang="es-ES_tradnl" sz="800">
              <a:effectLst/>
              <a:latin typeface="Arial"/>
              <a:ea typeface="Calibri"/>
              <a:cs typeface="Times New Roman"/>
            </a:rPr>
            <a:t>o   </a:t>
          </a:r>
          <a:r>
            <a:rPr lang="es-ES_tradnl" sz="1100">
              <a:effectLst/>
              <a:latin typeface="Arial"/>
              <a:ea typeface="Calibri"/>
              <a:cs typeface="Times New Roman"/>
            </a:rPr>
            <a:t>baja a 0,0 </a:t>
          </a:r>
          <a:r>
            <a:rPr lang="es-ES_tradnl" sz="1100" baseline="40000">
              <a:effectLst/>
              <a:latin typeface="Arial"/>
              <a:ea typeface="Calibri"/>
              <a:cs typeface="Times New Roman"/>
            </a:rPr>
            <a:t>0</a:t>
          </a:r>
          <a:r>
            <a:rPr lang="es-ES_tradnl" sz="1100" baseline="0">
              <a:effectLst/>
              <a:latin typeface="Arial"/>
              <a:ea typeface="Calibri"/>
              <a:cs typeface="Times New Roman"/>
            </a:rPr>
            <a:t>/</a:t>
          </a:r>
          <a:r>
            <a:rPr lang="es-ES_tradnl" sz="1100" baseline="10000">
              <a:effectLst/>
              <a:latin typeface="Arial"/>
              <a:ea typeface="Calibri"/>
              <a:cs typeface="Times New Roman"/>
            </a:rPr>
            <a:t>00 </a:t>
          </a:r>
          <a:r>
            <a:rPr lang="es-ES_tradnl" sz="1100" baseline="0">
              <a:effectLst/>
              <a:latin typeface="Arial"/>
              <a:ea typeface="Calibri"/>
              <a:cs typeface="Times New Roman"/>
            </a:rPr>
            <a:t> el 2020 </a:t>
          </a:r>
          <a:r>
            <a:rPr lang="es-ES_tradnl" sz="1100">
              <a:effectLst/>
              <a:latin typeface="Arial"/>
              <a:ea typeface="Calibri"/>
              <a:cs typeface="Times New Roman"/>
            </a:rPr>
            <a:t>y  Putaendo(0 casos el 2020),   (pag.24).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 MORTALIDAD MATERNA: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Número de mujeres fallecidas, en período de embarazo y perinatal (hasta 40 días) por cada  10.000 nacidos  vivos.  Si bien, se presenta oscilante en el período, con años sin ocurrencia de casos, se aprecia una baja significativa en el periodo en estudio, de un </a:t>
          </a:r>
          <a:r>
            <a:rPr lang="es-ES" sz="1100" baseline="0">
              <a:effectLst/>
              <a:latin typeface="Arial"/>
              <a:ea typeface="Calibri"/>
              <a:cs typeface="Times New Roman"/>
            </a:rPr>
            <a:t>0,0%</a:t>
          </a:r>
          <a:r>
            <a:rPr lang="es-ES" sz="800" baseline="0">
              <a:effectLst/>
              <a:latin typeface="Arial"/>
              <a:ea typeface="Calibri"/>
              <a:cs typeface="Times New Roman"/>
            </a:rPr>
            <a:t>o</a:t>
          </a:r>
          <a:r>
            <a:rPr lang="es-ES" sz="800">
              <a:effectLst/>
              <a:latin typeface="Arial"/>
              <a:ea typeface="Calibri"/>
              <a:cs typeface="Times New Roman"/>
            </a:rPr>
            <a:t> </a:t>
          </a:r>
          <a:r>
            <a:rPr lang="es-ES" sz="1100">
              <a:effectLst/>
              <a:latin typeface="Arial"/>
              <a:ea typeface="Calibri"/>
              <a:cs typeface="Times New Roman"/>
            </a:rPr>
            <a:t>el 2011</a:t>
          </a:r>
          <a:r>
            <a:rPr lang="es-ES" sz="800">
              <a:effectLst/>
              <a:latin typeface="Arial"/>
              <a:ea typeface="Calibri"/>
              <a:cs typeface="Times New Roman"/>
            </a:rPr>
            <a:t>  </a:t>
          </a:r>
          <a:r>
            <a:rPr lang="es-ES" sz="1100">
              <a:effectLst/>
              <a:latin typeface="Arial"/>
              <a:ea typeface="Calibri"/>
              <a:cs typeface="Times New Roman"/>
            </a:rPr>
            <a:t>a  0</a:t>
          </a:r>
          <a:r>
            <a:rPr lang="es-ES" sz="800">
              <a:effectLst/>
              <a:latin typeface="Arial"/>
              <a:ea typeface="Calibri"/>
              <a:cs typeface="Times New Roman"/>
            </a:rPr>
            <a:t> </a:t>
          </a:r>
          <a:r>
            <a:rPr lang="es-ES" sz="1100">
              <a:effectLst/>
              <a:latin typeface="Arial"/>
              <a:ea typeface="Calibri"/>
              <a:cs typeface="Times New Roman"/>
            </a:rPr>
            <a:t>el 2020, (pag.25).</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GENERAL: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Mortalidad General corresponde al total de fallecidos por cada mil habitantes. El   periodo  2011 - 2020  en  el  SSA, muestra una tendencia constante,  similar a la curva nacional. El   2020 se aprecia un   incremento que alcanza a 6,9%</a:t>
          </a:r>
          <a:r>
            <a:rPr lang="es-ES_tradnl" sz="800">
              <a:effectLst/>
              <a:latin typeface="Arial"/>
              <a:ea typeface="Calibri"/>
              <a:cs typeface="Times New Roman"/>
            </a:rPr>
            <a:t>o</a:t>
          </a:r>
          <a:r>
            <a:rPr lang="es-ES_tradnl" sz="1100">
              <a:effectLst/>
              <a:latin typeface="Arial"/>
              <a:ea typeface="Calibri"/>
              <a:cs typeface="Times New Roman"/>
            </a:rPr>
            <a:t>, correspondiendo a la tasa más alta del período, por efecto  del  covid 19.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Destaca la comuna de Putaendo con las tasas más alta del período, un 8,5 %</a:t>
          </a:r>
          <a:r>
            <a:rPr lang="es-ES_tradnl" sz="800">
              <a:effectLst/>
              <a:latin typeface="Arial"/>
              <a:ea typeface="Calibri"/>
              <a:cs typeface="Times New Roman"/>
            </a:rPr>
            <a:t>o</a:t>
          </a:r>
          <a:r>
            <a:rPr lang="es-ES_tradnl" sz="1100">
              <a:effectLst/>
              <a:latin typeface="Arial"/>
              <a:ea typeface="Calibri"/>
              <a:cs typeface="Times New Roman"/>
            </a:rPr>
            <a:t> el año 2015   y un 8,1 %</a:t>
          </a:r>
          <a:r>
            <a:rPr lang="es-ES_tradnl" sz="800">
              <a:effectLst/>
              <a:latin typeface="Arial"/>
              <a:ea typeface="Calibri"/>
              <a:cs typeface="Times New Roman"/>
            </a:rPr>
            <a:t>o</a:t>
          </a:r>
          <a:r>
            <a:rPr lang="es-ES_tradnl" sz="1100">
              <a:effectLst/>
              <a:latin typeface="Arial"/>
              <a:ea typeface="Calibri"/>
              <a:cs typeface="Times New Roman"/>
            </a:rPr>
            <a:t> el año 2020.   (pag.26)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POR GRUPOS DE CAUSAS: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panose="020B0604020202020204" pitchFamily="34" charset="0"/>
              <a:ea typeface="Calibri"/>
              <a:cs typeface="Arial" panose="020B0604020202020204" pitchFamily="34" charset="0"/>
            </a:rPr>
            <a:t>Las causas de mortalidad con mayores tasas corresponden, </a:t>
          </a:r>
          <a:r>
            <a:rPr lang="es-ES_tradnl" sz="1100">
              <a:solidFill>
                <a:schemeClr val="dk1"/>
              </a:solidFill>
              <a:effectLst/>
              <a:latin typeface="Arial" panose="020B0604020202020204" pitchFamily="34" charset="0"/>
              <a:ea typeface="+mn-ea"/>
              <a:cs typeface="Arial" panose="020B0604020202020204" pitchFamily="34" charset="0"/>
            </a:rPr>
            <a:t>en primer lugar enfermedades del aparato circulatorio con 1,98%o, ,luego </a:t>
          </a:r>
          <a:r>
            <a:rPr lang="es-ES_tradnl" sz="1100">
              <a:effectLst/>
              <a:latin typeface="Arial" panose="020B0604020202020204" pitchFamily="34" charset="0"/>
              <a:ea typeface="Calibri"/>
              <a:cs typeface="Arial" panose="020B0604020202020204" pitchFamily="34" charset="0"/>
            </a:rPr>
            <a:t>en segundo lugar al grupo de </a:t>
          </a:r>
          <a:r>
            <a:rPr lang="es-ES_tradnl" sz="800">
              <a:effectLst/>
              <a:latin typeface="Arial" panose="020B0604020202020204" pitchFamily="34" charset="0"/>
              <a:ea typeface="Calibri"/>
              <a:cs typeface="Arial" panose="020B0604020202020204" pitchFamily="34" charset="0"/>
            </a:rPr>
            <a:t>. </a:t>
          </a:r>
          <a:r>
            <a:rPr lang="es-ES_tradnl" sz="1100">
              <a:solidFill>
                <a:schemeClr val="dk1"/>
              </a:solidFill>
              <a:effectLst/>
              <a:latin typeface="Arial" panose="020B0604020202020204" pitchFamily="34" charset="0"/>
              <a:ea typeface="+mn-ea"/>
              <a:cs typeface="Arial" panose="020B0604020202020204" pitchFamily="34" charset="0"/>
            </a:rPr>
            <a:t>los tumores con un 1,45%o </a:t>
          </a:r>
          <a:r>
            <a:rPr lang="es-ES_tradnl" sz="800">
              <a:effectLst/>
              <a:latin typeface="Arial" panose="020B0604020202020204" pitchFamily="34" charset="0"/>
              <a:ea typeface="Calibri"/>
              <a:cs typeface="Arial" panose="020B0604020202020204" pitchFamily="34" charset="0"/>
            </a:rPr>
            <a:t>  </a:t>
          </a:r>
          <a:r>
            <a:rPr lang="es-ES_tradnl" sz="1100">
              <a:effectLst/>
              <a:latin typeface="Arial" panose="020B0604020202020204" pitchFamily="34" charset="0"/>
              <a:ea typeface="Calibri"/>
              <a:cs typeface="Arial" panose="020B0604020202020204" pitchFamily="34" charset="0"/>
            </a:rPr>
            <a:t>El grupo de    enfermedades  mal  definidas  bajo  respecto al año anterior.(pag.28</a:t>
          </a:r>
          <a:r>
            <a:rPr lang="es-ES_tradnl" sz="1100">
              <a:effectLst/>
              <a:latin typeface="Arial"/>
              <a:ea typeface="Calibri"/>
              <a:cs typeface="Times New Roman"/>
            </a:rPr>
            <a:t>)</a:t>
          </a:r>
        </a:p>
        <a:p>
          <a:pPr algn="just">
            <a:lnSpc>
              <a:spcPct val="150000"/>
            </a:lnSpc>
            <a:spcAft>
              <a:spcPts val="1000"/>
            </a:spcAft>
          </a:pPr>
          <a:r>
            <a:rPr lang="es-ES_tradnl" sz="1100">
              <a:effectLst/>
              <a:latin typeface="Arial"/>
              <a:ea typeface="Calibri"/>
              <a:cs typeface="Times New Roman"/>
            </a:rPr>
            <a:t>	</a:t>
          </a: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632460</xdr:colOff>
      <xdr:row>3</xdr:row>
      <xdr:rowOff>60960</xdr:rowOff>
    </xdr:from>
    <xdr:to>
      <xdr:col>1</xdr:col>
      <xdr:colOff>754380</xdr:colOff>
      <xdr:row>5</xdr:row>
      <xdr:rowOff>221615</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 y="716280"/>
          <a:ext cx="914400" cy="6559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114300</xdr:rowOff>
    </xdr:from>
    <xdr:to>
      <xdr:col>11</xdr:col>
      <xdr:colOff>609600</xdr:colOff>
      <xdr:row>136</xdr:row>
      <xdr:rowOff>107949</xdr:rowOff>
    </xdr:to>
    <xdr:sp macro="" textlink="">
      <xdr:nvSpPr>
        <xdr:cNvPr id="2" name="1 CuadroTexto"/>
        <xdr:cNvSpPr txBox="1"/>
      </xdr:nvSpPr>
      <xdr:spPr>
        <a:xfrm>
          <a:off x="533400" y="273050"/>
          <a:ext cx="8458200" cy="21443949"/>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b="1">
              <a:effectLst/>
              <a:latin typeface="Arial"/>
              <a:ea typeface="Calibri"/>
              <a:cs typeface="Times New Roman"/>
            </a:rPr>
            <a:t>MEMORIA ESTADISTICA SERVICIO DE SALUD ACONCAGUA 2011-2020</a:t>
          </a:r>
        </a:p>
        <a:p>
          <a:pPr algn="ctr">
            <a:lnSpc>
              <a:spcPct val="150000"/>
            </a:lnSpc>
            <a:spcAft>
              <a:spcPts val="0"/>
            </a:spcAft>
          </a:pPr>
          <a:endParaRPr lang="es-CL" sz="11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CAPITULO  I     INFORMACION BASICA</a:t>
          </a:r>
        </a:p>
        <a:p>
          <a:pPr algn="ctr">
            <a:lnSpc>
              <a:spcPct val="150000"/>
            </a:lnSpc>
            <a:spcAft>
              <a:spcPts val="1000"/>
            </a:spcAft>
          </a:pP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Servicio de Salud Aconcagua (SSA), se ubica en la Región de Valparaíso, a los pies de la cordillera de Los Andes a  80 kilómetros al noreste de Santiago y a 120 km al este de Valparaíso, en el hermoso  Valle del Aconcagua, tierra aún fértil  y generosa  a pesar de estos tiempos en que la naturaleza escatima el agua. Sus habitantes se dedican  a la fruticultura, la ganadería, la agroindustria, en especial a las faenas de packing de frutas de exportación (uvas, duraznos, ciruelas y  kiwis) y el secado de frutas. En menor escala,   a la elaboración industrial y artesanal de vinos y licores a través de plantas semi industriales y artesanales.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Sigue siendo importante para este valle la actividad minera,  especialmente la extracción de cobre.   Por otro lado, ha tenido un  aumento de escuelas y universidades además de los comercios establecidos como bancos, supermercados y multitiendas.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Con un clima de tipo mediterráneo, presenta dos  estaciones muy marcadas, un  frío invierno con temperaturas bajo 0° C, y un verano muy caluroso con máximas que alcanzan fácilmente los 32° C.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Otro aspecto que caracteriza a esta tierra es haber acogido al ejercito libertador en la lucha por la independencia de Chile, testigo de ello  son los hoy declarados  monumentos nacionales como el árbol en donde Don José de San Martín amarró su caballo, hoy en día ubicado en plena plaza de armas de Putaendo, otros como el Salto del Soldado y el Combate de Guardia</a:t>
          </a:r>
          <a:r>
            <a:rPr lang="es-ES" sz="1000">
              <a:effectLst/>
              <a:latin typeface="Verdana"/>
              <a:ea typeface="Times New Roman"/>
              <a:cs typeface="Times New Roman"/>
            </a:rPr>
            <a:t> </a:t>
          </a:r>
          <a:r>
            <a:rPr lang="es-ES" sz="1100">
              <a:effectLst/>
              <a:latin typeface="Arial"/>
              <a:ea typeface="Calibri"/>
              <a:cs typeface="Times New Roman"/>
            </a:rPr>
            <a:t>Vieja,  ubicados camino a la cordillera de Los Andes y, en plena cumbre, el significativo Cristo Redentor, señala el límite fronterizo con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Posee una buena red de accesibilidad que  lo ubica en una situación privilegiada, desarrollando interrelaciones funcionales especialmente con Santiago y en un grado menor con Valparaíso y también posee una directa conexión con la república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Territorialmente, el SSA comprende las provincias de Los Andes y San Felipe, reuniendo en conjunto 10 comunas, cuatro pertenecientes a la Provincia de Los Andes: Calle Larga, Rinconada. San Esteban y Los Andes y seis comunas que conforman la Provincia de San Felipe: Catemu, Llay Llay, Panquehue, Putaendo, Santa María y San Felipe.</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AREA GEOGRAFICA Y DISTANCIAS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Se extiende en   una superficie de 5.676,4  kilómetros cuadrados, correspondiendo a un 35% de la superficie total de la Región de Valparaíso. La provincia de Los Andes ocupa un área levemente mayor (3.077,6 km</a:t>
          </a:r>
          <a:r>
            <a:rPr lang="es-ES" sz="800">
              <a:effectLst/>
              <a:latin typeface="Arial"/>
              <a:ea typeface="Calibri"/>
              <a:cs typeface="Times New Roman"/>
            </a:rPr>
            <a:t>2</a:t>
          </a:r>
          <a:r>
            <a:rPr lang="es-ES" sz="1100">
              <a:effectLst/>
              <a:latin typeface="Arial"/>
              <a:ea typeface="Calibri"/>
              <a:cs typeface="Times New Roman"/>
            </a:rPr>
            <a:t>) que la de San Felipe (2.598,8 km</a:t>
          </a:r>
          <a:r>
            <a:rPr lang="es-ES" sz="800">
              <a:effectLst/>
              <a:latin typeface="Arial"/>
              <a:ea typeface="Calibri"/>
              <a:cs typeface="Times New Roman"/>
            </a:rPr>
            <a:t>2</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este territorio geográfico, la localidad más distante a un centro de salud corresponde a Rio Blanco en la provincia de Los Andes, la que se ubica a 30 kilómetros del CESFAM Centenario y a 31 del hospital San Juan de Dios de Los Andes. Le siguen en distancia, Quebrada Herrera a 27 km del hospital San Camilo de San Felipe y Cerrillos a 21 km del hospital  San francisco de Llay Llay. (pág. 5-6)Todas cuentan con redes viales apropiadas.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CARACTERISTICAS DE LA POBLACION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 283.366 habitantes,  el SSA posee el 15% de la población de la Región de Valparaíso. Distribuidos por provincia: 116.481 en Los Andes y 166.885 en San Felipe.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Comprende un total de 10 comunas, siendo la más pequeña en cuanto a población, la comuna de Panquehue con 7.633 habitantes y la más grande, San Felipe con 83.494 habitantes.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índice de ruralidad alcanza al 23,4% y la densidad a 49,9 (hab. / Km</a:t>
          </a:r>
          <a:r>
            <a:rPr lang="es-ES" sz="800">
              <a:effectLst/>
              <a:latin typeface="Arial"/>
              <a:ea typeface="Calibri"/>
              <a:cs typeface="Times New Roman"/>
            </a:rPr>
            <a:t>2</a:t>
          </a:r>
          <a:r>
            <a:rPr lang="es-ES" sz="11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población por grupos de edad, se distribuye con un perfil similar a la población nacional,</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en 25 años, “de pirámide a jarrón”, en donde las mayores proporciones se ubican en los grupos de 20 a 44 años (36%), 45 a 64 años (24,1%) y 65 y más (13,1%).  El grupo menor a cinco años alcanza al 6,5%.</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crecimiento vegetativo (diferencia entre la tasa de natalidad y de mortalidad) ha descendido de 0,87 a 0,23% en el período 2011-2020. Se observan diferencias importantes por comunas, es así como la comuna de Putaendo presenta los índices de  crecimiento más bajos, alcanzando el 2019 a un 0,14%. La comuna de Calle Larga  por su parte, ostenta los índices más alto (1,21% el 2015). (Pag.11).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índice de vejez (población &gt;65 / población &lt;15) ha incrementado un 27,2% desde el 2014 al 2020, configurando este último año un 64.3%.(Pág. 12)</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La fecundidad (partos/mujeres de 15 a 49 años) presenta un promedio del 37,6%</a:t>
          </a:r>
          <a:r>
            <a:rPr lang="es-ES" sz="800">
              <a:effectLst/>
              <a:latin typeface="Arial"/>
              <a:ea typeface="Calibri"/>
              <a:cs typeface="Times New Roman"/>
            </a:rPr>
            <a:t>o</a:t>
          </a:r>
          <a:r>
            <a:rPr lang="es-ES" sz="1100">
              <a:effectLst/>
              <a:latin typeface="Arial"/>
              <a:ea typeface="Calibri"/>
              <a:cs typeface="Times New Roman"/>
            </a:rPr>
            <a:t> en el período (Pág. 13). Para el 2020 la tasa más alta se registró en la comuna de Putaendo: 43.3%</a:t>
          </a:r>
          <a:r>
            <a:rPr lang="es-ES" sz="800">
              <a:effectLst/>
              <a:latin typeface="Arial"/>
              <a:ea typeface="Calibri"/>
              <a:cs typeface="Times New Roman"/>
            </a:rPr>
            <a:t>o</a:t>
          </a:r>
          <a:r>
            <a:rPr lang="es-ES" sz="1100">
              <a:effectLst/>
              <a:latin typeface="Arial"/>
              <a:ea typeface="Calibri"/>
              <a:cs typeface="Times New Roman"/>
            </a:rPr>
            <a:t> y la más baja, en el comuna de San Esteban : 31,6%</a:t>
          </a:r>
          <a:r>
            <a:rPr lang="es-ES" sz="800">
              <a:effectLst/>
              <a:latin typeface="Arial"/>
              <a:ea typeface="Calibri"/>
              <a:cs typeface="Times New Roman"/>
            </a:rPr>
            <a:t>o</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 </a:t>
          </a:r>
          <a:r>
            <a:rPr lang="es-ES" sz="1100" b="1">
              <a:effectLst/>
              <a:latin typeface="Arial"/>
              <a:ea typeface="Calibri"/>
              <a:cs typeface="Times New Roman"/>
            </a:rPr>
            <a:t>RECURSOS DE LA RED ACONCAGUA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INFRAESTRUCTURA: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Conformada por 36 entidades   distribuidas en las siguientes categorías, de menor a mayor complejidad: 10 Postas de Salud Rural, 6 CECOF, 8 CESFAM Rural, 5 CESFAM Urbano, 2 COSAM, 2 Hospitales tipo 4, 1 Hospital tipo 3 y 2 Hospitales tipo 2.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Los hospitales tipo 2: San Camilo de San Felipe (HSC)  y San Juan de Dios de Los Andes (HLA) cuentan con las especialidades básicas (Medicina, Pediatría, Cirugía y Ginecobstetricia) además con</a:t>
          </a:r>
          <a:r>
            <a:rPr lang="es-ES" sz="1000">
              <a:effectLst/>
              <a:latin typeface="Verdana"/>
              <a:ea typeface="Times New Roman"/>
              <a:cs typeface="Times New Roman"/>
            </a:rPr>
            <a:t> </a:t>
          </a:r>
          <a:r>
            <a:rPr lang="es-ES" sz="1100">
              <a:effectLst/>
              <a:latin typeface="Arial"/>
              <a:ea typeface="Calibri"/>
              <a:cs typeface="Times New Roman"/>
            </a:rPr>
            <a:t>Cardiología, Otorrinolaringología, Gastroenterología, Odontología  y  diferentes especialidades distribuidas como polos de desarrollo: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HSC: Neurología, Neurocirugía, Neonatología y Oftalmología. Además, cuenta con Unidades de Cuidados Intensivos Adultos, Pediátrica y de Neonatología y Unidad de Anatomía Patológica.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HLA: Dermatología, Urología, Traumatología y Cirugía Maxilofacial. Además con una Unidad de Intermedios Adultos.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Complementa esta estructura, el Servicio de atención pre hospitalaria de urgencia SAMU, en Red para toda la jurisdicción del SSA.</a:t>
          </a:r>
          <a:endParaRPr lang="es-CL" sz="1000">
            <a:effectLst/>
            <a:latin typeface="Verdana"/>
            <a:ea typeface="Times New Roman"/>
            <a:cs typeface="Times New Roman"/>
          </a:endParaRPr>
        </a:p>
        <a:p>
          <a:pPr algn="just">
            <a:lnSpc>
              <a:spcPct val="150000"/>
            </a:lnSpc>
            <a:spcAft>
              <a:spcPts val="0"/>
            </a:spcAft>
          </a:pPr>
          <a:r>
            <a:rPr lang="es-ES" sz="1100">
              <a:solidFill>
                <a:sysClr val="windowText" lastClr="000000"/>
              </a:solidFill>
              <a:effectLst/>
              <a:latin typeface="Arial"/>
              <a:ea typeface="Calibri"/>
              <a:cs typeface="Times New Roman"/>
            </a:rPr>
            <a:t>La dotación de camas alcanza a 817, de las cuales 279 corresponden a Medico Quirúrgicas Básicas, 58 a Maternidad, 23 a Pediatría Básica y 16 a Recién Nacido Cuna. </a:t>
          </a:r>
        </a:p>
        <a:p>
          <a:pPr algn="just">
            <a:lnSpc>
              <a:spcPct val="150000"/>
            </a:lnSpc>
            <a:spcAft>
              <a:spcPts val="0"/>
            </a:spcAft>
          </a:pPr>
          <a:r>
            <a:rPr lang="es-ES" sz="1100">
              <a:solidFill>
                <a:sysClr val="windowText" lastClr="000000"/>
              </a:solidFill>
              <a:effectLst/>
              <a:latin typeface="Arial"/>
              <a:ea typeface="Calibri"/>
              <a:cs typeface="Times New Roman"/>
            </a:rPr>
            <a:t>En relación a camas críticas: </a:t>
          </a:r>
        </a:p>
        <a:p>
          <a:pPr algn="just">
            <a:lnSpc>
              <a:spcPct val="150000"/>
            </a:lnSpc>
            <a:spcAft>
              <a:spcPts val="0"/>
            </a:spcAft>
          </a:pPr>
          <a:r>
            <a:rPr lang="es-ES" sz="1100">
              <a:solidFill>
                <a:sysClr val="windowText" lastClr="000000"/>
              </a:solidFill>
              <a:effectLst/>
              <a:latin typeface="Arial"/>
              <a:ea typeface="Calibri"/>
              <a:cs typeface="Times New Roman"/>
            </a:rPr>
            <a:t>18 a Unidad de Paciente Critico (UPC)  Adulto, de las cuales 6 son de UCI.</a:t>
          </a:r>
        </a:p>
        <a:p>
          <a:pPr algn="just">
            <a:lnSpc>
              <a:spcPct val="150000"/>
            </a:lnSpc>
            <a:spcAft>
              <a:spcPts val="0"/>
            </a:spcAft>
          </a:pPr>
          <a:r>
            <a:rPr lang="es-ES" sz="1100">
              <a:solidFill>
                <a:sysClr val="windowText" lastClr="000000"/>
              </a:solidFill>
              <a:effectLst/>
              <a:latin typeface="Arial"/>
              <a:ea typeface="Calibri"/>
              <a:cs typeface="Times New Roman"/>
            </a:rPr>
            <a:t>17 a UPC de Neonatología, de ellas 7 son de UCI.</a:t>
          </a: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RECURSOS HUMANOS: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del Servicio de Salud Aconcagua, comprende al 2020  un total de 2.873 funcionarios. De ellos, 2.348 corresponden a la Ley 18.834;  414  a la Ley 19.664 y  111  a la Ley 15.076. </a:t>
          </a:r>
        </a:p>
        <a:p>
          <a:pPr algn="just">
            <a:lnSpc>
              <a:spcPct val="150000"/>
            </a:lnSpc>
            <a:spcAft>
              <a:spcPts val="0"/>
            </a:spcAft>
          </a:pPr>
          <a:r>
            <a:rPr lang="es-ES" sz="1100">
              <a:effectLst/>
              <a:latin typeface="Arial"/>
              <a:ea typeface="Calibri"/>
              <a:cs typeface="Times New Roman"/>
            </a:rPr>
            <a:t>El mayor número de funcionarios corresponde a Técnicos: 914 (31,8%)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 la Red Municipal  alcanza el 2020  a  998  personas de los diferentes estamentos.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número total de médicos, considerando la dotación del SSA y la Red Municipal, alcanza el  2020  a  523 profesionales.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579120</xdr:colOff>
      <xdr:row>3</xdr:row>
      <xdr:rowOff>121920</xdr:rowOff>
    </xdr:from>
    <xdr:to>
      <xdr:col>1</xdr:col>
      <xdr:colOff>701040</xdr:colOff>
      <xdr:row>7</xdr:row>
      <xdr:rowOff>106680</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 y="624840"/>
          <a:ext cx="914400" cy="6553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28575</xdr:colOff>
      <xdr:row>29</xdr:row>
      <xdr:rowOff>133350</xdr:rowOff>
    </xdr:from>
    <xdr:to>
      <xdr:col>19</xdr:col>
      <xdr:colOff>47625</xdr:colOff>
      <xdr:row>55</xdr:row>
      <xdr:rowOff>19050</xdr:rowOff>
    </xdr:to>
    <xdr:graphicFrame macro="">
      <xdr:nvGraphicFramePr>
        <xdr:cNvPr id="65508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0.1149</cdr:x>
      <cdr:y>0.01171</cdr:y>
    </cdr:from>
    <cdr:to>
      <cdr:x>0.97127</cdr:x>
      <cdr:y>0.2093</cdr:y>
    </cdr:to>
    <cdr:sp macro="" textlink="">
      <cdr:nvSpPr>
        <cdr:cNvPr id="23553" name="Text Box 1"/>
        <cdr:cNvSpPr txBox="1">
          <a:spLocks xmlns:a="http://schemas.openxmlformats.org/drawingml/2006/main" noChangeArrowheads="1"/>
        </cdr:cNvSpPr>
      </cdr:nvSpPr>
      <cdr:spPr bwMode="auto">
        <a:xfrm xmlns:a="http://schemas.openxmlformats.org/drawingml/2006/main">
          <a:off x="609600" y="47960"/>
          <a:ext cx="4543425" cy="809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1">
            <a:defRPr sz="1000"/>
          </a:pPr>
          <a:r>
            <a:rPr lang="es-ES" sz="1600" b="1" i="0" strike="noStrike">
              <a:solidFill>
                <a:srgbClr val="000000"/>
              </a:solidFill>
              <a:latin typeface="Arial"/>
              <a:cs typeface="Arial"/>
            </a:rPr>
            <a:t>TASA </a:t>
          </a:r>
          <a:r>
            <a:rPr lang="es-ES" sz="1400" b="1" i="0" strike="noStrike">
              <a:solidFill>
                <a:srgbClr val="000000"/>
              </a:solidFill>
              <a:latin typeface="Arial"/>
              <a:cs typeface="Arial"/>
            </a:rPr>
            <a:t>NATALIDAD</a:t>
          </a:r>
          <a:r>
            <a:rPr lang="es-ES" sz="1600" b="1" i="0" strike="noStrike">
              <a:solidFill>
                <a:srgbClr val="000000"/>
              </a:solidFill>
              <a:latin typeface="Arial"/>
              <a:cs typeface="Arial"/>
            </a:rPr>
            <a:t> PAIS </a:t>
          </a:r>
          <a:r>
            <a:rPr lang="es-ES" sz="1400" b="1" i="0" strike="noStrike">
              <a:solidFill>
                <a:srgbClr val="000000"/>
              </a:solidFill>
              <a:latin typeface="Arial"/>
              <a:cs typeface="Arial"/>
            </a:rPr>
            <a:t>REGION</a:t>
          </a:r>
          <a:r>
            <a:rPr lang="es-ES" sz="1600" b="1" i="0" strike="noStrike">
              <a:solidFill>
                <a:srgbClr val="000000"/>
              </a:solidFill>
              <a:latin typeface="Arial"/>
              <a:cs typeface="Arial"/>
            </a:rPr>
            <a:t> SERV. SALUD</a:t>
          </a:r>
        </a:p>
        <a:p xmlns:a="http://schemas.openxmlformats.org/drawingml/2006/main">
          <a:pPr algn="ctr" rtl="1">
            <a:defRPr sz="1000"/>
          </a:pPr>
          <a:r>
            <a:rPr lang="es-ES" sz="1600" b="1" i="0" strike="noStrike">
              <a:solidFill>
                <a:srgbClr val="000000"/>
              </a:solidFill>
              <a:latin typeface="Arial"/>
              <a:cs typeface="Arial"/>
            </a:rPr>
            <a:t>AÑOS  2011 - 2020 (tasas  x 1000 hb.)</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371475</xdr:colOff>
      <xdr:row>32</xdr:row>
      <xdr:rowOff>142875</xdr:rowOff>
    </xdr:from>
    <xdr:to>
      <xdr:col>20</xdr:col>
      <xdr:colOff>9525</xdr:colOff>
      <xdr:row>58</xdr:row>
      <xdr:rowOff>0</xdr:rowOff>
    </xdr:to>
    <xdr:graphicFrame macro="">
      <xdr:nvGraphicFramePr>
        <xdr:cNvPr id="655114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29</xdr:row>
      <xdr:rowOff>152400</xdr:rowOff>
    </xdr:from>
    <xdr:to>
      <xdr:col>18</xdr:col>
      <xdr:colOff>371475</xdr:colOff>
      <xdr:row>56</xdr:row>
      <xdr:rowOff>19050</xdr:rowOff>
    </xdr:to>
    <xdr:graphicFrame macro="">
      <xdr:nvGraphicFramePr>
        <xdr:cNvPr id="65514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31</xdr:row>
      <xdr:rowOff>152400</xdr:rowOff>
    </xdr:from>
    <xdr:to>
      <xdr:col>18</xdr:col>
      <xdr:colOff>209550</xdr:colOff>
      <xdr:row>55</xdr:row>
      <xdr:rowOff>0</xdr:rowOff>
    </xdr:to>
    <xdr:graphicFrame macro="">
      <xdr:nvGraphicFramePr>
        <xdr:cNvPr id="655175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31</xdr:row>
      <xdr:rowOff>142875</xdr:rowOff>
    </xdr:from>
    <xdr:to>
      <xdr:col>21</xdr:col>
      <xdr:colOff>152400</xdr:colOff>
      <xdr:row>55</xdr:row>
      <xdr:rowOff>19050</xdr:rowOff>
    </xdr:to>
    <xdr:graphicFrame macro="">
      <xdr:nvGraphicFramePr>
        <xdr:cNvPr id="65520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333374</xdr:colOff>
      <xdr:row>31</xdr:row>
      <xdr:rowOff>114300</xdr:rowOff>
    </xdr:from>
    <xdr:to>
      <xdr:col>21</xdr:col>
      <xdr:colOff>19049</xdr:colOff>
      <xdr:row>55</xdr:row>
      <xdr:rowOff>0</xdr:rowOff>
    </xdr:to>
    <xdr:graphicFrame macro="">
      <xdr:nvGraphicFramePr>
        <xdr:cNvPr id="655237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29</xdr:row>
      <xdr:rowOff>142875</xdr:rowOff>
    </xdr:from>
    <xdr:to>
      <xdr:col>20</xdr:col>
      <xdr:colOff>361950</xdr:colOff>
      <xdr:row>53</xdr:row>
      <xdr:rowOff>38100</xdr:rowOff>
    </xdr:to>
    <xdr:graphicFrame macro="">
      <xdr:nvGraphicFramePr>
        <xdr:cNvPr id="655268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19051</xdr:colOff>
      <xdr:row>31</xdr:row>
      <xdr:rowOff>9525</xdr:rowOff>
    </xdr:from>
    <xdr:to>
      <xdr:col>18</xdr:col>
      <xdr:colOff>171451</xdr:colOff>
      <xdr:row>54</xdr:row>
      <xdr:rowOff>28575</xdr:rowOff>
    </xdr:to>
    <xdr:graphicFrame macro="">
      <xdr:nvGraphicFramePr>
        <xdr:cNvPr id="65529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32</xdr:row>
      <xdr:rowOff>152400</xdr:rowOff>
    </xdr:from>
    <xdr:to>
      <xdr:col>19</xdr:col>
      <xdr:colOff>238125</xdr:colOff>
      <xdr:row>55</xdr:row>
      <xdr:rowOff>152400</xdr:rowOff>
    </xdr:to>
    <xdr:graphicFrame macro="">
      <xdr:nvGraphicFramePr>
        <xdr:cNvPr id="655329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595838</xdr:colOff>
      <xdr:row>4</xdr:row>
      <xdr:rowOff>0</xdr:rowOff>
    </xdr:from>
    <xdr:to>
      <xdr:col>12</xdr:col>
      <xdr:colOff>122763</xdr:colOff>
      <xdr:row>37</xdr:row>
      <xdr:rowOff>93662</xdr:rowOff>
    </xdr:to>
    <xdr:pic>
      <xdr:nvPicPr>
        <xdr:cNvPr id="3" name="Picture 2" descr="Mapa V Región"/>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43838" y="647700"/>
          <a:ext cx="5622925" cy="6637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269523</xdr:colOff>
      <xdr:row>4</xdr:row>
      <xdr:rowOff>19613</xdr:rowOff>
    </xdr:from>
    <xdr:to>
      <xdr:col>3</xdr:col>
      <xdr:colOff>519467</xdr:colOff>
      <xdr:row>39</xdr:row>
      <xdr:rowOff>13263</xdr:rowOff>
    </xdr:to>
    <xdr:sp macro="" textlink="">
      <xdr:nvSpPr>
        <xdr:cNvPr id="4" name="Text Box 3"/>
        <xdr:cNvSpPr txBox="1">
          <a:spLocks noChangeArrowheads="1"/>
        </xdr:cNvSpPr>
      </xdr:nvSpPr>
      <xdr:spPr bwMode="auto">
        <a:xfrm rot="16203898">
          <a:off x="-1131093" y="3591929"/>
          <a:ext cx="6861175" cy="101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spcBef>
              <a:spcPct val="0"/>
            </a:spcBef>
            <a:buClrTx/>
            <a:buSzTx/>
            <a:buFontTx/>
            <a:buNone/>
          </a:pPr>
          <a:r>
            <a:rPr lang="es-ES_tradnl" altLang="es-CL" sz="1800">
              <a:solidFill>
                <a:srgbClr val="FF0000"/>
              </a:solidFill>
              <a:latin typeface="Tahoma" panose="020B0604030504040204" pitchFamily="34" charset="0"/>
            </a:rPr>
            <a:t>                      RED ASISTENCIAL QUINTA  REGIÓN</a:t>
          </a:r>
        </a:p>
        <a:p>
          <a:pPr eaLnBrk="1" hangingPunct="1">
            <a:spcBef>
              <a:spcPct val="0"/>
            </a:spcBef>
            <a:buClrTx/>
            <a:buSzTx/>
            <a:buFontTx/>
            <a:buNone/>
          </a:pPr>
          <a:r>
            <a:rPr lang="es-ES_tradnl" altLang="es-CL" sz="1800">
              <a:solidFill>
                <a:srgbClr val="FF0000"/>
              </a:solidFill>
              <a:latin typeface="Tahoma" panose="020B0604030504040204" pitchFamily="34" charset="0"/>
            </a:rPr>
            <a:t>                                          VALPARAISO</a:t>
          </a:r>
        </a:p>
        <a:p>
          <a:pPr algn="ctr">
            <a:lnSpc>
              <a:spcPct val="80000"/>
            </a:lnSpc>
            <a:spcBef>
              <a:spcPct val="50000"/>
            </a:spcBef>
            <a:buClrTx/>
            <a:buSzTx/>
            <a:buFontTx/>
            <a:buNone/>
          </a:pPr>
          <a:r>
            <a:rPr lang="es-ES_tradnl" altLang="es-CL" sz="1800">
              <a:solidFill>
                <a:srgbClr val="FF0000"/>
              </a:solidFill>
              <a:latin typeface="Tahoma" panose="020B0604030504040204" pitchFamily="34" charset="0"/>
            </a:rPr>
            <a:t>2020</a:t>
          </a:r>
        </a:p>
      </xdr:txBody>
    </xdr:sp>
    <xdr:clientData/>
  </xdr:twoCellAnchor>
  <xdr:twoCellAnchor>
    <xdr:from>
      <xdr:col>9</xdr:col>
      <xdr:colOff>529510</xdr:colOff>
      <xdr:row>22</xdr:row>
      <xdr:rowOff>0</xdr:rowOff>
    </xdr:from>
    <xdr:to>
      <xdr:col>11</xdr:col>
      <xdr:colOff>224710</xdr:colOff>
      <xdr:row>23</xdr:row>
      <xdr:rowOff>128636</xdr:rowOff>
    </xdr:to>
    <xdr:sp macro="" textlink="">
      <xdr:nvSpPr>
        <xdr:cNvPr id="5" name="Text Box 4"/>
        <xdr:cNvSpPr txBox="1">
          <a:spLocks noChangeArrowheads="1"/>
        </xdr:cNvSpPr>
      </xdr:nvSpPr>
      <xdr:spPr bwMode="auto">
        <a:xfrm>
          <a:off x="7387510" y="4673600"/>
          <a:ext cx="121920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283.366</a:t>
          </a:r>
        </a:p>
      </xdr:txBody>
    </xdr:sp>
    <xdr:clientData/>
  </xdr:twoCellAnchor>
  <xdr:twoCellAnchor>
    <xdr:from>
      <xdr:col>7</xdr:col>
      <xdr:colOff>758110</xdr:colOff>
      <xdr:row>6</xdr:row>
      <xdr:rowOff>152400</xdr:rowOff>
    </xdr:from>
    <xdr:to>
      <xdr:col>10</xdr:col>
      <xdr:colOff>258048</xdr:colOff>
      <xdr:row>8</xdr:row>
      <xdr:rowOff>100614</xdr:rowOff>
    </xdr:to>
    <xdr:sp macro="" textlink="">
      <xdr:nvSpPr>
        <xdr:cNvPr id="6" name="Text Box 5"/>
        <xdr:cNvSpPr txBox="1">
          <a:spLocks noChangeArrowheads="1"/>
        </xdr:cNvSpPr>
      </xdr:nvSpPr>
      <xdr:spPr bwMode="auto">
        <a:xfrm>
          <a:off x="6092110" y="1104900"/>
          <a:ext cx="1785938" cy="265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600">
              <a:latin typeface="Tahoma" panose="020B0604030504040204" pitchFamily="34" charset="0"/>
            </a:rPr>
            <a:t>1.141.286</a:t>
          </a:r>
        </a:p>
      </xdr:txBody>
    </xdr:sp>
    <xdr:clientData/>
  </xdr:twoCellAnchor>
  <xdr:twoCellAnchor>
    <xdr:from>
      <xdr:col>6</xdr:col>
      <xdr:colOff>758110</xdr:colOff>
      <xdr:row>35</xdr:row>
      <xdr:rowOff>49213</xdr:rowOff>
    </xdr:from>
    <xdr:to>
      <xdr:col>8</xdr:col>
      <xdr:colOff>453310</xdr:colOff>
      <xdr:row>37</xdr:row>
      <xdr:rowOff>19099</xdr:rowOff>
    </xdr:to>
    <xdr:sp macro="" textlink="">
      <xdr:nvSpPr>
        <xdr:cNvPr id="7" name="Text Box 6"/>
        <xdr:cNvSpPr txBox="1">
          <a:spLocks noChangeArrowheads="1"/>
        </xdr:cNvSpPr>
      </xdr:nvSpPr>
      <xdr:spPr bwMode="auto">
        <a:xfrm>
          <a:off x="5330110" y="6786563"/>
          <a:ext cx="121920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535.518</a:t>
          </a:r>
          <a:endParaRPr lang="es-ES_tradnl" altLang="es-CL" sz="1600">
            <a:latin typeface="Tahoma" panose="020B0604030504040204" pitchFamily="34" charset="0"/>
          </a:endParaRPr>
        </a:p>
      </xdr:txBody>
    </xdr:sp>
    <xdr:clientData/>
  </xdr:twoCellAnchor>
  <xdr:twoCellAnchor>
    <xdr:from>
      <xdr:col>8</xdr:col>
      <xdr:colOff>572373</xdr:colOff>
      <xdr:row>26</xdr:row>
      <xdr:rowOff>34925</xdr:rowOff>
    </xdr:from>
    <xdr:to>
      <xdr:col>13</xdr:col>
      <xdr:colOff>362823</xdr:colOff>
      <xdr:row>30</xdr:row>
      <xdr:rowOff>125413</xdr:rowOff>
    </xdr:to>
    <xdr:sp macro="" textlink="">
      <xdr:nvSpPr>
        <xdr:cNvPr id="8" name="Text Box 7"/>
        <xdr:cNvSpPr txBox="1">
          <a:spLocks noChangeArrowheads="1"/>
        </xdr:cNvSpPr>
      </xdr:nvSpPr>
      <xdr:spPr bwMode="auto">
        <a:xfrm>
          <a:off x="6668373" y="5445125"/>
          <a:ext cx="3600450" cy="738188"/>
        </a:xfrm>
        <a:prstGeom prst="rect">
          <a:avLst/>
        </a:prstGeom>
        <a:noFill/>
        <a:ln w="9525">
          <a:noFill/>
          <a:miter lim="800000"/>
          <a:headEnd/>
          <a:tailEnd/>
        </a:ln>
        <a:effectLst>
          <a:prstShdw prst="shdw17" dist="17961" dir="2700000">
            <a:schemeClr val="accent1">
              <a:gamma/>
              <a:shade val="60000"/>
              <a:invGamma/>
            </a:schemeClr>
          </a:prstShdw>
        </a:effec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defRPr/>
          </a:pPr>
          <a:r>
            <a:rPr lang="es-ES_tradnl" altLang="es-CL" sz="1400">
              <a:latin typeface="Arial" panose="020B0604020202020204" pitchFamily="34" charset="0"/>
              <a:cs typeface="Arial" panose="020B0604020202020204" pitchFamily="34" charset="0"/>
            </a:rPr>
            <a:t>Población Total      1.960.170</a:t>
          </a:r>
        </a:p>
        <a:p>
          <a:pPr eaLnBrk="1" hangingPunct="1">
            <a:defRPr/>
          </a:pPr>
          <a:r>
            <a:rPr lang="es-ES_tradnl" altLang="es-CL" sz="1400">
              <a:latin typeface="Arial" panose="020B0604020202020204" pitchFamily="34" charset="0"/>
              <a:cs typeface="Arial" panose="020B0604020202020204" pitchFamily="34" charset="0"/>
            </a:rPr>
            <a:t>Población Urbana  1.783.754    91%</a:t>
          </a:r>
        </a:p>
        <a:p>
          <a:pPr eaLnBrk="1" hangingPunct="1">
            <a:defRPr/>
          </a:pPr>
          <a:r>
            <a:rPr lang="es-ES_tradnl" altLang="es-CL" sz="1400">
              <a:latin typeface="Arial" panose="020B0604020202020204" pitchFamily="34" charset="0"/>
              <a:cs typeface="Arial" panose="020B0604020202020204" pitchFamily="34" charset="0"/>
            </a:rPr>
            <a:t>Población Rural        176.416      9%</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0.11399</cdr:x>
      <cdr:y>0.01279</cdr:y>
    </cdr:from>
    <cdr:to>
      <cdr:x>0.95509</cdr:x>
      <cdr:y>0.17647</cdr:y>
    </cdr:to>
    <cdr:sp macro="" textlink="">
      <cdr:nvSpPr>
        <cdr:cNvPr id="39937" name="Text Box 1"/>
        <cdr:cNvSpPr txBox="1">
          <a:spLocks xmlns:a="http://schemas.openxmlformats.org/drawingml/2006/main" noChangeArrowheads="1"/>
        </cdr:cNvSpPr>
      </cdr:nvSpPr>
      <cdr:spPr bwMode="auto">
        <a:xfrm xmlns:a="http://schemas.openxmlformats.org/drawingml/2006/main">
          <a:off x="628652" y="47633"/>
          <a:ext cx="4638645" cy="6095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TASA MORT. GENERAL  PAIS REGION SERV. SALUD</a:t>
          </a:r>
        </a:p>
        <a:p xmlns:a="http://schemas.openxmlformats.org/drawingml/2006/main">
          <a:pPr algn="ctr" rtl="1">
            <a:defRPr sz="1000"/>
          </a:pPr>
          <a:r>
            <a:rPr lang="es-ES" sz="1200" b="1" i="0" strike="noStrike">
              <a:solidFill>
                <a:srgbClr val="000000"/>
              </a:solidFill>
              <a:latin typeface="Arial"/>
              <a:cs typeface="Arial"/>
            </a:rPr>
            <a:t>AÑOS  2011 - 2020(tasa x mil hb.)</a:t>
          </a:r>
        </a:p>
      </cdr:txBody>
    </cdr:sp>
  </cdr:relSizeAnchor>
</c:userShapes>
</file>

<file path=xl/drawings/drawing31.xml><?xml version="1.0" encoding="utf-8"?>
<xdr:wsDr xmlns:xdr="http://schemas.openxmlformats.org/drawingml/2006/spreadsheetDrawing" xmlns:a="http://schemas.openxmlformats.org/drawingml/2006/main">
  <xdr:twoCellAnchor>
    <xdr:from>
      <xdr:col>1</xdr:col>
      <xdr:colOff>1466850</xdr:colOff>
      <xdr:row>65</xdr:row>
      <xdr:rowOff>152400</xdr:rowOff>
    </xdr:from>
    <xdr:to>
      <xdr:col>27</xdr:col>
      <xdr:colOff>514350</xdr:colOff>
      <xdr:row>95</xdr:row>
      <xdr:rowOff>79375</xdr:rowOff>
    </xdr:to>
    <xdr:graphicFrame macro="">
      <xdr:nvGraphicFramePr>
        <xdr:cNvPr id="65537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1806575</xdr:colOff>
      <xdr:row>122</xdr:row>
      <xdr:rowOff>92075</xdr:rowOff>
    </xdr:from>
    <xdr:to>
      <xdr:col>28</xdr:col>
      <xdr:colOff>276225</xdr:colOff>
      <xdr:row>152</xdr:row>
      <xdr:rowOff>12700</xdr:rowOff>
    </xdr:to>
    <xdr:graphicFrame macro="">
      <xdr:nvGraphicFramePr>
        <xdr:cNvPr id="65537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0.01849</cdr:x>
      <cdr:y>0.83816</cdr:y>
    </cdr:from>
    <cdr:to>
      <cdr:x>0.14434</cdr:x>
      <cdr:y>0.87589</cdr:y>
    </cdr:to>
    <cdr:sp macro="" textlink="">
      <cdr:nvSpPr>
        <cdr:cNvPr id="41985" name="Text Box 1"/>
        <cdr:cNvSpPr txBox="1">
          <a:spLocks xmlns:a="http://schemas.openxmlformats.org/drawingml/2006/main" noChangeArrowheads="1"/>
        </cdr:cNvSpPr>
      </cdr:nvSpPr>
      <cdr:spPr bwMode="auto">
        <a:xfrm xmlns:a="http://schemas.openxmlformats.org/drawingml/2006/main">
          <a:off x="160929" y="4087522"/>
          <a:ext cx="1095631" cy="1840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0.01849</cdr:x>
      <cdr:y>0.76587</cdr:y>
    </cdr:from>
    <cdr:to>
      <cdr:x>0.19478</cdr:x>
      <cdr:y>0.82149</cdr:y>
    </cdr:to>
    <cdr:sp macro="" textlink="">
      <cdr:nvSpPr>
        <cdr:cNvPr id="41986" name="Text Box 2"/>
        <cdr:cNvSpPr txBox="1">
          <a:spLocks xmlns:a="http://schemas.openxmlformats.org/drawingml/2006/main" noChangeArrowheads="1"/>
        </cdr:cNvSpPr>
      </cdr:nvSpPr>
      <cdr:spPr bwMode="auto">
        <a:xfrm xmlns:a="http://schemas.openxmlformats.org/drawingml/2006/main">
          <a:off x="160929" y="3734979"/>
          <a:ext cx="1534754" cy="2712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0.01703</cdr:x>
      <cdr:y>0.69383</cdr:y>
    </cdr:from>
    <cdr:to>
      <cdr:x>0.18245</cdr:x>
      <cdr:y>0.73438</cdr:y>
    </cdr:to>
    <cdr:sp macro="" textlink="">
      <cdr:nvSpPr>
        <cdr:cNvPr id="41987" name="Text Box 3"/>
        <cdr:cNvSpPr txBox="1">
          <a:spLocks xmlns:a="http://schemas.openxmlformats.org/drawingml/2006/main" noChangeArrowheads="1"/>
        </cdr:cNvSpPr>
      </cdr:nvSpPr>
      <cdr:spPr bwMode="auto">
        <a:xfrm xmlns:a="http://schemas.openxmlformats.org/drawingml/2006/main">
          <a:off x="148229" y="3383654"/>
          <a:ext cx="1440122" cy="1977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0.01994</cdr:x>
      <cdr:y>0.63944</cdr:y>
    </cdr:from>
    <cdr:to>
      <cdr:x>0.15692</cdr:x>
      <cdr:y>0.67717</cdr:y>
    </cdr:to>
    <cdr:sp macro="" textlink="">
      <cdr:nvSpPr>
        <cdr:cNvPr id="41988" name="Text Box 4"/>
        <cdr:cNvSpPr txBox="1">
          <a:spLocks xmlns:a="http://schemas.openxmlformats.org/drawingml/2006/main" noChangeArrowheads="1"/>
        </cdr:cNvSpPr>
      </cdr:nvSpPr>
      <cdr:spPr bwMode="auto">
        <a:xfrm xmlns:a="http://schemas.openxmlformats.org/drawingml/2006/main">
          <a:off x="173629" y="3118405"/>
          <a:ext cx="1192527" cy="184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0.01557</cdr:x>
      <cdr:y>0.57524</cdr:y>
    </cdr:from>
    <cdr:to>
      <cdr:x>0.18197</cdr:x>
      <cdr:y>0.62302</cdr:y>
    </cdr:to>
    <cdr:sp macro="" textlink="">
      <cdr:nvSpPr>
        <cdr:cNvPr id="41989" name="Text Box 5"/>
        <cdr:cNvSpPr txBox="1">
          <a:spLocks xmlns:a="http://schemas.openxmlformats.org/drawingml/2006/main" noChangeArrowheads="1"/>
        </cdr:cNvSpPr>
      </cdr:nvSpPr>
      <cdr:spPr bwMode="auto">
        <a:xfrm xmlns:a="http://schemas.openxmlformats.org/drawingml/2006/main">
          <a:off x="135529" y="2805314"/>
          <a:ext cx="1448653"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0.01265</cdr:x>
      <cdr:y>0.38133</cdr:y>
    </cdr:from>
    <cdr:to>
      <cdr:x>0.18796</cdr:x>
      <cdr:y>0.42298</cdr:y>
    </cdr:to>
    <cdr:sp macro="" textlink="">
      <cdr:nvSpPr>
        <cdr:cNvPr id="41990" name="Text Box 6"/>
        <cdr:cNvSpPr txBox="1">
          <a:spLocks xmlns:a="http://schemas.openxmlformats.org/drawingml/2006/main" noChangeArrowheads="1"/>
        </cdr:cNvSpPr>
      </cdr:nvSpPr>
      <cdr:spPr bwMode="auto">
        <a:xfrm xmlns:a="http://schemas.openxmlformats.org/drawingml/2006/main">
          <a:off x="110129" y="1859674"/>
          <a:ext cx="1526223" cy="203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0.20278</cdr:y>
    </cdr:from>
    <cdr:to>
      <cdr:x>0.08534</cdr:x>
      <cdr:y>0.21871</cdr:y>
    </cdr:to>
    <cdr:sp macro="" textlink="">
      <cdr:nvSpPr>
        <cdr:cNvPr id="41991" name="Text Box 7"/>
        <cdr:cNvSpPr txBox="1">
          <a:spLocks xmlns:a="http://schemas.openxmlformats.org/drawingml/2006/main" noChangeArrowheads="1"/>
        </cdr:cNvSpPr>
      </cdr:nvSpPr>
      <cdr:spPr bwMode="auto">
        <a:xfrm xmlns:a="http://schemas.openxmlformats.org/drawingml/2006/main">
          <a:off x="50800" y="974704"/>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0.01703</cdr:x>
      <cdr:y>0.50556</cdr:y>
    </cdr:from>
    <cdr:to>
      <cdr:x>0.18343</cdr:x>
      <cdr:y>0.55922</cdr:y>
    </cdr:to>
    <cdr:sp macro="" textlink="">
      <cdr:nvSpPr>
        <cdr:cNvPr id="41992" name="Text Box 8"/>
        <cdr:cNvSpPr txBox="1">
          <a:spLocks xmlns:a="http://schemas.openxmlformats.org/drawingml/2006/main" noChangeArrowheads="1"/>
        </cdr:cNvSpPr>
      </cdr:nvSpPr>
      <cdr:spPr bwMode="auto">
        <a:xfrm xmlns:a="http://schemas.openxmlformats.org/drawingml/2006/main">
          <a:off x="148229" y="2465519"/>
          <a:ext cx="1448653" cy="2616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0.01411</cdr:x>
      <cdr:y>0.44837</cdr:y>
    </cdr:from>
    <cdr:to>
      <cdr:x>0.20128</cdr:x>
      <cdr:y>0.49616</cdr:y>
    </cdr:to>
    <cdr:sp macro="" textlink="">
      <cdr:nvSpPr>
        <cdr:cNvPr id="41993" name="Text Box 9"/>
        <cdr:cNvSpPr txBox="1">
          <a:spLocks xmlns:a="http://schemas.openxmlformats.org/drawingml/2006/main" noChangeArrowheads="1"/>
        </cdr:cNvSpPr>
      </cdr:nvSpPr>
      <cdr:spPr bwMode="auto">
        <a:xfrm xmlns:a="http://schemas.openxmlformats.org/drawingml/2006/main">
          <a:off x="122829" y="2186635"/>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0.01703</cdr:x>
      <cdr:y>0.3167</cdr:y>
    </cdr:from>
    <cdr:to>
      <cdr:x>0.2042</cdr:x>
      <cdr:y>0.36448</cdr:y>
    </cdr:to>
    <cdr:sp macro="" textlink="">
      <cdr:nvSpPr>
        <cdr:cNvPr id="41994" name="Text Box 10"/>
        <cdr:cNvSpPr txBox="1">
          <a:spLocks xmlns:a="http://schemas.openxmlformats.org/drawingml/2006/main" noChangeArrowheads="1"/>
        </cdr:cNvSpPr>
      </cdr:nvSpPr>
      <cdr:spPr bwMode="auto">
        <a:xfrm xmlns:a="http://schemas.openxmlformats.org/drawingml/2006/main">
          <a:off x="148229" y="1544478"/>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0.01703</cdr:x>
      <cdr:y>0.24377</cdr:y>
    </cdr:from>
    <cdr:to>
      <cdr:x>0.2272</cdr:x>
      <cdr:y>0.28959</cdr:y>
    </cdr:to>
    <cdr:sp macro="" textlink="">
      <cdr:nvSpPr>
        <cdr:cNvPr id="41995" name="Text Box 11"/>
        <cdr:cNvSpPr txBox="1">
          <a:spLocks xmlns:a="http://schemas.openxmlformats.org/drawingml/2006/main" noChangeArrowheads="1"/>
        </cdr:cNvSpPr>
      </cdr:nvSpPr>
      <cdr:spPr bwMode="auto">
        <a:xfrm xmlns:a="http://schemas.openxmlformats.org/drawingml/2006/main">
          <a:off x="148229" y="1188826"/>
          <a:ext cx="1829708" cy="2234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ANOMALIAS  CONG.</a:t>
          </a:r>
        </a:p>
        <a:p xmlns:a="http://schemas.openxmlformats.org/drawingml/2006/main">
          <a:pPr algn="l" rtl="0">
            <a:defRPr sz="1000"/>
          </a:pPr>
          <a:endParaRPr lang="es-ES" sz="800" b="1" i="0" strike="noStrike">
            <a:solidFill>
              <a:srgbClr val="000000"/>
            </a:solidFill>
            <a:latin typeface="Arial"/>
            <a:cs typeface="Arial"/>
          </a:endParaRPr>
        </a:p>
      </cdr:txBody>
    </cdr:sp>
  </cdr:relSizeAnchor>
  <cdr:relSizeAnchor xmlns:cdr="http://schemas.openxmlformats.org/drawingml/2006/chartDrawing">
    <cdr:from>
      <cdr:x>0.01559</cdr:x>
      <cdr:y>0.17973</cdr:y>
    </cdr:from>
    <cdr:to>
      <cdr:x>0.12513</cdr:x>
      <cdr:y>0.21942</cdr:y>
    </cdr:to>
    <cdr:sp macro="" textlink="">
      <cdr:nvSpPr>
        <cdr:cNvPr id="41996" name="Text Box 12"/>
        <cdr:cNvSpPr txBox="1">
          <a:spLocks xmlns:a="http://schemas.openxmlformats.org/drawingml/2006/main" noChangeArrowheads="1"/>
        </cdr:cNvSpPr>
      </cdr:nvSpPr>
      <cdr:spPr bwMode="auto">
        <a:xfrm xmlns:a="http://schemas.openxmlformats.org/drawingml/2006/main">
          <a:off x="135714" y="876487"/>
          <a:ext cx="953638" cy="1935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0.91247</cdr:x>
      <cdr:y>0.90104</cdr:y>
    </cdr:from>
    <cdr:to>
      <cdr:x>1</cdr:x>
      <cdr:y>0.93519</cdr:y>
    </cdr:to>
    <cdr:sp macro="" textlink="">
      <cdr:nvSpPr>
        <cdr:cNvPr id="41997" name="Text Box 13"/>
        <cdr:cNvSpPr txBox="1">
          <a:spLocks xmlns:a="http://schemas.openxmlformats.org/drawingml/2006/main" noChangeArrowheads="1"/>
        </cdr:cNvSpPr>
      </cdr:nvSpPr>
      <cdr:spPr bwMode="auto">
        <a:xfrm xmlns:a="http://schemas.openxmlformats.org/drawingml/2006/main">
          <a:off x="7943850" y="4394200"/>
          <a:ext cx="762000" cy="1665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Nº fallecidos</a:t>
          </a:r>
        </a:p>
      </cdr:txBody>
    </cdr:sp>
  </cdr:relSizeAnchor>
</c:userShapes>
</file>

<file path=xl/drawings/drawing33.xml><?xml version="1.0" encoding="utf-8"?>
<c:userShapes xmlns:c="http://schemas.openxmlformats.org/drawingml/2006/chart">
  <cdr:relSizeAnchor xmlns:cdr="http://schemas.openxmlformats.org/drawingml/2006/chartDrawing">
    <cdr:from>
      <cdr:x>0.02427</cdr:x>
      <cdr:y>0.81952</cdr:y>
    </cdr:from>
    <cdr:to>
      <cdr:x>0.15012</cdr:x>
      <cdr:y>0.85725</cdr:y>
    </cdr:to>
    <cdr:sp macro="" textlink="">
      <cdr:nvSpPr>
        <cdr:cNvPr id="43009" name="Text Box 1"/>
        <cdr:cNvSpPr txBox="1">
          <a:spLocks xmlns:a="http://schemas.openxmlformats.org/drawingml/2006/main" noChangeArrowheads="1"/>
        </cdr:cNvSpPr>
      </cdr:nvSpPr>
      <cdr:spPr bwMode="auto">
        <a:xfrm xmlns:a="http://schemas.openxmlformats.org/drawingml/2006/main">
          <a:off x="214220" y="3929551"/>
          <a:ext cx="1094487" cy="1807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0.01413</cdr:x>
      <cdr:y>0.74478</cdr:y>
    </cdr:from>
    <cdr:to>
      <cdr:x>0.19043</cdr:x>
      <cdr:y>0.80041</cdr:y>
    </cdr:to>
    <cdr:sp macro="" textlink="">
      <cdr:nvSpPr>
        <cdr:cNvPr id="43010" name="Text Box 2"/>
        <cdr:cNvSpPr txBox="1">
          <a:spLocks xmlns:a="http://schemas.openxmlformats.org/drawingml/2006/main" noChangeArrowheads="1"/>
        </cdr:cNvSpPr>
      </cdr:nvSpPr>
      <cdr:spPr bwMode="auto">
        <a:xfrm xmlns:a="http://schemas.openxmlformats.org/drawingml/2006/main">
          <a:off x="126059" y="3571495"/>
          <a:ext cx="1533142"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0.01289</cdr:x>
      <cdr:y>0.67226</cdr:y>
    </cdr:from>
    <cdr:to>
      <cdr:x>0.17831</cdr:x>
      <cdr:y>0.72788</cdr:y>
    </cdr:to>
    <cdr:sp macro="" textlink="">
      <cdr:nvSpPr>
        <cdr:cNvPr id="43011" name="Text Box 3"/>
        <cdr:cNvSpPr txBox="1">
          <a:spLocks xmlns:a="http://schemas.openxmlformats.org/drawingml/2006/main" noChangeArrowheads="1"/>
        </cdr:cNvSpPr>
      </cdr:nvSpPr>
      <cdr:spPr bwMode="auto">
        <a:xfrm xmlns:a="http://schemas.openxmlformats.org/drawingml/2006/main">
          <a:off x="115308" y="3224004"/>
          <a:ext cx="1438530"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0.01289</cdr:x>
      <cdr:y>0.59997</cdr:y>
    </cdr:from>
    <cdr:to>
      <cdr:x>0.14988</cdr:x>
      <cdr:y>0.63771</cdr:y>
    </cdr:to>
    <cdr:sp macro="" textlink="">
      <cdr:nvSpPr>
        <cdr:cNvPr id="43012" name="Text Box 4"/>
        <cdr:cNvSpPr txBox="1">
          <a:spLocks xmlns:a="http://schemas.openxmlformats.org/drawingml/2006/main" noChangeArrowheads="1"/>
        </cdr:cNvSpPr>
      </cdr:nvSpPr>
      <cdr:spPr bwMode="auto">
        <a:xfrm xmlns:a="http://schemas.openxmlformats.org/drawingml/2006/main">
          <a:off x="115308" y="2877687"/>
          <a:ext cx="1191249" cy="1807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0.01289</cdr:x>
      <cdr:y>0.53528</cdr:y>
    </cdr:from>
    <cdr:to>
      <cdr:x>0.1793</cdr:x>
      <cdr:y>0.58307</cdr:y>
    </cdr:to>
    <cdr:sp macro="" textlink="">
      <cdr:nvSpPr>
        <cdr:cNvPr id="43013" name="Text Box 5"/>
        <cdr:cNvSpPr txBox="1">
          <a:spLocks xmlns:a="http://schemas.openxmlformats.org/drawingml/2006/main" noChangeArrowheads="1"/>
        </cdr:cNvSpPr>
      </cdr:nvSpPr>
      <cdr:spPr bwMode="auto">
        <a:xfrm xmlns:a="http://schemas.openxmlformats.org/drawingml/2006/main">
          <a:off x="115308" y="2567762"/>
          <a:ext cx="1447131"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0.01289</cdr:x>
      <cdr:y>0.33926</cdr:y>
    </cdr:from>
    <cdr:to>
      <cdr:x>0.1882</cdr:x>
      <cdr:y>0.38092</cdr:y>
    </cdr:to>
    <cdr:sp macro="" textlink="">
      <cdr:nvSpPr>
        <cdr:cNvPr id="43014" name="Text Box 6"/>
        <cdr:cNvSpPr txBox="1">
          <a:spLocks xmlns:a="http://schemas.openxmlformats.org/drawingml/2006/main" noChangeArrowheads="1"/>
        </cdr:cNvSpPr>
      </cdr:nvSpPr>
      <cdr:spPr bwMode="auto">
        <a:xfrm xmlns:a="http://schemas.openxmlformats.org/drawingml/2006/main">
          <a:off x="115308" y="1628597"/>
          <a:ext cx="1524541" cy="1995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0.20547</cdr:y>
    </cdr:from>
    <cdr:to>
      <cdr:x>0.08534</cdr:x>
      <cdr:y>0.2214</cdr:y>
    </cdr:to>
    <cdr:sp macro="" textlink="">
      <cdr:nvSpPr>
        <cdr:cNvPr id="43015" name="Text Box 7"/>
        <cdr:cNvSpPr txBox="1">
          <a:spLocks xmlns:a="http://schemas.openxmlformats.org/drawingml/2006/main" noChangeArrowheads="1"/>
        </cdr:cNvSpPr>
      </cdr:nvSpPr>
      <cdr:spPr bwMode="auto">
        <a:xfrm xmlns:a="http://schemas.openxmlformats.org/drawingml/2006/main">
          <a:off x="50800" y="987617"/>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0.01289</cdr:x>
      <cdr:y>0.46594</cdr:y>
    </cdr:from>
    <cdr:to>
      <cdr:x>0.1793</cdr:x>
      <cdr:y>0.5196</cdr:y>
    </cdr:to>
    <cdr:sp macro="" textlink="">
      <cdr:nvSpPr>
        <cdr:cNvPr id="43016" name="Text Box 8"/>
        <cdr:cNvSpPr txBox="1">
          <a:spLocks xmlns:a="http://schemas.openxmlformats.org/drawingml/2006/main" noChangeArrowheads="1"/>
        </cdr:cNvSpPr>
      </cdr:nvSpPr>
      <cdr:spPr bwMode="auto">
        <a:xfrm xmlns:a="http://schemas.openxmlformats.org/drawingml/2006/main">
          <a:off x="115308" y="2235533"/>
          <a:ext cx="1447131" cy="2570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0.01289</cdr:x>
      <cdr:y>0.40615</cdr:y>
    </cdr:from>
    <cdr:to>
      <cdr:x>0.20007</cdr:x>
      <cdr:y>0.45393</cdr:y>
    </cdr:to>
    <cdr:sp macro="" textlink="">
      <cdr:nvSpPr>
        <cdr:cNvPr id="43017" name="Text Box 9"/>
        <cdr:cNvSpPr txBox="1">
          <a:spLocks xmlns:a="http://schemas.openxmlformats.org/drawingml/2006/main" noChangeArrowheads="1"/>
        </cdr:cNvSpPr>
      </cdr:nvSpPr>
      <cdr:spPr bwMode="auto">
        <a:xfrm xmlns:a="http://schemas.openxmlformats.org/drawingml/2006/main">
          <a:off x="115308" y="194908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0.01289</cdr:x>
      <cdr:y>0.27237</cdr:y>
    </cdr:from>
    <cdr:to>
      <cdr:x>0.20007</cdr:x>
      <cdr:y>0.32015</cdr:y>
    </cdr:to>
    <cdr:sp macro="" textlink="">
      <cdr:nvSpPr>
        <cdr:cNvPr id="43018" name="Text Box 10"/>
        <cdr:cNvSpPr txBox="1">
          <a:spLocks xmlns:a="http://schemas.openxmlformats.org/drawingml/2006/main" noChangeArrowheads="1"/>
        </cdr:cNvSpPr>
      </cdr:nvSpPr>
      <cdr:spPr bwMode="auto">
        <a:xfrm xmlns:a="http://schemas.openxmlformats.org/drawingml/2006/main">
          <a:off x="115308" y="130810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0.01388</cdr:x>
      <cdr:y>0.14005</cdr:y>
    </cdr:from>
    <cdr:to>
      <cdr:x>0.12342</cdr:x>
      <cdr:y>0.17975</cdr:y>
    </cdr:to>
    <cdr:sp macro="" textlink="">
      <cdr:nvSpPr>
        <cdr:cNvPr id="43019" name="Text Box 11"/>
        <cdr:cNvSpPr txBox="1">
          <a:spLocks xmlns:a="http://schemas.openxmlformats.org/drawingml/2006/main" noChangeArrowheads="1"/>
        </cdr:cNvSpPr>
      </cdr:nvSpPr>
      <cdr:spPr bwMode="auto">
        <a:xfrm xmlns:a="http://schemas.openxmlformats.org/drawingml/2006/main">
          <a:off x="123909" y="674171"/>
          <a:ext cx="952569" cy="1901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0.86891</cdr:x>
      <cdr:y>0.85799</cdr:y>
    </cdr:from>
    <cdr:to>
      <cdr:x>0.97845</cdr:x>
      <cdr:y>0.89768</cdr:y>
    </cdr:to>
    <cdr:sp macro="" textlink="">
      <cdr:nvSpPr>
        <cdr:cNvPr id="43020" name="Text Box 12"/>
        <cdr:cNvSpPr txBox="1">
          <a:spLocks xmlns:a="http://schemas.openxmlformats.org/drawingml/2006/main" noChangeArrowheads="1"/>
        </cdr:cNvSpPr>
      </cdr:nvSpPr>
      <cdr:spPr bwMode="auto">
        <a:xfrm xmlns:a="http://schemas.openxmlformats.org/drawingml/2006/main">
          <a:off x="7559538" y="4113863"/>
          <a:ext cx="952570" cy="1901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Porcentaje</a:t>
          </a:r>
        </a:p>
      </cdr:txBody>
    </cdr:sp>
  </cdr:relSizeAnchor>
  <cdr:relSizeAnchor xmlns:cdr="http://schemas.openxmlformats.org/drawingml/2006/chartDrawing">
    <cdr:from>
      <cdr:x>0.01116</cdr:x>
      <cdr:y>0.20547</cdr:y>
    </cdr:from>
    <cdr:to>
      <cdr:x>0.25249</cdr:x>
      <cdr:y>0.24639</cdr:y>
    </cdr:to>
    <cdr:sp macro="" textlink="">
      <cdr:nvSpPr>
        <cdr:cNvPr id="43021" name="Text Box 13"/>
        <cdr:cNvSpPr txBox="1">
          <a:spLocks xmlns:a="http://schemas.openxmlformats.org/drawingml/2006/main" noChangeArrowheads="1"/>
        </cdr:cNvSpPr>
      </cdr:nvSpPr>
      <cdr:spPr bwMode="auto">
        <a:xfrm xmlns:a="http://schemas.openxmlformats.org/drawingml/2006/main">
          <a:off x="100256" y="987617"/>
          <a:ext cx="2098662" cy="196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s-ES" sz="800" b="1" i="0" strike="noStrike">
              <a:solidFill>
                <a:srgbClr val="000000"/>
              </a:solidFill>
              <a:latin typeface="Arial"/>
              <a:cs typeface="Arial"/>
            </a:rPr>
            <a:t>ANOMALIAS CONG</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254000</xdr:colOff>
      <xdr:row>46</xdr:row>
      <xdr:rowOff>0</xdr:rowOff>
    </xdr:from>
    <xdr:to>
      <xdr:col>6</xdr:col>
      <xdr:colOff>254000</xdr:colOff>
      <xdr:row>70</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596900</xdr:colOff>
      <xdr:row>46</xdr:row>
      <xdr:rowOff>12700</xdr:rowOff>
    </xdr:from>
    <xdr:to>
      <xdr:col>15</xdr:col>
      <xdr:colOff>63500</xdr:colOff>
      <xdr:row>70</xdr:row>
      <xdr:rowOff>88900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cdr:y>
    </cdr:from>
    <cdr:to>
      <cdr:x>0.11741</cdr:x>
      <cdr:y>0.07813</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9439" cy="317500"/>
        </a:xfrm>
        <a:prstGeom xmlns:a="http://schemas.openxmlformats.org/drawingml/2006/main" prst="rect">
          <a:avLst/>
        </a:prstGeom>
      </cdr:spPr>
    </cdr:pic>
  </cdr:relSizeAnchor>
  <cdr:relSizeAnchor xmlns:cdr="http://schemas.openxmlformats.org/drawingml/2006/chartDrawing">
    <cdr:from>
      <cdr:x>0.22886</cdr:x>
      <cdr:y>0</cdr:y>
    </cdr:from>
    <cdr:to>
      <cdr:x>0.86727</cdr:x>
      <cdr:y>0.08438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168400" y="0"/>
          <a:ext cx="3259367" cy="342900"/>
        </a:xfrm>
        <a:prstGeom xmlns:a="http://schemas.openxmlformats.org/drawingml/2006/main" prst="rect">
          <a:avLst/>
        </a:prstGeom>
      </cdr:spPr>
    </cdr:pic>
  </cdr:relSizeAnchor>
</c:userShapes>
</file>

<file path=xl/drawings/drawing36.xml><?xml version="1.0" encoding="utf-8"?>
<c:userShapes xmlns:c="http://schemas.openxmlformats.org/drawingml/2006/chart">
  <cdr:relSizeAnchor xmlns:cdr="http://schemas.openxmlformats.org/drawingml/2006/chartDrawing">
    <cdr:from>
      <cdr:x>0.21642</cdr:x>
      <cdr:y>0</cdr:y>
    </cdr:from>
    <cdr:to>
      <cdr:x>0.92932</cdr:x>
      <cdr:y>0.08101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04900" y="0"/>
          <a:ext cx="3639627" cy="329213"/>
        </a:xfrm>
        <a:prstGeom xmlns:a="http://schemas.openxmlformats.org/drawingml/2006/main" prst="rect">
          <a:avLst/>
        </a:prstGeom>
      </cdr:spPr>
    </cdr:pic>
  </cdr:relSizeAnchor>
  <cdr:relSizeAnchor xmlns:cdr="http://schemas.openxmlformats.org/drawingml/2006/chartDrawing">
    <cdr:from>
      <cdr:x>0</cdr:x>
      <cdr:y>0</cdr:y>
    </cdr:from>
    <cdr:to>
      <cdr:x>0.08837</cdr:x>
      <cdr:y>0.07801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0" y="0"/>
          <a:ext cx="451143" cy="317019"/>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twoCellAnchor>
    <xdr:from>
      <xdr:col>1</xdr:col>
      <xdr:colOff>640080</xdr:colOff>
      <xdr:row>1</xdr:row>
      <xdr:rowOff>22860</xdr:rowOff>
    </xdr:from>
    <xdr:to>
      <xdr:col>10</xdr:col>
      <xdr:colOff>678180</xdr:colOff>
      <xdr:row>105</xdr:row>
      <xdr:rowOff>7620</xdr:rowOff>
    </xdr:to>
    <xdr:sp macro="" textlink="">
      <xdr:nvSpPr>
        <xdr:cNvPr id="2" name="1 CuadroTexto"/>
        <xdr:cNvSpPr txBox="1"/>
      </xdr:nvSpPr>
      <xdr:spPr>
        <a:xfrm>
          <a:off x="1432560" y="304800"/>
          <a:ext cx="8770620" cy="20756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endParaRPr lang="es-ES" sz="1100">
            <a:effectLst/>
            <a:latin typeface="Arial"/>
            <a:ea typeface="Times New Roman"/>
            <a:cs typeface="Times New Roman"/>
          </a:endParaRPr>
        </a:p>
        <a:p>
          <a:pPr algn="just">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gn="just">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gn="just">
            <a:spcAft>
              <a:spcPts val="0"/>
            </a:spcAft>
          </a:pPr>
          <a:r>
            <a:rPr lang="es-ES" sz="800" b="0" u="none" strike="noStrike">
              <a:effectLst/>
              <a:latin typeface="Arial"/>
            </a:rPr>
            <a:t>	SUBDIRECCION DE GESTION ESTRATEGICA</a:t>
          </a:r>
          <a:endParaRPr lang="es-CL" sz="800" b="1" u="sng">
            <a:effectLst/>
            <a:latin typeface="Verdana"/>
          </a:endParaRPr>
        </a:p>
        <a:p>
          <a:pPr algn="just">
            <a:spcAft>
              <a:spcPts val="0"/>
            </a:spcAft>
          </a:pPr>
          <a:r>
            <a:rPr lang="pt-BR" sz="800" b="1" u="sng">
              <a:effectLst/>
              <a:latin typeface="Arial"/>
            </a:rPr>
            <a:t>	UNIDAD DE ESTADISTICA</a:t>
          </a:r>
          <a:endParaRPr lang="es-CL" sz="800" b="1" u="sng">
            <a:effectLst/>
            <a:latin typeface="Verdana"/>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MEMORIA ESTADISTICA SERVICIO DE SALUD ACONCAGUA 2010-2019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1000"/>
            </a:spcAft>
          </a:pPr>
          <a:r>
            <a:rPr lang="es-ES_tradnl" sz="1100" b="1">
              <a:effectLst/>
              <a:latin typeface="Arial"/>
              <a:ea typeface="Calibri"/>
              <a:cs typeface="Times New Roman"/>
            </a:rPr>
            <a:t>CAPITULO  III     ACTIVIDADES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Este capítulo presenta las actividades sobre las personas, desarrolladas por el equipo de salud en los establecimientos, tanto de Atención Primaria como Secundaria, de la Red Aconcagua.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EVALUACION NUTRICIONAL: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13.110 menores de 6 años bajo control,   se observa un descenso de un 34,2% de  la  población bajo  control respecto  al  año 2019 (19.921), generada  esta  baja  principalmente  por el tema  de  la  pandemia (pag.35)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relación al diagnóstico  nutricional  integrado  de este grupo  menor  de 6  años se observa  una disminución en la mayoria de  los  estados  nutricionales, incrementando los  desnutridos en  un 4</a:t>
          </a:r>
          <a:r>
            <a:rPr lang="es-ES_tradnl" sz="1100" baseline="0">
              <a:effectLst/>
              <a:latin typeface="Arial"/>
              <a:ea typeface="Calibri"/>
              <a:cs typeface="Times New Roman"/>
            </a:rPr>
            <a:t>1</a:t>
          </a:r>
          <a:r>
            <a:rPr lang="es-ES_tradnl" sz="1100">
              <a:effectLst/>
              <a:latin typeface="Arial"/>
              <a:ea typeface="Calibri"/>
              <a:cs typeface="Times New Roman"/>
            </a:rPr>
            <a:t>,7 %  respecto  al  año  anterior.(pág.. 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grupo de   embarazadas bajo control (1.253 </a:t>
          </a:r>
          <a:r>
            <a:rPr lang="es-ES_tradnl" sz="1000">
              <a:effectLst/>
              <a:latin typeface="Verdana"/>
              <a:ea typeface="Times New Roman"/>
              <a:cs typeface="Times New Roman"/>
            </a:rPr>
            <a:t> </a:t>
          </a:r>
          <a:r>
            <a:rPr lang="es-ES_tradnl" sz="1100">
              <a:effectLst/>
              <a:latin typeface="Arial"/>
              <a:ea typeface="Calibri"/>
              <a:cs typeface="Times New Roman"/>
            </a:rPr>
            <a:t>usuarias) se  observa, en  comparación  al  año  anterior,  un  incremento  en  las obesas  de 35,2 a 39,6%  y  una  baja en las  normales   de 29,2  a 24,9%  (pág. 36)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r>
            <a:rPr lang="es-ES_tradnl" sz="1100" b="1">
              <a:effectLst/>
              <a:latin typeface="Arial"/>
              <a:ea typeface="Calibri"/>
              <a:cs typeface="Times New Roman"/>
            </a:rPr>
            <a:t>NACIMIENTOS Y PARTOS: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2020 se produjeron en el SSA  2.651 partos,  el 67,5% de ellos se atendió en el HSC, el 32,5% en el HLA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2,5% de los recién nacidos registraron un peso de nacimiento menor a 2000 gramos.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5,8% de las madres tenía una edad menor a 20 años. La incidencia de partos en menores de 15 años disminuyo  en relación al 2019  de 1,74 puntos  porcentuales.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58.6% de los partos se resolvió por cesárea. (pag.38)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Y CONTROLES NIVEL PRIMARIO:</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general  en  todos  los Programas de  salud nivel Primario(pag 41 a 46), se observa  un  descenso significativo tanto en las consultas y controles para  el año  2020, esto</a:t>
          </a:r>
          <a:r>
            <a:rPr lang="es-ES_tradnl" sz="1100" baseline="0">
              <a:effectLst/>
              <a:latin typeface="Arial"/>
              <a:ea typeface="Calibri"/>
              <a:cs typeface="Times New Roman"/>
            </a:rPr>
            <a:t>  debido  a  la  pandemia , en  que  ministerio creo  formulario para  las  consultas  vía  telefonica  en  distintos  formatos los  que  fue  dificil  consolidar  esta  información  </a:t>
          </a:r>
        </a:p>
        <a:p>
          <a:pPr algn="just">
            <a:spcAft>
              <a:spcPts val="1000"/>
            </a:spcAft>
          </a:pPr>
          <a:r>
            <a:rPr lang="es-ES_tradnl" sz="1100">
              <a:effectLst/>
              <a:latin typeface="Arial"/>
              <a:ea typeface="Calibri"/>
              <a:cs typeface="Times New Roman"/>
            </a:rPr>
            <a:t>La consulta psicólogo, profesional integrado a todos los programas precedentes,   para  el  año 2020,  presentan  una  disminución,</a:t>
          </a:r>
          <a:r>
            <a:rPr lang="es-ES_tradnl" sz="1100" baseline="0">
              <a:effectLst/>
              <a:latin typeface="Arial"/>
              <a:ea typeface="Calibri"/>
              <a:cs typeface="Times New Roman"/>
            </a:rPr>
            <a:t> al  igual que  los  programas  anteriores</a:t>
          </a:r>
          <a:r>
            <a:rPr lang="es-ES_tradnl" sz="1100">
              <a:effectLst/>
              <a:latin typeface="Arial"/>
              <a:ea typeface="Calibri"/>
              <a:cs typeface="Times New Roman"/>
            </a:rPr>
            <a:t> (pág. 47). En tanto la consulta por médico, una  disminución respecto al  año anterior</a:t>
          </a:r>
          <a:r>
            <a:rPr lang="es-ES_tradnl" sz="1100" baseline="0">
              <a:effectLst/>
              <a:latin typeface="Arial"/>
              <a:ea typeface="Calibri"/>
              <a:cs typeface="Times New Roman"/>
            </a:rPr>
            <a:t> (</a:t>
          </a:r>
          <a:r>
            <a:rPr lang="es-ES_tradnl" sz="1100">
              <a:effectLst/>
              <a:latin typeface="Arial"/>
              <a:ea typeface="Calibri"/>
              <a:cs typeface="Times New Roman"/>
            </a:rPr>
            <a:t>pág. 48.)			</a:t>
          </a: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ESPECIALIDADES: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consultas de  especialidades  el  2020 alcanzaron a un total de 78.685 en  comparación al  año anterior de 145.927, mostrando  un  decrecimiento significativo</a:t>
          </a:r>
          <a:r>
            <a:rPr lang="es-ES_tradnl" sz="1100" baseline="0">
              <a:effectLst/>
              <a:latin typeface="Arial"/>
              <a:ea typeface="Calibri"/>
              <a:cs typeface="Times New Roman"/>
            </a:rPr>
            <a:t> </a:t>
          </a:r>
          <a:r>
            <a:rPr lang="es-ES_tradnl" sz="1100">
              <a:effectLst/>
              <a:latin typeface="Arial"/>
              <a:ea typeface="Calibri"/>
              <a:cs typeface="Times New Roman"/>
            </a:rPr>
            <a:t>(pág. 53)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CONSULTAS  DE  URGENCIA: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2020 se generó un total de 186,465 consultas médicas de urgencia en los establecimientos de la Red, el 29% de ellas en el HLA y  el  25% en el HSC.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general todps  los  establecimiento muestran disminución  en  las  consultas 2020(186,465) en relación al 2019(294,115), lo  que  muestra  un decrecimiento  de  un 36,6% (pág. 69)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14% de las consultas de urgencia 2020 se generaron en los Servicios de Atención Primaria de Urgencia (SAPU)  de los Andes y San Felipe.</a:t>
          </a: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INTERVENCIONES QUIRÚRGICAS: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Esta  actividad   para  el  periodo 2011 - 2019,  se  incrementa constantemente, cayendo significativamente el  año   2020,</a:t>
          </a:r>
          <a:r>
            <a:rPr lang="es-ES_tradnl" sz="1100" baseline="0">
              <a:effectLst/>
              <a:latin typeface="Arial"/>
              <a:ea typeface="Calibri"/>
              <a:cs typeface="Times New Roman"/>
            </a:rPr>
            <a:t> debido  a  la  pandemia y  a la  medidas tomadas por  el  ministerio  para  dar  prioridad  a  la  pandemia que  comenzo  en  marzo de  este  año</a:t>
          </a:r>
          <a:r>
            <a:rPr lang="es-ES_tradnl" sz="1100">
              <a:effectLst/>
              <a:latin typeface="Arial"/>
              <a:ea typeface="Calibri"/>
              <a:cs typeface="Times New Roman"/>
            </a:rPr>
            <a:t> (pág. 71)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2020 se realizaron un total de 15.147  cirugías en  comparación  al  año  2019 de 25,602, lo  que representa  un  decrecimiento  de  un 40,8% (pag.70)</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total de cirugías 12.895 fueron  cirugías mayores, de las cuales un 19,4% (2.502) se realizó en forma ambulatoria.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USO DE CAMAS  HOSPITALARIAS: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Con 817 camas disponibles el 2020 en la Red Aconcagua, se  observa una mayor  dotación  que al inicio del período (2011) (pag 83)</a:t>
          </a:r>
        </a:p>
        <a:p>
          <a:pPr algn="just">
            <a:spcAft>
              <a:spcPts val="1000"/>
            </a:spcAft>
          </a:pPr>
          <a:r>
            <a:rPr lang="es-ES_tradnl" sz="1100">
              <a:effectLst/>
              <a:latin typeface="Arial"/>
              <a:ea typeface="Calibri"/>
              <a:cs typeface="Times New Roman"/>
            </a:rPr>
            <a:t>Se registró un total de  81,449 días de estada en  los  Hospitales  autogestionados. El 92,7% de los pacientes hospitalizados  fueron  categorizados.(Pag75)</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el  7%   fueron  categorizados  D2 y D3, correspondientes a   pacientes  hospitalizados  de  baja  complejidad y dependencia (pág. 75)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 relación a los indicadores de uso de camas en la Red, se observa la siguiente distribución:</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HSC: 225 camas, 8,460 egresos, 61,4% de índice ocupacional y 6,0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HLA: 168 camas, 6,807 egresos, 71,4% de índice ocupacional y 6,1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HLL LL: 42 camas, 1.025 egresos, 46,2% de índice ocupacional y 6,6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HSA: 28 camas, 578 egresos, 64,1% de índice ocupacional y 8,2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HPP: 354 camas, 460  egresos, 93,1% de índice ocupacional y 143,6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(págs. 83-88)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EGRESOS HOSPITALARIOS POR GRUPOS DIAGNOSTICOS: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Se describen los grupos de diagnósticos de acuerdo al Código Internacional de Enfermedades (CIE 10).</a:t>
          </a:r>
        </a:p>
        <a:p>
          <a:pPr algn="just">
            <a:spcAft>
              <a:spcPts val="0"/>
            </a:spcAft>
          </a:pPr>
          <a:endParaRPr lang="es-ES_tradnl" sz="1100">
            <a:effectLst/>
            <a:latin typeface="Arial"/>
            <a:ea typeface="Calibri"/>
            <a:cs typeface="Times New Roman"/>
          </a:endParaRPr>
        </a:p>
        <a:p>
          <a:pPr algn="just">
            <a:spcAft>
              <a:spcPts val="0"/>
            </a:spcAft>
          </a:pPr>
          <a:r>
            <a:rPr lang="es-ES_tradnl" sz="1100">
              <a:effectLst/>
              <a:latin typeface="Arial"/>
              <a:ea typeface="Calibri"/>
              <a:cs typeface="Times New Roman"/>
            </a:rPr>
            <a:t>Se originaron 	17.330 (pag. 74)egresos hospitalarios el año 2020  en los hospitales de la Red. Las primeras cuatro causas tuvieron la siguiente distribución:</a:t>
          </a:r>
        </a:p>
        <a:p>
          <a:pPr algn="just">
            <a:spcAft>
              <a:spcPts val="0"/>
            </a:spcAft>
          </a:pPr>
          <a:r>
            <a:rPr lang="es-ES_tradnl" sz="1100">
              <a:effectLst/>
              <a:latin typeface="Arial"/>
              <a:ea typeface="Calibri"/>
              <a:cs typeface="Times New Roman"/>
            </a:rPr>
            <a:t> </a:t>
          </a:r>
        </a:p>
        <a:p>
          <a:pPr algn="just">
            <a:spcAft>
              <a:spcPts val="0"/>
            </a:spcAft>
          </a:pPr>
          <a:r>
            <a:rPr lang="es-ES_tradnl" sz="1100">
              <a:effectLst/>
              <a:latin typeface="Arial"/>
              <a:ea typeface="Calibri"/>
              <a:cs typeface="Times New Roman"/>
            </a:rPr>
            <a:t>Embarazo Parto y Puerperio: 3,399 egresos, 19,6%.</a:t>
          </a:r>
        </a:p>
        <a:p>
          <a:pPr algn="just">
            <a:lnSpc>
              <a:spcPct val="150000"/>
            </a:lnSpc>
            <a:spcAft>
              <a:spcPts val="0"/>
            </a:spcAft>
          </a:pPr>
          <a:r>
            <a:rPr lang="es-ES_tradnl" sz="1100">
              <a:effectLst/>
              <a:latin typeface="Arial"/>
              <a:ea typeface="Calibri"/>
              <a:cs typeface="Times New Roman"/>
            </a:rPr>
            <a:t>Aparato Digestivo: 2,521 egresos, 16,6%.</a:t>
          </a:r>
        </a:p>
        <a:p>
          <a:pPr algn="just">
            <a:lnSpc>
              <a:spcPct val="150000"/>
            </a:lnSpc>
            <a:spcAft>
              <a:spcPts val="0"/>
            </a:spcAft>
          </a:pPr>
          <a:r>
            <a:rPr lang="es-ES_tradnl" sz="1100">
              <a:effectLst/>
              <a:latin typeface="Arial"/>
              <a:ea typeface="Calibri"/>
              <a:cs typeface="Times New Roman"/>
            </a:rPr>
            <a:t>Traumatismos     : 1,979 egresos, 11,4%.</a:t>
          </a:r>
        </a:p>
        <a:p>
          <a:pPr algn="just">
            <a:lnSpc>
              <a:spcPct val="150000"/>
            </a:lnSpc>
            <a:spcAft>
              <a:spcPts val="0"/>
            </a:spcAft>
          </a:pPr>
          <a:r>
            <a:rPr lang="es-ES_tradnl" sz="1100">
              <a:effectLst/>
              <a:latin typeface="Arial"/>
              <a:ea typeface="Calibri"/>
              <a:cs typeface="Times New Roman"/>
            </a:rPr>
            <a:t>Aparato Circulatorio: 1,728 egresos, 10%.		</a:t>
          </a: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1</xdr:col>
      <xdr:colOff>723900</xdr:colOff>
      <xdr:row>1</xdr:row>
      <xdr:rowOff>114300</xdr:rowOff>
    </xdr:from>
    <xdr:to>
      <xdr:col>1</xdr:col>
      <xdr:colOff>1615440</xdr:colOff>
      <xdr:row>4</xdr:row>
      <xdr:rowOff>60960</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6380" y="396240"/>
          <a:ext cx="891540" cy="59436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371475</xdr:colOff>
      <xdr:row>101</xdr:row>
      <xdr:rowOff>19050</xdr:rowOff>
    </xdr:from>
    <xdr:to>
      <xdr:col>10</xdr:col>
      <xdr:colOff>114300</xdr:colOff>
      <xdr:row>116</xdr:row>
      <xdr:rowOff>152400</xdr:rowOff>
    </xdr:to>
    <xdr:graphicFrame macro="">
      <xdr:nvGraphicFramePr>
        <xdr:cNvPr id="65545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371475</xdr:colOff>
      <xdr:row>101</xdr:row>
      <xdr:rowOff>19050</xdr:rowOff>
    </xdr:from>
    <xdr:to>
      <xdr:col>10</xdr:col>
      <xdr:colOff>114300</xdr:colOff>
      <xdr:row>116</xdr:row>
      <xdr:rowOff>152400</xdr:rowOff>
    </xdr:to>
    <xdr:graphicFrame macro="">
      <xdr:nvGraphicFramePr>
        <xdr:cNvPr id="65545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533400</xdr:colOff>
      <xdr:row>18</xdr:row>
      <xdr:rowOff>19050</xdr:rowOff>
    </xdr:from>
    <xdr:to>
      <xdr:col>9</xdr:col>
      <xdr:colOff>266700</xdr:colOff>
      <xdr:row>35</xdr:row>
      <xdr:rowOff>133350</xdr:rowOff>
    </xdr:to>
    <xdr:graphicFrame macro="">
      <xdr:nvGraphicFramePr>
        <xdr:cNvPr id="65549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18</xdr:row>
      <xdr:rowOff>19050</xdr:rowOff>
    </xdr:from>
    <xdr:to>
      <xdr:col>9</xdr:col>
      <xdr:colOff>266700</xdr:colOff>
      <xdr:row>35</xdr:row>
      <xdr:rowOff>133350</xdr:rowOff>
    </xdr:to>
    <xdr:graphicFrame macro="">
      <xdr:nvGraphicFramePr>
        <xdr:cNvPr id="655493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761999</xdr:colOff>
      <xdr:row>2</xdr:row>
      <xdr:rowOff>161924</xdr:rowOff>
    </xdr:from>
    <xdr:to>
      <xdr:col>10</xdr:col>
      <xdr:colOff>695325</xdr:colOff>
      <xdr:row>30</xdr:row>
      <xdr:rowOff>92869</xdr:rowOff>
    </xdr:to>
    <xdr:pic>
      <xdr:nvPicPr>
        <xdr:cNvPr id="2" name="Imagen 1"/>
        <xdr:cNvPicPr>
          <a:picLocks noChangeAspect="1"/>
        </xdr:cNvPicPr>
      </xdr:nvPicPr>
      <xdr:blipFill>
        <a:blip xmlns:r="http://schemas.openxmlformats.org/officeDocument/2006/relationships" r:embed="rId1"/>
        <a:stretch>
          <a:fillRect/>
        </a:stretch>
      </xdr:blipFill>
      <xdr:spPr>
        <a:xfrm>
          <a:off x="761999" y="485774"/>
          <a:ext cx="7553326" cy="566499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16</xdr:row>
      <xdr:rowOff>38100</xdr:rowOff>
    </xdr:from>
    <xdr:to>
      <xdr:col>19</xdr:col>
      <xdr:colOff>57150</xdr:colOff>
      <xdr:row>34</xdr:row>
      <xdr:rowOff>142875</xdr:rowOff>
    </xdr:to>
    <xdr:graphicFrame macro="">
      <xdr:nvGraphicFramePr>
        <xdr:cNvPr id="65422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38100</xdr:rowOff>
    </xdr:from>
    <xdr:to>
      <xdr:col>19</xdr:col>
      <xdr:colOff>57150</xdr:colOff>
      <xdr:row>34</xdr:row>
      <xdr:rowOff>142875</xdr:rowOff>
    </xdr:to>
    <xdr:graphicFrame macro="">
      <xdr:nvGraphicFramePr>
        <xdr:cNvPr id="654223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600076</xdr:colOff>
      <xdr:row>24</xdr:row>
      <xdr:rowOff>28575</xdr:rowOff>
    </xdr:from>
    <xdr:to>
      <xdr:col>6</xdr:col>
      <xdr:colOff>723900</xdr:colOff>
      <xdr:row>35</xdr:row>
      <xdr:rowOff>247650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8</xdr:col>
      <xdr:colOff>19050</xdr:colOff>
      <xdr:row>20</xdr:row>
      <xdr:rowOff>76200</xdr:rowOff>
    </xdr:from>
    <xdr:ext cx="184731" cy="264560"/>
    <xdr:sp macro="" textlink="">
      <xdr:nvSpPr>
        <xdr:cNvPr id="2" name="CuadroTexto 1"/>
        <xdr:cNvSpPr txBox="1"/>
      </xdr:nvSpPr>
      <xdr:spPr>
        <a:xfrm>
          <a:off x="6962775"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drawings/drawing43.xml><?xml version="1.0" encoding="utf-8"?>
<xdr:wsDr xmlns:xdr="http://schemas.openxmlformats.org/drawingml/2006/spreadsheetDrawing" xmlns:a="http://schemas.openxmlformats.org/drawingml/2006/main">
  <xdr:twoCellAnchor>
    <xdr:from>
      <xdr:col>0</xdr:col>
      <xdr:colOff>419100</xdr:colOff>
      <xdr:row>67</xdr:row>
      <xdr:rowOff>0</xdr:rowOff>
    </xdr:from>
    <xdr:to>
      <xdr:col>6</xdr:col>
      <xdr:colOff>628650</xdr:colOff>
      <xdr:row>83</xdr:row>
      <xdr:rowOff>123825</xdr:rowOff>
    </xdr:to>
    <xdr:graphicFrame macro="">
      <xdr:nvGraphicFramePr>
        <xdr:cNvPr id="65570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0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0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0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0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09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0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0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0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0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419100</xdr:colOff>
      <xdr:row>67</xdr:row>
      <xdr:rowOff>0</xdr:rowOff>
    </xdr:from>
    <xdr:to>
      <xdr:col>6</xdr:col>
      <xdr:colOff>628650</xdr:colOff>
      <xdr:row>83</xdr:row>
      <xdr:rowOff>123825</xdr:rowOff>
    </xdr:to>
    <xdr:graphicFrame macro="">
      <xdr:nvGraphicFramePr>
        <xdr:cNvPr id="65570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1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1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1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1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49</xdr:row>
      <xdr:rowOff>9525</xdr:rowOff>
    </xdr:from>
    <xdr:to>
      <xdr:col>5</xdr:col>
      <xdr:colOff>781050</xdr:colOff>
      <xdr:row>64</xdr:row>
      <xdr:rowOff>95250</xdr:rowOff>
    </xdr:to>
    <xdr:graphicFrame macro="">
      <xdr:nvGraphicFramePr>
        <xdr:cNvPr id="65584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4131733</xdr:colOff>
      <xdr:row>30</xdr:row>
      <xdr:rowOff>14816</xdr:rowOff>
    </xdr:from>
    <xdr:to>
      <xdr:col>9</xdr:col>
      <xdr:colOff>203200</xdr:colOff>
      <xdr:row>43</xdr:row>
      <xdr:rowOff>78316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48</xdr:row>
      <xdr:rowOff>31748</xdr:rowOff>
    </xdr:from>
    <xdr:to>
      <xdr:col>9</xdr:col>
      <xdr:colOff>135466</xdr:colOff>
      <xdr:row>66</xdr:row>
      <xdr:rowOff>38099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70</xdr:row>
      <xdr:rowOff>31748</xdr:rowOff>
    </xdr:from>
    <xdr:to>
      <xdr:col>9</xdr:col>
      <xdr:colOff>203200</xdr:colOff>
      <xdr:row>88</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38099</xdr:colOff>
      <xdr:row>92</xdr:row>
      <xdr:rowOff>31748</xdr:rowOff>
    </xdr:from>
    <xdr:to>
      <xdr:col>9</xdr:col>
      <xdr:colOff>262466</xdr:colOff>
      <xdr:row>110</xdr:row>
      <xdr:rowOff>38099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4157132</xdr:colOff>
      <xdr:row>113</xdr:row>
      <xdr:rowOff>0</xdr:rowOff>
    </xdr:from>
    <xdr:to>
      <xdr:col>9</xdr:col>
      <xdr:colOff>287866</xdr:colOff>
      <xdr:row>131</xdr:row>
      <xdr:rowOff>6351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4157132</xdr:colOff>
      <xdr:row>133</xdr:row>
      <xdr:rowOff>0</xdr:rowOff>
    </xdr:from>
    <xdr:to>
      <xdr:col>9</xdr:col>
      <xdr:colOff>338666</xdr:colOff>
      <xdr:row>151</xdr:row>
      <xdr:rowOff>6351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4157132</xdr:colOff>
      <xdr:row>153</xdr:row>
      <xdr:rowOff>0</xdr:rowOff>
    </xdr:from>
    <xdr:to>
      <xdr:col>9</xdr:col>
      <xdr:colOff>338666</xdr:colOff>
      <xdr:row>171</xdr:row>
      <xdr:rowOff>6351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714375</xdr:colOff>
      <xdr:row>90</xdr:row>
      <xdr:rowOff>95250</xdr:rowOff>
    </xdr:from>
    <xdr:to>
      <xdr:col>1</xdr:col>
      <xdr:colOff>9525</xdr:colOff>
      <xdr:row>91</xdr:row>
      <xdr:rowOff>95250</xdr:rowOff>
    </xdr:to>
    <xdr:sp macro="" textlink="">
      <xdr:nvSpPr>
        <xdr:cNvPr id="59394" name="Rectangle 2"/>
        <xdr:cNvSpPr>
          <a:spLocks noChangeArrowheads="1"/>
        </xdr:cNvSpPr>
      </xdr:nvSpPr>
      <xdr:spPr bwMode="auto">
        <a:xfrm>
          <a:off x="714375" y="17011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twoCellAnchor>
    <xdr:from>
      <xdr:col>0</xdr:col>
      <xdr:colOff>590550</xdr:colOff>
      <xdr:row>88</xdr:row>
      <xdr:rowOff>28575</xdr:rowOff>
    </xdr:from>
    <xdr:to>
      <xdr:col>7</xdr:col>
      <xdr:colOff>114300</xdr:colOff>
      <xdr:row>106</xdr:row>
      <xdr:rowOff>38100</xdr:rowOff>
    </xdr:to>
    <xdr:graphicFrame macro="">
      <xdr:nvGraphicFramePr>
        <xdr:cNvPr id="655882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89</xdr:row>
      <xdr:rowOff>47625</xdr:rowOff>
    </xdr:from>
    <xdr:to>
      <xdr:col>1</xdr:col>
      <xdr:colOff>19050</xdr:colOff>
      <xdr:row>90</xdr:row>
      <xdr:rowOff>47625</xdr:rowOff>
    </xdr:to>
    <xdr:sp macro="" textlink="">
      <xdr:nvSpPr>
        <xdr:cNvPr id="2" name="Rectangle 2"/>
        <xdr:cNvSpPr>
          <a:spLocks noChangeArrowheads="1"/>
        </xdr:cNvSpPr>
      </xdr:nvSpPr>
      <xdr:spPr bwMode="auto">
        <a:xfrm>
          <a:off x="723900" y="18154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568325</xdr:colOff>
      <xdr:row>56</xdr:row>
      <xdr:rowOff>76200</xdr:rowOff>
    </xdr:from>
    <xdr:to>
      <xdr:col>10</xdr:col>
      <xdr:colOff>434975</xdr:colOff>
      <xdr:row>81</xdr:row>
      <xdr:rowOff>12699</xdr:rowOff>
    </xdr:to>
    <xdr:graphicFrame macro="">
      <xdr:nvGraphicFramePr>
        <xdr:cNvPr id="655902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406400</xdr:colOff>
      <xdr:row>85</xdr:row>
      <xdr:rowOff>139700</xdr:rowOff>
    </xdr:from>
    <xdr:to>
      <xdr:col>11</xdr:col>
      <xdr:colOff>38100</xdr:colOff>
      <xdr:row>110</xdr:row>
      <xdr:rowOff>76199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15</xdr:row>
      <xdr:rowOff>9525</xdr:rowOff>
    </xdr:from>
    <xdr:to>
      <xdr:col>12</xdr:col>
      <xdr:colOff>219075</xdr:colOff>
      <xdr:row>39</xdr:row>
      <xdr:rowOff>152400</xdr:rowOff>
    </xdr:to>
    <xdr:graphicFrame macro="">
      <xdr:nvGraphicFramePr>
        <xdr:cNvPr id="65593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9525</xdr:rowOff>
    </xdr:from>
    <xdr:to>
      <xdr:col>12</xdr:col>
      <xdr:colOff>219075</xdr:colOff>
      <xdr:row>39</xdr:row>
      <xdr:rowOff>152400</xdr:rowOff>
    </xdr:to>
    <xdr:graphicFrame macro="">
      <xdr:nvGraphicFramePr>
        <xdr:cNvPr id="65593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xml><?xml version="1.0" encoding="utf-8"?>
<xdr:wsDr xmlns:xdr="http://schemas.openxmlformats.org/drawingml/2006/spreadsheetDrawing" xmlns:a="http://schemas.openxmlformats.org/drawingml/2006/main">
  <xdr:twoCellAnchor>
    <xdr:from>
      <xdr:col>2</xdr:col>
      <xdr:colOff>28575</xdr:colOff>
      <xdr:row>8</xdr:row>
      <xdr:rowOff>95250</xdr:rowOff>
    </xdr:from>
    <xdr:to>
      <xdr:col>4</xdr:col>
      <xdr:colOff>200025</xdr:colOff>
      <xdr:row>8</xdr:row>
      <xdr:rowOff>95250</xdr:rowOff>
    </xdr:to>
    <xdr:sp macro="" textlink="">
      <xdr:nvSpPr>
        <xdr:cNvPr id="66178980"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8981"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8982"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8983"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8984"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8985"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8986"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10</xdr:col>
      <xdr:colOff>9525</xdr:colOff>
      <xdr:row>9</xdr:row>
      <xdr:rowOff>85725</xdr:rowOff>
    </xdr:from>
    <xdr:to>
      <xdr:col>14</xdr:col>
      <xdr:colOff>0</xdr:colOff>
      <xdr:row>9</xdr:row>
      <xdr:rowOff>85725</xdr:rowOff>
    </xdr:to>
    <xdr:sp macro="" textlink="">
      <xdr:nvSpPr>
        <xdr:cNvPr id="66178987"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8988"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8989"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10</xdr:col>
      <xdr:colOff>9525</xdr:colOff>
      <xdr:row>23</xdr:row>
      <xdr:rowOff>85725</xdr:rowOff>
    </xdr:from>
    <xdr:to>
      <xdr:col>10</xdr:col>
      <xdr:colOff>428625</xdr:colOff>
      <xdr:row>23</xdr:row>
      <xdr:rowOff>85725</xdr:rowOff>
    </xdr:to>
    <xdr:sp macro="" textlink="">
      <xdr:nvSpPr>
        <xdr:cNvPr id="66178990"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8991"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8992"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8993"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8994"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8995"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17899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17899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17899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2</xdr:col>
      <xdr:colOff>19050</xdr:colOff>
      <xdr:row>37</xdr:row>
      <xdr:rowOff>76200</xdr:rowOff>
    </xdr:from>
    <xdr:to>
      <xdr:col>4</xdr:col>
      <xdr:colOff>190500</xdr:colOff>
      <xdr:row>37</xdr:row>
      <xdr:rowOff>85725</xdr:rowOff>
    </xdr:to>
    <xdr:sp macro="" textlink="">
      <xdr:nvSpPr>
        <xdr:cNvPr id="66178999" name="Line 44"/>
        <xdr:cNvSpPr>
          <a:spLocks noChangeShapeType="1"/>
        </xdr:cNvSpPr>
      </xdr:nvSpPr>
      <xdr:spPr bwMode="auto">
        <a:xfrm>
          <a:off x="1266825" y="6219825"/>
          <a:ext cx="1381125" cy="9525"/>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17900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17900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17900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17900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17900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17900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17900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17900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17900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17900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17901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17901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17901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17901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17901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17901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17901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17901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17901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17901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17902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17902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17902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17902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17902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17902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10</xdr:col>
      <xdr:colOff>9525</xdr:colOff>
      <xdr:row>35</xdr:row>
      <xdr:rowOff>85725</xdr:rowOff>
    </xdr:from>
    <xdr:to>
      <xdr:col>17</xdr:col>
      <xdr:colOff>152400</xdr:colOff>
      <xdr:row>35</xdr:row>
      <xdr:rowOff>85725</xdr:rowOff>
    </xdr:to>
    <xdr:sp macro="" textlink="">
      <xdr:nvSpPr>
        <xdr:cNvPr id="6617902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17902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10</xdr:col>
      <xdr:colOff>9525</xdr:colOff>
      <xdr:row>38</xdr:row>
      <xdr:rowOff>85725</xdr:rowOff>
    </xdr:from>
    <xdr:to>
      <xdr:col>17</xdr:col>
      <xdr:colOff>152400</xdr:colOff>
      <xdr:row>38</xdr:row>
      <xdr:rowOff>85725</xdr:rowOff>
    </xdr:to>
    <xdr:sp macro="" textlink="">
      <xdr:nvSpPr>
        <xdr:cNvPr id="6617902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10</xdr:col>
      <xdr:colOff>9525</xdr:colOff>
      <xdr:row>31</xdr:row>
      <xdr:rowOff>85725</xdr:rowOff>
    </xdr:from>
    <xdr:to>
      <xdr:col>17</xdr:col>
      <xdr:colOff>152400</xdr:colOff>
      <xdr:row>31</xdr:row>
      <xdr:rowOff>85725</xdr:rowOff>
    </xdr:to>
    <xdr:sp macro="" textlink="">
      <xdr:nvSpPr>
        <xdr:cNvPr id="6617902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10</xdr:col>
      <xdr:colOff>0</xdr:colOff>
      <xdr:row>20</xdr:row>
      <xdr:rowOff>95250</xdr:rowOff>
    </xdr:from>
    <xdr:to>
      <xdr:col>17</xdr:col>
      <xdr:colOff>171450</xdr:colOff>
      <xdr:row>20</xdr:row>
      <xdr:rowOff>95250</xdr:rowOff>
    </xdr:to>
    <xdr:sp macro="" textlink="">
      <xdr:nvSpPr>
        <xdr:cNvPr id="6617903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17903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10</xdr:col>
      <xdr:colOff>0</xdr:colOff>
      <xdr:row>16</xdr:row>
      <xdr:rowOff>76200</xdr:rowOff>
    </xdr:from>
    <xdr:to>
      <xdr:col>17</xdr:col>
      <xdr:colOff>171450</xdr:colOff>
      <xdr:row>16</xdr:row>
      <xdr:rowOff>76200</xdr:rowOff>
    </xdr:to>
    <xdr:sp macro="" textlink="">
      <xdr:nvSpPr>
        <xdr:cNvPr id="6617903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17903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17903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17903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17903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4</xdr:col>
      <xdr:colOff>0</xdr:colOff>
      <xdr:row>23</xdr:row>
      <xdr:rowOff>114300</xdr:rowOff>
    </xdr:from>
    <xdr:to>
      <xdr:col>5</xdr:col>
      <xdr:colOff>0</xdr:colOff>
      <xdr:row>23</xdr:row>
      <xdr:rowOff>133350</xdr:rowOff>
    </xdr:to>
    <xdr:sp macro="" textlink="">
      <xdr:nvSpPr>
        <xdr:cNvPr id="66179038" name="Line 103"/>
        <xdr:cNvSpPr>
          <a:spLocks noChangeShapeType="1"/>
        </xdr:cNvSpPr>
      </xdr:nvSpPr>
      <xdr:spPr bwMode="auto">
        <a:xfrm flipV="1">
          <a:off x="2457450" y="3990975"/>
          <a:ext cx="581025" cy="1905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17903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17904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17904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17904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17904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17904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17904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17904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17904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17904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17904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17905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4</xdr:col>
      <xdr:colOff>123825</xdr:colOff>
      <xdr:row>14</xdr:row>
      <xdr:rowOff>104775</xdr:rowOff>
    </xdr:from>
    <xdr:to>
      <xdr:col>4</xdr:col>
      <xdr:colOff>561975</xdr:colOff>
      <xdr:row>15</xdr:row>
      <xdr:rowOff>66675</xdr:rowOff>
    </xdr:to>
    <xdr:sp macro="" textlink="">
      <xdr:nvSpPr>
        <xdr:cNvPr id="66179053" name="Line 129"/>
        <xdr:cNvSpPr>
          <a:spLocks noChangeShapeType="1"/>
        </xdr:cNvSpPr>
      </xdr:nvSpPr>
      <xdr:spPr bwMode="auto">
        <a:xfrm flipV="1">
          <a:off x="2581275" y="2524125"/>
          <a:ext cx="438150" cy="123825"/>
        </a:xfrm>
        <a:prstGeom prst="line">
          <a:avLst/>
        </a:prstGeom>
        <a:noFill/>
        <a:ln w="9525">
          <a:solidFill>
            <a:srgbClr val="000000"/>
          </a:solidFill>
          <a:round/>
          <a:headEnd/>
          <a:tailEnd type="triangle" w="med" len="med"/>
        </a:ln>
      </xdr:spPr>
    </xdr:sp>
    <xdr:clientData/>
  </xdr:twoCellAnchor>
  <xdr:twoCellAnchor>
    <xdr:from>
      <xdr:col>4</xdr:col>
      <xdr:colOff>9525</xdr:colOff>
      <xdr:row>26</xdr:row>
      <xdr:rowOff>95250</xdr:rowOff>
    </xdr:from>
    <xdr:to>
      <xdr:col>10</xdr:col>
      <xdr:colOff>466725</xdr:colOff>
      <xdr:row>27</xdr:row>
      <xdr:rowOff>95250</xdr:rowOff>
    </xdr:to>
    <xdr:sp macro="" textlink="">
      <xdr:nvSpPr>
        <xdr:cNvPr id="66179054" name="Line 130"/>
        <xdr:cNvSpPr>
          <a:spLocks noChangeShapeType="1"/>
        </xdr:cNvSpPr>
      </xdr:nvSpPr>
      <xdr:spPr bwMode="auto">
        <a:xfrm flipV="1">
          <a:off x="2466975" y="4457700"/>
          <a:ext cx="2495550" cy="161925"/>
        </a:xfrm>
        <a:prstGeom prst="line">
          <a:avLst/>
        </a:prstGeom>
        <a:noFill/>
        <a:ln w="9525">
          <a:solidFill>
            <a:srgbClr val="000000"/>
          </a:solidFill>
          <a:round/>
          <a:headEnd/>
          <a:tailEnd type="triangle" w="med" len="med"/>
        </a:ln>
      </xdr:spPr>
    </xdr:sp>
    <xdr:clientData/>
  </xdr:twoCellAnchor>
  <xdr:twoCellAnchor>
    <xdr:from>
      <xdr:col>4</xdr:col>
      <xdr:colOff>466725</xdr:colOff>
      <xdr:row>18</xdr:row>
      <xdr:rowOff>51435</xdr:rowOff>
    </xdr:from>
    <xdr:to>
      <xdr:col>10</xdr:col>
      <xdr:colOff>419100</xdr:colOff>
      <xdr:row>19</xdr:row>
      <xdr:rowOff>47625</xdr:rowOff>
    </xdr:to>
    <xdr:sp macro="" textlink="">
      <xdr:nvSpPr>
        <xdr:cNvPr id="66179055" name="Line 131"/>
        <xdr:cNvSpPr>
          <a:spLocks noChangeShapeType="1"/>
        </xdr:cNvSpPr>
      </xdr:nvSpPr>
      <xdr:spPr bwMode="auto">
        <a:xfrm>
          <a:off x="2924175" y="3118485"/>
          <a:ext cx="1990725" cy="158115"/>
        </a:xfrm>
        <a:prstGeom prst="line">
          <a:avLst/>
        </a:prstGeom>
        <a:noFill/>
        <a:ln w="9525">
          <a:solidFill>
            <a:srgbClr val="000000"/>
          </a:solidFill>
          <a:round/>
          <a:headEnd/>
          <a:tailEnd type="triangle" w="med" len="med"/>
        </a:ln>
      </xdr:spPr>
    </xdr:sp>
    <xdr:clientData/>
  </xdr:twoCellAnchor>
  <xdr:twoCellAnchor>
    <xdr:from>
      <xdr:col>2</xdr:col>
      <xdr:colOff>28575</xdr:colOff>
      <xdr:row>8</xdr:row>
      <xdr:rowOff>95250</xdr:rowOff>
    </xdr:from>
    <xdr:to>
      <xdr:col>4</xdr:col>
      <xdr:colOff>200025</xdr:colOff>
      <xdr:row>8</xdr:row>
      <xdr:rowOff>95250</xdr:rowOff>
    </xdr:to>
    <xdr:sp macro="" textlink="">
      <xdr:nvSpPr>
        <xdr:cNvPr id="66179056"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9057"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9058"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9059"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9060"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9061"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9062"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9</xdr:col>
      <xdr:colOff>361950</xdr:colOff>
      <xdr:row>9</xdr:row>
      <xdr:rowOff>85725</xdr:rowOff>
    </xdr:from>
    <xdr:to>
      <xdr:col>14</xdr:col>
      <xdr:colOff>0</xdr:colOff>
      <xdr:row>9</xdr:row>
      <xdr:rowOff>85725</xdr:rowOff>
    </xdr:to>
    <xdr:sp macro="" textlink="">
      <xdr:nvSpPr>
        <xdr:cNvPr id="66179063" name="Line 28"/>
        <xdr:cNvSpPr>
          <a:spLocks noChangeShapeType="1"/>
        </xdr:cNvSpPr>
      </xdr:nvSpPr>
      <xdr:spPr bwMode="auto">
        <a:xfrm>
          <a:off x="5095875" y="1695450"/>
          <a:ext cx="282892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9064"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9065"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66675</xdr:colOff>
      <xdr:row>23</xdr:row>
      <xdr:rowOff>85724</xdr:rowOff>
    </xdr:from>
    <xdr:to>
      <xdr:col>11</xdr:col>
      <xdr:colOff>1</xdr:colOff>
      <xdr:row>23</xdr:row>
      <xdr:rowOff>95249</xdr:rowOff>
    </xdr:to>
    <xdr:sp macro="" textlink="">
      <xdr:nvSpPr>
        <xdr:cNvPr id="66179066" name="Line 32"/>
        <xdr:cNvSpPr>
          <a:spLocks noChangeShapeType="1"/>
        </xdr:cNvSpPr>
      </xdr:nvSpPr>
      <xdr:spPr bwMode="auto">
        <a:xfrm flipV="1">
          <a:off x="4562475" y="3962399"/>
          <a:ext cx="1457326" cy="9525"/>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9067"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9068"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9069"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9070"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9071"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95321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95321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95321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95322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95322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95322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95322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95322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95322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95322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95322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95322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95322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95323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95323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95323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95323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95323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95323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95323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95323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95323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95323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95324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95324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95324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95324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95324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95324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85725</xdr:colOff>
      <xdr:row>35</xdr:row>
      <xdr:rowOff>85725</xdr:rowOff>
    </xdr:from>
    <xdr:to>
      <xdr:col>17</xdr:col>
      <xdr:colOff>152400</xdr:colOff>
      <xdr:row>35</xdr:row>
      <xdr:rowOff>85725</xdr:rowOff>
    </xdr:to>
    <xdr:sp macro="" textlink="">
      <xdr:nvSpPr>
        <xdr:cNvPr id="66953246" name="Line 91"/>
        <xdr:cNvSpPr>
          <a:spLocks noChangeShapeType="1"/>
        </xdr:cNvSpPr>
      </xdr:nvSpPr>
      <xdr:spPr bwMode="auto">
        <a:xfrm>
          <a:off x="4581525" y="5905500"/>
          <a:ext cx="4619625"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95324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133351</xdr:colOff>
      <xdr:row>38</xdr:row>
      <xdr:rowOff>85725</xdr:rowOff>
    </xdr:from>
    <xdr:to>
      <xdr:col>17</xdr:col>
      <xdr:colOff>152401</xdr:colOff>
      <xdr:row>38</xdr:row>
      <xdr:rowOff>85725</xdr:rowOff>
    </xdr:to>
    <xdr:sp macro="" textlink="">
      <xdr:nvSpPr>
        <xdr:cNvPr id="66953248" name="Line 93"/>
        <xdr:cNvSpPr>
          <a:spLocks noChangeShapeType="1"/>
        </xdr:cNvSpPr>
      </xdr:nvSpPr>
      <xdr:spPr bwMode="auto">
        <a:xfrm>
          <a:off x="4629151" y="6391275"/>
          <a:ext cx="4572000" cy="0"/>
        </a:xfrm>
        <a:prstGeom prst="line">
          <a:avLst/>
        </a:prstGeom>
        <a:noFill/>
        <a:ln w="9525">
          <a:solidFill>
            <a:srgbClr val="000000"/>
          </a:solidFill>
          <a:round/>
          <a:headEnd/>
          <a:tailEnd/>
        </a:ln>
      </xdr:spPr>
    </xdr:sp>
    <xdr:clientData/>
  </xdr:twoCellAnchor>
  <xdr:twoCellAnchor>
    <xdr:from>
      <xdr:col>8</xdr:col>
      <xdr:colOff>38101</xdr:colOff>
      <xdr:row>31</xdr:row>
      <xdr:rowOff>85725</xdr:rowOff>
    </xdr:from>
    <xdr:to>
      <xdr:col>17</xdr:col>
      <xdr:colOff>152401</xdr:colOff>
      <xdr:row>31</xdr:row>
      <xdr:rowOff>85725</xdr:rowOff>
    </xdr:to>
    <xdr:sp macro="" textlink="">
      <xdr:nvSpPr>
        <xdr:cNvPr id="66953249" name="Line 94"/>
        <xdr:cNvSpPr>
          <a:spLocks noChangeShapeType="1"/>
        </xdr:cNvSpPr>
      </xdr:nvSpPr>
      <xdr:spPr bwMode="auto">
        <a:xfrm>
          <a:off x="4533901" y="5257800"/>
          <a:ext cx="4667250" cy="0"/>
        </a:xfrm>
        <a:prstGeom prst="line">
          <a:avLst/>
        </a:prstGeom>
        <a:noFill/>
        <a:ln w="9525">
          <a:solidFill>
            <a:srgbClr val="000000"/>
          </a:solidFill>
          <a:round/>
          <a:headEnd/>
          <a:tailEnd/>
        </a:ln>
      </xdr:spPr>
    </xdr:sp>
    <xdr:clientData/>
  </xdr:twoCellAnchor>
  <xdr:twoCellAnchor>
    <xdr:from>
      <xdr:col>8</xdr:col>
      <xdr:colOff>95250</xdr:colOff>
      <xdr:row>20</xdr:row>
      <xdr:rowOff>85725</xdr:rowOff>
    </xdr:from>
    <xdr:to>
      <xdr:col>17</xdr:col>
      <xdr:colOff>171450</xdr:colOff>
      <xdr:row>20</xdr:row>
      <xdr:rowOff>95250</xdr:rowOff>
    </xdr:to>
    <xdr:sp macro="" textlink="">
      <xdr:nvSpPr>
        <xdr:cNvPr id="66953250" name="Line 95"/>
        <xdr:cNvSpPr>
          <a:spLocks noChangeShapeType="1"/>
        </xdr:cNvSpPr>
      </xdr:nvSpPr>
      <xdr:spPr bwMode="auto">
        <a:xfrm>
          <a:off x="4591050" y="3476625"/>
          <a:ext cx="4629150" cy="9525"/>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95325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171451</xdr:colOff>
      <xdr:row>16</xdr:row>
      <xdr:rowOff>76199</xdr:rowOff>
    </xdr:from>
    <xdr:to>
      <xdr:col>17</xdr:col>
      <xdr:colOff>171451</xdr:colOff>
      <xdr:row>16</xdr:row>
      <xdr:rowOff>85724</xdr:rowOff>
    </xdr:to>
    <xdr:sp macro="" textlink="">
      <xdr:nvSpPr>
        <xdr:cNvPr id="66953252" name="Line 97"/>
        <xdr:cNvSpPr>
          <a:spLocks noChangeShapeType="1"/>
        </xdr:cNvSpPr>
      </xdr:nvSpPr>
      <xdr:spPr bwMode="auto">
        <a:xfrm flipV="1">
          <a:off x="4667251" y="2819399"/>
          <a:ext cx="4552950" cy="9525"/>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95325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95325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95325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2</xdr:col>
      <xdr:colOff>28575</xdr:colOff>
      <xdr:row>26</xdr:row>
      <xdr:rowOff>40006</xdr:rowOff>
    </xdr:from>
    <xdr:to>
      <xdr:col>10</xdr:col>
      <xdr:colOff>495300</xdr:colOff>
      <xdr:row>26</xdr:row>
      <xdr:rowOff>85725</xdr:rowOff>
    </xdr:to>
    <xdr:sp macro="" textlink="">
      <xdr:nvSpPr>
        <xdr:cNvPr id="66953256" name="Line 101"/>
        <xdr:cNvSpPr>
          <a:spLocks noChangeShapeType="1"/>
        </xdr:cNvSpPr>
      </xdr:nvSpPr>
      <xdr:spPr bwMode="auto">
        <a:xfrm>
          <a:off x="1276350" y="4402456"/>
          <a:ext cx="3714750" cy="45719"/>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95325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95325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95326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95326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95326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95326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95326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95326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95326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95326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95326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95326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95327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14</xdr:col>
      <xdr:colOff>47624</xdr:colOff>
      <xdr:row>18</xdr:row>
      <xdr:rowOff>85723</xdr:rowOff>
    </xdr:from>
    <xdr:to>
      <xdr:col>17</xdr:col>
      <xdr:colOff>171449</xdr:colOff>
      <xdr:row>19</xdr:row>
      <xdr:rowOff>66674</xdr:rowOff>
    </xdr:to>
    <xdr:sp macro="" textlink="">
      <xdr:nvSpPr>
        <xdr:cNvPr id="66953272" name="Line 128"/>
        <xdr:cNvSpPr>
          <a:spLocks noChangeShapeType="1"/>
        </xdr:cNvSpPr>
      </xdr:nvSpPr>
      <xdr:spPr bwMode="auto">
        <a:xfrm flipV="1">
          <a:off x="7972424" y="3152773"/>
          <a:ext cx="1247775" cy="142876"/>
        </a:xfrm>
        <a:prstGeom prst="line">
          <a:avLst/>
        </a:prstGeom>
        <a:noFill/>
        <a:ln w="9525">
          <a:solidFill>
            <a:srgbClr val="000000"/>
          </a:solidFill>
          <a:round/>
          <a:headEnd/>
          <a:tailEnd/>
        </a:ln>
      </xdr:spPr>
    </xdr:sp>
    <xdr:clientData/>
  </xdr:twoCellAnchor>
  <xdr:twoCellAnchor>
    <xdr:from>
      <xdr:col>12</xdr:col>
      <xdr:colOff>9524</xdr:colOff>
      <xdr:row>19</xdr:row>
      <xdr:rowOff>57149</xdr:rowOff>
    </xdr:from>
    <xdr:to>
      <xdr:col>12</xdr:col>
      <xdr:colOff>390525</xdr:colOff>
      <xdr:row>19</xdr:row>
      <xdr:rowOff>102868</xdr:rowOff>
    </xdr:to>
    <xdr:sp macro="" textlink="">
      <xdr:nvSpPr>
        <xdr:cNvPr id="149" name="Line 26"/>
        <xdr:cNvSpPr>
          <a:spLocks noChangeShapeType="1"/>
        </xdr:cNvSpPr>
      </xdr:nvSpPr>
      <xdr:spPr bwMode="auto">
        <a:xfrm>
          <a:off x="6324599" y="3286124"/>
          <a:ext cx="381001" cy="45719"/>
        </a:xfrm>
        <a:prstGeom prst="line">
          <a:avLst/>
        </a:prstGeom>
        <a:noFill/>
        <a:ln w="9525">
          <a:solidFill>
            <a:srgbClr val="000000"/>
          </a:solidFill>
          <a:round/>
          <a:headEnd/>
          <a:tailEnd/>
        </a:ln>
      </xdr:spPr>
    </xdr:sp>
    <xdr:clientData/>
  </xdr:twoCellAnchor>
  <xdr:twoCellAnchor>
    <xdr:from>
      <xdr:col>4</xdr:col>
      <xdr:colOff>133350</xdr:colOff>
      <xdr:row>9</xdr:row>
      <xdr:rowOff>152399</xdr:rowOff>
    </xdr:from>
    <xdr:to>
      <xdr:col>5</xdr:col>
      <xdr:colOff>47625</xdr:colOff>
      <xdr:row>12</xdr:row>
      <xdr:rowOff>38099</xdr:rowOff>
    </xdr:to>
    <xdr:sp macro="" textlink="">
      <xdr:nvSpPr>
        <xdr:cNvPr id="146" name="Line 102"/>
        <xdr:cNvSpPr>
          <a:spLocks noChangeShapeType="1"/>
        </xdr:cNvSpPr>
      </xdr:nvSpPr>
      <xdr:spPr bwMode="auto">
        <a:xfrm flipV="1">
          <a:off x="2590800" y="1762124"/>
          <a:ext cx="495300" cy="371475"/>
        </a:xfrm>
        <a:prstGeom prst="line">
          <a:avLst/>
        </a:prstGeom>
        <a:noFill/>
        <a:ln w="9525">
          <a:solidFill>
            <a:srgbClr val="000000"/>
          </a:solidFill>
          <a:round/>
          <a:headEnd/>
          <a:tailEnd type="triangle" w="med" len="med"/>
        </a:ln>
      </xdr:spPr>
    </xdr:sp>
    <xdr:clientData/>
  </xdr:twoCellAnchor>
</xdr:wsDr>
</file>

<file path=xl/drawings/drawing50.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1.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6</xdr:col>
      <xdr:colOff>409575</xdr:colOff>
      <xdr:row>33</xdr:row>
      <xdr:rowOff>152400</xdr:rowOff>
    </xdr:to>
    <xdr:graphicFrame macro="">
      <xdr:nvGraphicFramePr>
        <xdr:cNvPr id="65597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19050</xdr:rowOff>
    </xdr:from>
    <xdr:to>
      <xdr:col>6</xdr:col>
      <xdr:colOff>409575</xdr:colOff>
      <xdr:row>33</xdr:row>
      <xdr:rowOff>152400</xdr:rowOff>
    </xdr:to>
    <xdr:graphicFrame macro="">
      <xdr:nvGraphicFramePr>
        <xdr:cNvPr id="65597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37</xdr:row>
      <xdr:rowOff>19050</xdr:rowOff>
    </xdr:from>
    <xdr:to>
      <xdr:col>7</xdr:col>
      <xdr:colOff>57150</xdr:colOff>
      <xdr:row>59</xdr:row>
      <xdr:rowOff>57150</xdr:rowOff>
    </xdr:to>
    <xdr:graphicFrame macro="">
      <xdr:nvGraphicFramePr>
        <xdr:cNvPr id="65597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752475</xdr:colOff>
      <xdr:row>51</xdr:row>
      <xdr:rowOff>114300</xdr:rowOff>
    </xdr:from>
    <xdr:to>
      <xdr:col>9</xdr:col>
      <xdr:colOff>47625</xdr:colOff>
      <xdr:row>73</xdr:row>
      <xdr:rowOff>66675</xdr:rowOff>
    </xdr:to>
    <xdr:graphicFrame macro="">
      <xdr:nvGraphicFramePr>
        <xdr:cNvPr id="6560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25</xdr:row>
      <xdr:rowOff>9525</xdr:rowOff>
    </xdr:from>
    <xdr:to>
      <xdr:col>9</xdr:col>
      <xdr:colOff>0</xdr:colOff>
      <xdr:row>46</xdr:row>
      <xdr:rowOff>0</xdr:rowOff>
    </xdr:to>
    <xdr:graphicFrame macro="">
      <xdr:nvGraphicFramePr>
        <xdr:cNvPr id="656026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752475</xdr:colOff>
      <xdr:row>51</xdr:row>
      <xdr:rowOff>114300</xdr:rowOff>
    </xdr:from>
    <xdr:to>
      <xdr:col>9</xdr:col>
      <xdr:colOff>47625</xdr:colOff>
      <xdr:row>73</xdr:row>
      <xdr:rowOff>66675</xdr:rowOff>
    </xdr:to>
    <xdr:graphicFrame macro="">
      <xdr:nvGraphicFramePr>
        <xdr:cNvPr id="65602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24</xdr:row>
      <xdr:rowOff>127000</xdr:rowOff>
    </xdr:from>
    <xdr:to>
      <xdr:col>9</xdr:col>
      <xdr:colOff>0</xdr:colOff>
      <xdr:row>46</xdr:row>
      <xdr:rowOff>1</xdr:rowOff>
    </xdr:to>
    <xdr:graphicFrame macro="">
      <xdr:nvGraphicFramePr>
        <xdr:cNvPr id="65602614" name="Chart 19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9525</xdr:colOff>
      <xdr:row>23</xdr:row>
      <xdr:rowOff>0</xdr:rowOff>
    </xdr:from>
    <xdr:to>
      <xdr:col>8</xdr:col>
      <xdr:colOff>104775</xdr:colOff>
      <xdr:row>36</xdr:row>
      <xdr:rowOff>152400</xdr:rowOff>
    </xdr:to>
    <xdr:graphicFrame macro="">
      <xdr:nvGraphicFramePr>
        <xdr:cNvPr id="60377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8</xdr:col>
      <xdr:colOff>104775</xdr:colOff>
      <xdr:row>55</xdr:row>
      <xdr:rowOff>0</xdr:rowOff>
    </xdr:to>
    <xdr:graphicFrame macro="">
      <xdr:nvGraphicFramePr>
        <xdr:cNvPr id="603770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142875</xdr:colOff>
      <xdr:row>46</xdr:row>
      <xdr:rowOff>142875</xdr:rowOff>
    </xdr:from>
    <xdr:ext cx="609600" cy="180975"/>
    <xdr:sp macro="" textlink="">
      <xdr:nvSpPr>
        <xdr:cNvPr id="71683" name="Texto 6"/>
        <xdr:cNvSpPr txBox="1">
          <a:spLocks noChangeArrowheads="1"/>
        </xdr:cNvSpPr>
      </xdr:nvSpPr>
      <xdr:spPr bwMode="auto">
        <a:xfrm>
          <a:off x="3629025" y="823912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6</xdr:col>
      <xdr:colOff>171450</xdr:colOff>
      <xdr:row>26</xdr:row>
      <xdr:rowOff>76200</xdr:rowOff>
    </xdr:from>
    <xdr:ext cx="609600" cy="180975"/>
    <xdr:sp macro="" textlink="">
      <xdr:nvSpPr>
        <xdr:cNvPr id="71684" name="Texto 7"/>
        <xdr:cNvSpPr txBox="1">
          <a:spLocks noChangeArrowheads="1"/>
        </xdr:cNvSpPr>
      </xdr:nvSpPr>
      <xdr:spPr bwMode="auto">
        <a:xfrm>
          <a:off x="3657600" y="49339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51</xdr:row>
      <xdr:rowOff>0</xdr:rowOff>
    </xdr:from>
    <xdr:ext cx="619125" cy="180975"/>
    <xdr:sp macro="" textlink="">
      <xdr:nvSpPr>
        <xdr:cNvPr id="71685" name="Texto 8"/>
        <xdr:cNvSpPr txBox="1">
          <a:spLocks noChangeArrowheads="1"/>
        </xdr:cNvSpPr>
      </xdr:nvSpPr>
      <xdr:spPr bwMode="auto">
        <a:xfrm>
          <a:off x="3381375" y="890587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oneCellAnchor>
    <xdr:from>
      <xdr:col>5</xdr:col>
      <xdr:colOff>257175</xdr:colOff>
      <xdr:row>31</xdr:row>
      <xdr:rowOff>28575</xdr:rowOff>
    </xdr:from>
    <xdr:ext cx="619125" cy="180975"/>
    <xdr:sp macro="" textlink="">
      <xdr:nvSpPr>
        <xdr:cNvPr id="71686" name="Texto 9"/>
        <xdr:cNvSpPr txBox="1">
          <a:spLocks noChangeArrowheads="1"/>
        </xdr:cNvSpPr>
      </xdr:nvSpPr>
      <xdr:spPr bwMode="auto">
        <a:xfrm>
          <a:off x="3143250" y="569595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381000</xdr:colOff>
      <xdr:row>67</xdr:row>
      <xdr:rowOff>9525</xdr:rowOff>
    </xdr:from>
    <xdr:to>
      <xdr:col>8</xdr:col>
      <xdr:colOff>485775</xdr:colOff>
      <xdr:row>81</xdr:row>
      <xdr:rowOff>9525</xdr:rowOff>
    </xdr:to>
    <xdr:graphicFrame macro="">
      <xdr:nvGraphicFramePr>
        <xdr:cNvPr id="603770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6</xdr:col>
      <xdr:colOff>504825</xdr:colOff>
      <xdr:row>73</xdr:row>
      <xdr:rowOff>19050</xdr:rowOff>
    </xdr:from>
    <xdr:ext cx="609600" cy="180975"/>
    <xdr:sp macro="" textlink="">
      <xdr:nvSpPr>
        <xdr:cNvPr id="71688" name="Texto 6"/>
        <xdr:cNvSpPr txBox="1">
          <a:spLocks noChangeArrowheads="1"/>
        </xdr:cNvSpPr>
      </xdr:nvSpPr>
      <xdr:spPr bwMode="auto">
        <a:xfrm>
          <a:off x="3990975" y="1248727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4</xdr:col>
      <xdr:colOff>495300</xdr:colOff>
      <xdr:row>75</xdr:row>
      <xdr:rowOff>85725</xdr:rowOff>
    </xdr:from>
    <xdr:ext cx="619125" cy="180975"/>
    <xdr:sp macro="" textlink="">
      <xdr:nvSpPr>
        <xdr:cNvPr id="71689" name="Texto 8"/>
        <xdr:cNvSpPr txBox="1">
          <a:spLocks noChangeArrowheads="1"/>
        </xdr:cNvSpPr>
      </xdr:nvSpPr>
      <xdr:spPr bwMode="auto">
        <a:xfrm>
          <a:off x="2781300" y="1287780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400050</xdr:colOff>
      <xdr:row>85</xdr:row>
      <xdr:rowOff>0</xdr:rowOff>
    </xdr:from>
    <xdr:to>
      <xdr:col>8</xdr:col>
      <xdr:colOff>504825</xdr:colOff>
      <xdr:row>99</xdr:row>
      <xdr:rowOff>0</xdr:rowOff>
    </xdr:to>
    <xdr:graphicFrame macro="">
      <xdr:nvGraphicFramePr>
        <xdr:cNvPr id="603770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542925</xdr:colOff>
      <xdr:row>91</xdr:row>
      <xdr:rowOff>28575</xdr:rowOff>
    </xdr:from>
    <xdr:ext cx="609600" cy="180975"/>
    <xdr:sp macro="" textlink="">
      <xdr:nvSpPr>
        <xdr:cNvPr id="71691" name="Texto 6"/>
        <xdr:cNvSpPr txBox="1">
          <a:spLocks noChangeArrowheads="1"/>
        </xdr:cNvSpPr>
      </xdr:nvSpPr>
      <xdr:spPr bwMode="auto">
        <a:xfrm>
          <a:off x="4029075" y="154114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93</xdr:row>
      <xdr:rowOff>114300</xdr:rowOff>
    </xdr:from>
    <xdr:ext cx="619125" cy="180975"/>
    <xdr:sp macro="" textlink="">
      <xdr:nvSpPr>
        <xdr:cNvPr id="71692" name="Texto 8"/>
        <xdr:cNvSpPr txBox="1">
          <a:spLocks noChangeArrowheads="1"/>
        </xdr:cNvSpPr>
      </xdr:nvSpPr>
      <xdr:spPr bwMode="auto">
        <a:xfrm>
          <a:off x="3381375" y="1582102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342900</xdr:colOff>
      <xdr:row>24</xdr:row>
      <xdr:rowOff>19050</xdr:rowOff>
    </xdr:from>
    <xdr:to>
      <xdr:col>11</xdr:col>
      <xdr:colOff>9525</xdr:colOff>
      <xdr:row>39</xdr:row>
      <xdr:rowOff>19050</xdr:rowOff>
    </xdr:to>
    <xdr:graphicFrame macro="">
      <xdr:nvGraphicFramePr>
        <xdr:cNvPr id="327731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44</xdr:row>
      <xdr:rowOff>19050</xdr:rowOff>
    </xdr:from>
    <xdr:to>
      <xdr:col>11</xdr:col>
      <xdr:colOff>9525</xdr:colOff>
      <xdr:row>59</xdr:row>
      <xdr:rowOff>19050</xdr:rowOff>
    </xdr:to>
    <xdr:graphicFrame macro="">
      <xdr:nvGraphicFramePr>
        <xdr:cNvPr id="327731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0.01073</cdr:x>
      <cdr:y>0.10155</cdr:y>
    </cdr:from>
    <cdr:to>
      <cdr:x>0.07507</cdr:x>
      <cdr:y>0.16017</cdr:y>
    </cdr:to>
    <cdr:sp macro="" textlink="">
      <cdr:nvSpPr>
        <cdr:cNvPr id="77825" name="Texto 1"/>
        <cdr:cNvSpPr txBox="1">
          <a:spLocks xmlns:a="http://schemas.openxmlformats.org/drawingml/2006/main" noChangeArrowheads="1"/>
        </cdr:cNvSpPr>
      </cdr:nvSpPr>
      <cdr:spPr bwMode="auto">
        <a:xfrm xmlns:a="http://schemas.openxmlformats.org/drawingml/2006/main">
          <a:off x="48955" y="246659"/>
          <a:ext cx="293550" cy="1423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6.xml><?xml version="1.0" encoding="utf-8"?>
<c:userShapes xmlns:c="http://schemas.openxmlformats.org/drawingml/2006/chart">
  <cdr:relSizeAnchor xmlns:cdr="http://schemas.openxmlformats.org/drawingml/2006/chartDrawing">
    <cdr:from>
      <cdr:x>0.01342</cdr:x>
      <cdr:y>0.14469</cdr:y>
    </cdr:from>
    <cdr:to>
      <cdr:x>0.07776</cdr:x>
      <cdr:y>0.20331</cdr:y>
    </cdr:to>
    <cdr:sp macro="" textlink="">
      <cdr:nvSpPr>
        <cdr:cNvPr id="78849" name="Texto 1"/>
        <cdr:cNvSpPr txBox="1">
          <a:spLocks xmlns:a="http://schemas.openxmlformats.org/drawingml/2006/main" noChangeArrowheads="1"/>
        </cdr:cNvSpPr>
      </cdr:nvSpPr>
      <cdr:spPr bwMode="auto">
        <a:xfrm xmlns:a="http://schemas.openxmlformats.org/drawingml/2006/main">
          <a:off x="62744"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95250</xdr:colOff>
      <xdr:row>40</xdr:row>
      <xdr:rowOff>9525</xdr:rowOff>
    </xdr:to>
    <xdr:graphicFrame macro="">
      <xdr:nvGraphicFramePr>
        <xdr:cNvPr id="327761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61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792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92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2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2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35</xdr:row>
      <xdr:rowOff>152400</xdr:rowOff>
    </xdr:from>
    <xdr:to>
      <xdr:col>6</xdr:col>
      <xdr:colOff>333375</xdr:colOff>
      <xdr:row>49</xdr:row>
      <xdr:rowOff>0</xdr:rowOff>
    </xdr:to>
    <xdr:graphicFrame macro="">
      <xdr:nvGraphicFramePr>
        <xdr:cNvPr id="65488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35</xdr:row>
      <xdr:rowOff>152400</xdr:rowOff>
    </xdr:from>
    <xdr:to>
      <xdr:col>6</xdr:col>
      <xdr:colOff>333375</xdr:colOff>
      <xdr:row>49</xdr:row>
      <xdr:rowOff>0</xdr:rowOff>
    </xdr:to>
    <xdr:graphicFrame macro="">
      <xdr:nvGraphicFramePr>
        <xdr:cNvPr id="65488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5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53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8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8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91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915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28575</xdr:colOff>
      <xdr:row>63</xdr:row>
      <xdr:rowOff>9525</xdr:rowOff>
    </xdr:from>
    <xdr:to>
      <xdr:col>5</xdr:col>
      <xdr:colOff>628650</xdr:colOff>
      <xdr:row>113</xdr:row>
      <xdr:rowOff>28575</xdr:rowOff>
    </xdr:to>
    <xdr:graphicFrame macro="">
      <xdr:nvGraphicFramePr>
        <xdr:cNvPr id="654919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152400</xdr:rowOff>
    </xdr:from>
    <xdr:to>
      <xdr:col>5</xdr:col>
      <xdr:colOff>600075</xdr:colOff>
      <xdr:row>113</xdr:row>
      <xdr:rowOff>9525</xdr:rowOff>
    </xdr:to>
    <xdr:graphicFrame macro="">
      <xdr:nvGraphicFramePr>
        <xdr:cNvPr id="65491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blacion/POB_SSALUD_COMU_1990_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m2020/Cons/A/108707Acon.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m2020/Cons/A/108404Acon.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m2020/Cons/A/108306Acon.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m2020/Cons/A/108302Acon.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m2020/Cons/A/108700Ac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m2020/Cons/A/108401Acon.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m2020/Cons/A/108308Ac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m2020/Cons/A/108405Acon.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m2020/Cons/A/108301Acon.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m2020/Cons/A/108305Aco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paldo/Poblacion/poblaci&#243;n%202002%20-%20203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m2020/Cons/A/108312Acon.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m2020/Cons/A/108712Acon.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m2020/Cons/A/108310Acon.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m2020/Cons/A/108304Acon.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m2020/Cons/A/200345Acon.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m2020/Cons/A/108309Acon.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m2020/Cons/A/108709Acon.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m2020/Cons/A/108409Acon.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m2020/Cons/A/108311Acon.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m2020/Cons/A/108300Ac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ci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m2020/Cons/A/108303Acon.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m2020/Cons/A/108703Acon.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m2020/Cons/A/200462Acon.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m2020/Cons/A/108100Acon.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m2020/Cons/A/200362Acon.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m2020/Cons/A/108011Acon.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m2020/Cons/A/108104Acon.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m2020/Cons/A/108105Acon.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m2020/Cons/A/108102Acon.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m2020/Cons/D/108010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m2020/Cons/A/108100ac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m2020/Cons/A/POSTAS401Acon.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m2020/Cons/A/POSTAS406Acon.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m2020/Rem12/P/108307P12.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m2020/Rem12/P/108707P12.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m2020/Rem12/P/108306P12.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m2020/Rem12/P/108302P12.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m2020/Rem12/P/108700P1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m2020/Rem12/P/108308P12.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m2020/Rem12/P/108301P12.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m2020/Rem12/P/108305P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m2020/Cons/A/108101Acon.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m2020/Rem12/P/108312P1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m2020/Rem12/P/108712P12.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m2020/Rem12/P/108310P12.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m2020/Rem12/P/108304P1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m2020/Rem12/P/200345P12.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m2020/Rem12/P/108309P12.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m2020/Rem12/P/108709P12.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m2020/Rem12/P/108311P12.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m2020/Rem12/P/108300P12.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m2020/Rem12/P/108303P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m2020/Cons/A/consult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m2020/Rem12/P/108703P1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m2020/Rem12/P/200362P1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m2020/Rem12/P/200462P12.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m2020/Cons/A/108munAcon.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m2020/Cons/B/108100BSco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m2020/Cons/B/108101BSco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m2020/Cons/B/108102BSc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m2020/Cons/B/108104BSc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m2020/Cons/B/108105BSc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m2020/Cons/B/108300BSc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m2020/INTERCONSULTAS20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m2020/Cons/B/108305BSc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m2020/Cons/B/108306BSc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m2020/Cons/B/108000BMc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m2019/Cons/B/108100BSC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m2019/Cons/B/108101BSC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m2019/Cons/B/108102BSCO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m2019/Cons/B/108104BSC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m2019/Cons/B/108300BSC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m2019/Cons/B/108305BSC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m2019/Cons/B/108306BSC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m2020/Cons/A/108000Acon.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m2019/Cons/B/108000BMC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m2020/Cons/A/108307Ac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Hoja1"/>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1</v>
          </cell>
          <cell r="H21">
            <v>8</v>
          </cell>
          <cell r="I21">
            <v>3</v>
          </cell>
          <cell r="J21">
            <v>5</v>
          </cell>
          <cell r="K21">
            <v>3</v>
          </cell>
          <cell r="L21">
            <v>2</v>
          </cell>
          <cell r="M21">
            <v>2</v>
          </cell>
          <cell r="N21">
            <v>7</v>
          </cell>
          <cell r="O21">
            <v>1</v>
          </cell>
          <cell r="P21">
            <v>11</v>
          </cell>
          <cell r="Q21">
            <v>4</v>
          </cell>
          <cell r="R21">
            <v>7</v>
          </cell>
          <cell r="S21">
            <v>3</v>
          </cell>
          <cell r="T21">
            <v>4</v>
          </cell>
          <cell r="U21">
            <v>2</v>
          </cell>
          <cell r="V21">
            <v>3</v>
          </cell>
          <cell r="W21">
            <v>1</v>
          </cell>
          <cell r="X21">
            <v>1</v>
          </cell>
          <cell r="Y21">
            <v>5</v>
          </cell>
          <cell r="Z21">
            <v>16</v>
          </cell>
          <cell r="AA21">
            <v>4</v>
          </cell>
          <cell r="AB21">
            <v>8</v>
          </cell>
          <cell r="AC21">
            <v>6</v>
          </cell>
          <cell r="AD21">
            <v>9</v>
          </cell>
          <cell r="AE21">
            <v>7</v>
          </cell>
          <cell r="AF21">
            <v>11</v>
          </cell>
        </row>
      </sheetData>
      <sheetData sheetId="3" refreshError="1"/>
      <sheetData sheetId="4" refreshError="1"/>
      <sheetData sheetId="5" refreshError="1"/>
      <sheetData sheetId="6" refreshError="1"/>
      <sheetData sheetId="7" refreshError="1"/>
      <sheetData sheetId="8" refreshError="1"/>
      <sheetData sheetId="9">
        <row r="12">
          <cell r="D12">
            <v>42</v>
          </cell>
        </row>
        <row r="14">
          <cell r="D14">
            <v>6</v>
          </cell>
        </row>
        <row r="21">
          <cell r="G21">
            <v>3</v>
          </cell>
          <cell r="H21">
            <v>4</v>
          </cell>
          <cell r="I21">
            <v>10</v>
          </cell>
          <cell r="J21">
            <v>3</v>
          </cell>
          <cell r="K21">
            <v>2</v>
          </cell>
          <cell r="L21">
            <v>4</v>
          </cell>
          <cell r="M21">
            <v>3</v>
          </cell>
          <cell r="N21">
            <v>7</v>
          </cell>
          <cell r="O21">
            <v>7</v>
          </cell>
          <cell r="P21">
            <v>7</v>
          </cell>
          <cell r="Q21">
            <v>11</v>
          </cell>
          <cell r="R21">
            <v>20</v>
          </cell>
          <cell r="S21">
            <v>10</v>
          </cell>
          <cell r="T21">
            <v>10</v>
          </cell>
          <cell r="U21">
            <v>5</v>
          </cell>
          <cell r="V21">
            <v>16</v>
          </cell>
          <cell r="W21">
            <v>41</v>
          </cell>
          <cell r="X21">
            <v>44</v>
          </cell>
          <cell r="Y21">
            <v>8</v>
          </cell>
          <cell r="Z21">
            <v>33</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6</v>
          </cell>
          <cell r="X22">
            <v>10</v>
          </cell>
          <cell r="Y22">
            <v>0</v>
          </cell>
          <cell r="Z22">
            <v>4</v>
          </cell>
        </row>
        <row r="23">
          <cell r="G23">
            <v>0</v>
          </cell>
          <cell r="H23">
            <v>0</v>
          </cell>
          <cell r="I23">
            <v>0</v>
          </cell>
          <cell r="J23">
            <v>1</v>
          </cell>
          <cell r="K23">
            <v>0</v>
          </cell>
          <cell r="L23">
            <v>3</v>
          </cell>
          <cell r="M23">
            <v>2</v>
          </cell>
          <cell r="N23">
            <v>4</v>
          </cell>
          <cell r="O23">
            <v>2</v>
          </cell>
          <cell r="P23">
            <v>7</v>
          </cell>
          <cell r="Q23">
            <v>5</v>
          </cell>
          <cell r="R23">
            <v>7</v>
          </cell>
          <cell r="S23">
            <v>3</v>
          </cell>
          <cell r="T23">
            <v>4</v>
          </cell>
          <cell r="U23">
            <v>0</v>
          </cell>
          <cell r="V23">
            <v>2</v>
          </cell>
          <cell r="W23">
            <v>7</v>
          </cell>
          <cell r="X23">
            <v>5</v>
          </cell>
          <cell r="Y23">
            <v>0</v>
          </cell>
          <cell r="Z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1</v>
          </cell>
          <cell r="S26">
            <v>0</v>
          </cell>
          <cell r="T26">
            <v>0</v>
          </cell>
          <cell r="U26">
            <v>4</v>
          </cell>
          <cell r="V26">
            <v>4</v>
          </cell>
          <cell r="W26">
            <v>10</v>
          </cell>
          <cell r="X26">
            <v>10</v>
          </cell>
          <cell r="Y26">
            <v>4</v>
          </cell>
          <cell r="Z26">
            <v>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0</v>
          </cell>
          <cell r="L21">
            <v>1</v>
          </cell>
          <cell r="M21">
            <v>0</v>
          </cell>
          <cell r="N21">
            <v>0</v>
          </cell>
          <cell r="O21">
            <v>0</v>
          </cell>
          <cell r="P21">
            <v>0</v>
          </cell>
          <cell r="Q21">
            <v>1</v>
          </cell>
          <cell r="R21">
            <v>0</v>
          </cell>
          <cell r="S21">
            <v>1</v>
          </cell>
          <cell r="T21">
            <v>1</v>
          </cell>
          <cell r="U21">
            <v>0</v>
          </cell>
          <cell r="V21">
            <v>0</v>
          </cell>
          <cell r="W21">
            <v>0</v>
          </cell>
          <cell r="X21">
            <v>1</v>
          </cell>
          <cell r="Y21">
            <v>2</v>
          </cell>
          <cell r="Z21">
            <v>5</v>
          </cell>
          <cell r="AA21">
            <v>1</v>
          </cell>
          <cell r="AB21">
            <v>1</v>
          </cell>
          <cell r="AC21">
            <v>4</v>
          </cell>
          <cell r="AD21">
            <v>2</v>
          </cell>
          <cell r="AE21">
            <v>0</v>
          </cell>
          <cell r="AF21">
            <v>0</v>
          </cell>
        </row>
      </sheetData>
      <sheetData sheetId="3" refreshError="1"/>
      <sheetData sheetId="4" refreshError="1"/>
      <sheetData sheetId="5" refreshError="1"/>
      <sheetData sheetId="6" refreshError="1"/>
      <sheetData sheetId="7" refreshError="1"/>
      <sheetData sheetId="8" refreshError="1"/>
      <sheetData sheetId="9">
        <row r="12">
          <cell r="D12">
            <v>0</v>
          </cell>
        </row>
        <row r="14">
          <cell r="D14">
            <v>0</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1</v>
          </cell>
          <cell r="F21">
            <v>2</v>
          </cell>
          <cell r="G21">
            <v>15</v>
          </cell>
          <cell r="H21">
            <v>36</v>
          </cell>
          <cell r="I21">
            <v>15</v>
          </cell>
          <cell r="J21">
            <v>55</v>
          </cell>
          <cell r="K21">
            <v>9</v>
          </cell>
          <cell r="L21">
            <v>49</v>
          </cell>
          <cell r="M21">
            <v>13</v>
          </cell>
          <cell r="N21">
            <v>47</v>
          </cell>
          <cell r="O21">
            <v>6</v>
          </cell>
          <cell r="P21">
            <v>37</v>
          </cell>
          <cell r="Q21">
            <v>13</v>
          </cell>
          <cell r="R21">
            <v>28</v>
          </cell>
          <cell r="S21">
            <v>14</v>
          </cell>
          <cell r="T21">
            <v>39</v>
          </cell>
          <cell r="U21">
            <v>21</v>
          </cell>
          <cell r="V21">
            <v>31</v>
          </cell>
          <cell r="W21">
            <v>13</v>
          </cell>
          <cell r="X21">
            <v>28</v>
          </cell>
          <cell r="Y21">
            <v>18</v>
          </cell>
          <cell r="Z21">
            <v>30</v>
          </cell>
          <cell r="AA21">
            <v>19</v>
          </cell>
          <cell r="AB21">
            <v>28</v>
          </cell>
          <cell r="AC21">
            <v>7</v>
          </cell>
          <cell r="AD21">
            <v>28</v>
          </cell>
          <cell r="AE21">
            <v>18</v>
          </cell>
          <cell r="AF21">
            <v>25</v>
          </cell>
        </row>
      </sheetData>
      <sheetData sheetId="3" refreshError="1"/>
      <sheetData sheetId="4" refreshError="1"/>
      <sheetData sheetId="5" refreshError="1"/>
      <sheetData sheetId="6" refreshError="1"/>
      <sheetData sheetId="7" refreshError="1"/>
      <sheetData sheetId="8" refreshError="1"/>
      <sheetData sheetId="9">
        <row r="12">
          <cell r="D12">
            <v>3858</v>
          </cell>
        </row>
        <row r="14">
          <cell r="D14">
            <v>921</v>
          </cell>
        </row>
        <row r="21">
          <cell r="G21">
            <v>27</v>
          </cell>
          <cell r="H21">
            <v>28</v>
          </cell>
          <cell r="I21">
            <v>21</v>
          </cell>
          <cell r="J21">
            <v>21</v>
          </cell>
          <cell r="K21">
            <v>25</v>
          </cell>
          <cell r="L21">
            <v>12</v>
          </cell>
          <cell r="M21">
            <v>26</v>
          </cell>
          <cell r="N21">
            <v>23</v>
          </cell>
          <cell r="O21">
            <v>24</v>
          </cell>
          <cell r="P21">
            <v>33</v>
          </cell>
          <cell r="Q21">
            <v>34</v>
          </cell>
          <cell r="R21">
            <v>35</v>
          </cell>
          <cell r="S21">
            <v>42</v>
          </cell>
          <cell r="T21">
            <v>34</v>
          </cell>
          <cell r="U21">
            <v>12</v>
          </cell>
          <cell r="V21">
            <v>23</v>
          </cell>
          <cell r="W21">
            <v>69</v>
          </cell>
          <cell r="X21">
            <v>132</v>
          </cell>
          <cell r="Y21">
            <v>22</v>
          </cell>
          <cell r="Z21">
            <v>53</v>
          </cell>
        </row>
        <row r="22">
          <cell r="G22">
            <v>0</v>
          </cell>
          <cell r="H22">
            <v>0</v>
          </cell>
          <cell r="I22">
            <v>0</v>
          </cell>
          <cell r="J22">
            <v>0</v>
          </cell>
          <cell r="K22">
            <v>0</v>
          </cell>
          <cell r="L22">
            <v>0</v>
          </cell>
          <cell r="M22">
            <v>5</v>
          </cell>
          <cell r="N22">
            <v>1</v>
          </cell>
          <cell r="O22">
            <v>2</v>
          </cell>
          <cell r="P22">
            <v>5</v>
          </cell>
          <cell r="Q22">
            <v>1</v>
          </cell>
          <cell r="R22">
            <v>4</v>
          </cell>
          <cell r="S22">
            <v>40</v>
          </cell>
          <cell r="T22">
            <v>43</v>
          </cell>
          <cell r="U22">
            <v>13</v>
          </cell>
          <cell r="V22">
            <v>18</v>
          </cell>
          <cell r="W22">
            <v>94</v>
          </cell>
          <cell r="X22">
            <v>117</v>
          </cell>
          <cell r="Y22">
            <v>24</v>
          </cell>
          <cell r="Z22">
            <v>65</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G24">
            <v>0</v>
          </cell>
          <cell r="H24">
            <v>0</v>
          </cell>
          <cell r="I24">
            <v>0</v>
          </cell>
          <cell r="J24">
            <v>0</v>
          </cell>
          <cell r="K24">
            <v>1</v>
          </cell>
          <cell r="L24">
            <v>1</v>
          </cell>
          <cell r="M24">
            <v>0</v>
          </cell>
          <cell r="N24">
            <v>0</v>
          </cell>
          <cell r="O24">
            <v>0</v>
          </cell>
          <cell r="P24">
            <v>1</v>
          </cell>
          <cell r="Q24">
            <v>1</v>
          </cell>
          <cell r="R24">
            <v>0</v>
          </cell>
          <cell r="S24">
            <v>1</v>
          </cell>
          <cell r="T24">
            <v>2</v>
          </cell>
          <cell r="U24">
            <v>1</v>
          </cell>
          <cell r="V24">
            <v>0</v>
          </cell>
          <cell r="W24">
            <v>4</v>
          </cell>
          <cell r="X24">
            <v>7</v>
          </cell>
          <cell r="Y24">
            <v>1</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1</v>
          </cell>
          <cell r="O26">
            <v>1</v>
          </cell>
          <cell r="P26">
            <v>0</v>
          </cell>
          <cell r="Q26">
            <v>0</v>
          </cell>
          <cell r="R26">
            <v>0</v>
          </cell>
          <cell r="S26">
            <v>4</v>
          </cell>
          <cell r="T26">
            <v>5</v>
          </cell>
          <cell r="U26">
            <v>6</v>
          </cell>
          <cell r="V26">
            <v>9</v>
          </cell>
          <cell r="W26">
            <v>39</v>
          </cell>
          <cell r="X26">
            <v>49</v>
          </cell>
          <cell r="Y26">
            <v>22</v>
          </cell>
          <cell r="Z26">
            <v>43</v>
          </cell>
        </row>
      </sheetData>
      <sheetData sheetId="10" refreshError="1"/>
      <sheetData sheetId="11" refreshError="1"/>
      <sheetData sheetId="12">
        <row r="11">
          <cell r="B11">
            <v>37</v>
          </cell>
          <cell r="E11">
            <v>11</v>
          </cell>
          <cell r="F11">
            <v>21</v>
          </cell>
          <cell r="G11">
            <v>3</v>
          </cell>
        </row>
        <row r="25">
          <cell r="B25">
            <v>21300</v>
          </cell>
        </row>
        <row r="26">
          <cell r="B26">
            <v>3</v>
          </cell>
        </row>
        <row r="27">
          <cell r="B27">
            <v>31</v>
          </cell>
        </row>
        <row r="28">
          <cell r="B28">
            <v>279</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16</v>
          </cell>
          <cell r="H21">
            <v>31</v>
          </cell>
          <cell r="I21">
            <v>23</v>
          </cell>
          <cell r="J21">
            <v>45</v>
          </cell>
          <cell r="K21">
            <v>27</v>
          </cell>
          <cell r="L21">
            <v>36</v>
          </cell>
          <cell r="M21">
            <v>16</v>
          </cell>
          <cell r="N21">
            <v>39</v>
          </cell>
          <cell r="O21">
            <v>11</v>
          </cell>
          <cell r="P21">
            <v>22</v>
          </cell>
          <cell r="Q21">
            <v>21</v>
          </cell>
          <cell r="R21">
            <v>17</v>
          </cell>
          <cell r="S21">
            <v>12</v>
          </cell>
          <cell r="T21">
            <v>15</v>
          </cell>
          <cell r="U21">
            <v>6</v>
          </cell>
          <cell r="V21">
            <v>13</v>
          </cell>
          <cell r="W21">
            <v>2</v>
          </cell>
          <cell r="X21">
            <v>11</v>
          </cell>
          <cell r="Y21">
            <v>9</v>
          </cell>
          <cell r="Z21">
            <v>17</v>
          </cell>
          <cell r="AA21">
            <v>11</v>
          </cell>
          <cell r="AB21">
            <v>15</v>
          </cell>
          <cell r="AC21">
            <v>12</v>
          </cell>
          <cell r="AD21">
            <v>9</v>
          </cell>
          <cell r="AE21">
            <v>11</v>
          </cell>
          <cell r="AF21">
            <v>14</v>
          </cell>
        </row>
      </sheetData>
      <sheetData sheetId="3" refreshError="1"/>
      <sheetData sheetId="4" refreshError="1"/>
      <sheetData sheetId="5" refreshError="1"/>
      <sheetData sheetId="6" refreshError="1"/>
      <sheetData sheetId="7" refreshError="1"/>
      <sheetData sheetId="8" refreshError="1"/>
      <sheetData sheetId="9">
        <row r="12">
          <cell r="D12">
            <v>2544</v>
          </cell>
        </row>
        <row r="14">
          <cell r="D14">
            <v>389</v>
          </cell>
        </row>
        <row r="21">
          <cell r="G21">
            <v>6</v>
          </cell>
          <cell r="H21">
            <v>13</v>
          </cell>
          <cell r="I21">
            <v>11</v>
          </cell>
          <cell r="J21">
            <v>10</v>
          </cell>
          <cell r="K21">
            <v>9</v>
          </cell>
          <cell r="L21">
            <v>8</v>
          </cell>
          <cell r="M21">
            <v>12</v>
          </cell>
          <cell r="N21">
            <v>7</v>
          </cell>
          <cell r="O21">
            <v>7</v>
          </cell>
          <cell r="P21">
            <v>6</v>
          </cell>
          <cell r="Q21">
            <v>3</v>
          </cell>
          <cell r="R21">
            <v>7</v>
          </cell>
          <cell r="S21">
            <v>19</v>
          </cell>
          <cell r="T21">
            <v>16</v>
          </cell>
          <cell r="U21">
            <v>8</v>
          </cell>
          <cell r="V21">
            <v>4</v>
          </cell>
          <cell r="W21">
            <v>27</v>
          </cell>
          <cell r="X21">
            <v>28</v>
          </cell>
          <cell r="Y21">
            <v>10</v>
          </cell>
          <cell r="Z21">
            <v>20</v>
          </cell>
        </row>
        <row r="22">
          <cell r="G22">
            <v>0</v>
          </cell>
          <cell r="H22">
            <v>0</v>
          </cell>
          <cell r="I22">
            <v>0</v>
          </cell>
          <cell r="J22">
            <v>0</v>
          </cell>
          <cell r="K22">
            <v>0</v>
          </cell>
          <cell r="L22">
            <v>3</v>
          </cell>
          <cell r="M22">
            <v>28</v>
          </cell>
          <cell r="N22">
            <v>27</v>
          </cell>
          <cell r="O22">
            <v>15</v>
          </cell>
          <cell r="P22">
            <v>22</v>
          </cell>
          <cell r="Q22">
            <v>7</v>
          </cell>
          <cell r="R22">
            <v>26</v>
          </cell>
          <cell r="S22">
            <v>41</v>
          </cell>
          <cell r="T22">
            <v>47</v>
          </cell>
          <cell r="U22">
            <v>66</v>
          </cell>
          <cell r="V22">
            <v>14</v>
          </cell>
          <cell r="W22">
            <v>48</v>
          </cell>
          <cell r="X22">
            <v>91</v>
          </cell>
          <cell r="Y22">
            <v>32</v>
          </cell>
          <cell r="Z22">
            <v>54</v>
          </cell>
        </row>
        <row r="23">
          <cell r="G23">
            <v>0</v>
          </cell>
          <cell r="H23">
            <v>0</v>
          </cell>
          <cell r="I23">
            <v>0</v>
          </cell>
          <cell r="J23">
            <v>0</v>
          </cell>
          <cell r="K23">
            <v>4</v>
          </cell>
          <cell r="L23">
            <v>5</v>
          </cell>
          <cell r="M23">
            <v>13</v>
          </cell>
          <cell r="N23">
            <v>1</v>
          </cell>
          <cell r="O23">
            <v>4</v>
          </cell>
          <cell r="P23">
            <v>6</v>
          </cell>
          <cell r="Q23">
            <v>5</v>
          </cell>
          <cell r="R23">
            <v>0</v>
          </cell>
          <cell r="S23">
            <v>9</v>
          </cell>
          <cell r="T23">
            <v>7</v>
          </cell>
          <cell r="U23">
            <v>4</v>
          </cell>
          <cell r="V23">
            <v>1</v>
          </cell>
          <cell r="W23">
            <v>8</v>
          </cell>
          <cell r="X23">
            <v>4</v>
          </cell>
          <cell r="Y23">
            <v>4</v>
          </cell>
          <cell r="Z23">
            <v>3</v>
          </cell>
        </row>
        <row r="24">
          <cell r="G24">
            <v>0</v>
          </cell>
          <cell r="H24">
            <v>0</v>
          </cell>
          <cell r="I24">
            <v>0</v>
          </cell>
          <cell r="J24">
            <v>0</v>
          </cell>
          <cell r="K24">
            <v>0</v>
          </cell>
          <cell r="L24">
            <v>0</v>
          </cell>
          <cell r="M24">
            <v>0</v>
          </cell>
          <cell r="N24">
            <v>0</v>
          </cell>
          <cell r="O24">
            <v>0</v>
          </cell>
          <cell r="P24">
            <v>1</v>
          </cell>
          <cell r="Q24">
            <v>0</v>
          </cell>
          <cell r="R24">
            <v>0</v>
          </cell>
          <cell r="S24">
            <v>0</v>
          </cell>
          <cell r="T24">
            <v>2</v>
          </cell>
          <cell r="U24">
            <v>0</v>
          </cell>
          <cell r="V24">
            <v>0</v>
          </cell>
          <cell r="W24">
            <v>1</v>
          </cell>
          <cell r="X24">
            <v>0</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1</v>
          </cell>
          <cell r="O26">
            <v>0</v>
          </cell>
          <cell r="P26">
            <v>0</v>
          </cell>
          <cell r="Q26">
            <v>0</v>
          </cell>
          <cell r="R26">
            <v>0</v>
          </cell>
          <cell r="S26">
            <v>1</v>
          </cell>
          <cell r="T26">
            <v>6</v>
          </cell>
          <cell r="U26">
            <v>2</v>
          </cell>
          <cell r="V26">
            <v>2</v>
          </cell>
          <cell r="W26">
            <v>7</v>
          </cell>
          <cell r="X26">
            <v>14</v>
          </cell>
          <cell r="Y26">
            <v>6</v>
          </cell>
          <cell r="Z26">
            <v>12</v>
          </cell>
        </row>
      </sheetData>
      <sheetData sheetId="10" refreshError="1"/>
      <sheetData sheetId="11" refreshError="1"/>
      <sheetData sheetId="12">
        <row r="11">
          <cell r="B11">
            <v>24</v>
          </cell>
          <cell r="E11">
            <v>24</v>
          </cell>
          <cell r="F11">
            <v>0</v>
          </cell>
        </row>
        <row r="25">
          <cell r="B25">
            <v>556</v>
          </cell>
        </row>
        <row r="26">
          <cell r="B26">
            <v>1</v>
          </cell>
        </row>
        <row r="27">
          <cell r="B27">
            <v>34</v>
          </cell>
        </row>
        <row r="28">
          <cell r="B28">
            <v>0</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0</v>
          </cell>
          <cell r="H21">
            <v>5</v>
          </cell>
          <cell r="I21">
            <v>0</v>
          </cell>
          <cell r="J21">
            <v>0</v>
          </cell>
          <cell r="K21">
            <v>0</v>
          </cell>
          <cell r="L21">
            <v>1</v>
          </cell>
          <cell r="M21">
            <v>0</v>
          </cell>
          <cell r="N21">
            <v>0</v>
          </cell>
          <cell r="O21">
            <v>0</v>
          </cell>
          <cell r="P21">
            <v>2</v>
          </cell>
          <cell r="Q21">
            <v>0</v>
          </cell>
          <cell r="R21">
            <v>1</v>
          </cell>
          <cell r="S21">
            <v>1</v>
          </cell>
          <cell r="T21">
            <v>1</v>
          </cell>
          <cell r="U21">
            <v>0</v>
          </cell>
          <cell r="V21">
            <v>1</v>
          </cell>
          <cell r="W21">
            <v>0</v>
          </cell>
          <cell r="X21">
            <v>0</v>
          </cell>
          <cell r="Y21">
            <v>2</v>
          </cell>
          <cell r="Z21">
            <v>3</v>
          </cell>
          <cell r="AA21">
            <v>10</v>
          </cell>
          <cell r="AB21">
            <v>7</v>
          </cell>
          <cell r="AC21">
            <v>1</v>
          </cell>
          <cell r="AD21">
            <v>1</v>
          </cell>
          <cell r="AE21">
            <v>2</v>
          </cell>
          <cell r="AF21">
            <v>4</v>
          </cell>
        </row>
      </sheetData>
      <sheetData sheetId="3" refreshError="1"/>
      <sheetData sheetId="4" refreshError="1"/>
      <sheetData sheetId="5" refreshError="1"/>
      <sheetData sheetId="6" refreshError="1"/>
      <sheetData sheetId="7" refreshError="1"/>
      <sheetData sheetId="8" refreshError="1"/>
      <sheetData sheetId="9">
        <row r="12">
          <cell r="D12">
            <v>506</v>
          </cell>
        </row>
        <row r="14">
          <cell r="D14">
            <v>44</v>
          </cell>
        </row>
      </sheetData>
      <sheetData sheetId="10" refreshError="1"/>
      <sheetData sheetId="11" refreshError="1"/>
      <sheetData sheetId="12">
        <row r="11">
          <cell r="B11">
            <v>0</v>
          </cell>
          <cell r="E11">
            <v>0</v>
          </cell>
          <cell r="F11">
            <v>0</v>
          </cell>
        </row>
        <row r="25">
          <cell r="B25">
            <v>0</v>
          </cell>
        </row>
        <row r="26">
          <cell r="B26">
            <v>0</v>
          </cell>
        </row>
        <row r="27">
          <cell r="B27">
            <v>0</v>
          </cell>
        </row>
        <row r="28">
          <cell r="B28">
            <v>0</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D12">
            <v>0</v>
          </cell>
        </row>
        <row r="14">
          <cell r="D14">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7</v>
          </cell>
          <cell r="H21">
            <v>18</v>
          </cell>
          <cell r="I21">
            <v>6</v>
          </cell>
          <cell r="J21">
            <v>16</v>
          </cell>
          <cell r="K21">
            <v>4</v>
          </cell>
          <cell r="L21">
            <v>20</v>
          </cell>
          <cell r="M21">
            <v>10</v>
          </cell>
          <cell r="N21">
            <v>18</v>
          </cell>
          <cell r="O21">
            <v>4</v>
          </cell>
          <cell r="P21">
            <v>24</v>
          </cell>
          <cell r="Q21">
            <v>5</v>
          </cell>
          <cell r="R21">
            <v>14</v>
          </cell>
          <cell r="S21">
            <v>2</v>
          </cell>
          <cell r="T21">
            <v>9</v>
          </cell>
          <cell r="U21">
            <v>5</v>
          </cell>
          <cell r="V21">
            <v>10</v>
          </cell>
          <cell r="W21">
            <v>5</v>
          </cell>
          <cell r="X21">
            <v>11</v>
          </cell>
          <cell r="Y21">
            <v>24</v>
          </cell>
          <cell r="Z21">
            <v>36</v>
          </cell>
          <cell r="AA21">
            <v>23</v>
          </cell>
          <cell r="AB21">
            <v>16</v>
          </cell>
          <cell r="AC21">
            <v>19</v>
          </cell>
          <cell r="AD21">
            <v>16</v>
          </cell>
          <cell r="AE21">
            <v>17</v>
          </cell>
          <cell r="AF21">
            <v>24</v>
          </cell>
        </row>
      </sheetData>
      <sheetData sheetId="3" refreshError="1"/>
      <sheetData sheetId="4" refreshError="1"/>
      <sheetData sheetId="5" refreshError="1"/>
      <sheetData sheetId="6" refreshError="1"/>
      <sheetData sheetId="7" refreshError="1"/>
      <sheetData sheetId="8" refreshError="1"/>
      <sheetData sheetId="9">
        <row r="12">
          <cell r="D12">
            <v>2161</v>
          </cell>
        </row>
        <row r="14">
          <cell r="D14">
            <v>118</v>
          </cell>
        </row>
        <row r="21">
          <cell r="G21">
            <v>27</v>
          </cell>
          <cell r="H21">
            <v>32</v>
          </cell>
          <cell r="I21">
            <v>21</v>
          </cell>
          <cell r="J21">
            <v>33</v>
          </cell>
          <cell r="K21">
            <v>22</v>
          </cell>
          <cell r="L21">
            <v>20</v>
          </cell>
          <cell r="M21">
            <v>21</v>
          </cell>
          <cell r="N21">
            <v>25</v>
          </cell>
          <cell r="O21">
            <v>18</v>
          </cell>
          <cell r="P21">
            <v>32</v>
          </cell>
          <cell r="Q21">
            <v>23</v>
          </cell>
          <cell r="R21">
            <v>35</v>
          </cell>
          <cell r="S21">
            <v>27</v>
          </cell>
          <cell r="T21">
            <v>25</v>
          </cell>
          <cell r="U21">
            <v>16</v>
          </cell>
          <cell r="V21">
            <v>24</v>
          </cell>
          <cell r="W21">
            <v>134</v>
          </cell>
          <cell r="X21">
            <v>152</v>
          </cell>
          <cell r="Y21">
            <v>27</v>
          </cell>
          <cell r="Z21">
            <v>53</v>
          </cell>
        </row>
        <row r="22">
          <cell r="G22">
            <v>0</v>
          </cell>
          <cell r="H22">
            <v>0</v>
          </cell>
          <cell r="I22">
            <v>0</v>
          </cell>
          <cell r="J22">
            <v>0</v>
          </cell>
          <cell r="K22">
            <v>0</v>
          </cell>
          <cell r="L22">
            <v>0</v>
          </cell>
          <cell r="M22">
            <v>0</v>
          </cell>
          <cell r="N22">
            <v>3</v>
          </cell>
          <cell r="O22">
            <v>1</v>
          </cell>
          <cell r="P22">
            <v>7</v>
          </cell>
          <cell r="Q22">
            <v>2</v>
          </cell>
          <cell r="R22">
            <v>0</v>
          </cell>
          <cell r="S22">
            <v>2</v>
          </cell>
          <cell r="T22">
            <v>14</v>
          </cell>
          <cell r="U22">
            <v>30</v>
          </cell>
          <cell r="V22">
            <v>23</v>
          </cell>
          <cell r="W22">
            <v>42</v>
          </cell>
          <cell r="X22">
            <v>31</v>
          </cell>
          <cell r="Y22">
            <v>3</v>
          </cell>
          <cell r="Z22">
            <v>14</v>
          </cell>
        </row>
        <row r="23">
          <cell r="G23">
            <v>0</v>
          </cell>
          <cell r="H23">
            <v>0</v>
          </cell>
          <cell r="I23">
            <v>0</v>
          </cell>
          <cell r="J23">
            <v>2</v>
          </cell>
          <cell r="K23">
            <v>6</v>
          </cell>
          <cell r="L23">
            <v>5</v>
          </cell>
          <cell r="M23">
            <v>9</v>
          </cell>
          <cell r="N23">
            <v>12</v>
          </cell>
          <cell r="O23">
            <v>9</v>
          </cell>
          <cell r="P23">
            <v>10</v>
          </cell>
          <cell r="Q23">
            <v>9</v>
          </cell>
          <cell r="R23">
            <v>14</v>
          </cell>
          <cell r="S23">
            <v>7</v>
          </cell>
          <cell r="T23">
            <v>8</v>
          </cell>
          <cell r="U23">
            <v>5</v>
          </cell>
          <cell r="V23">
            <v>12</v>
          </cell>
          <cell r="W23">
            <v>54</v>
          </cell>
          <cell r="X23">
            <v>55</v>
          </cell>
          <cell r="Y23">
            <v>6</v>
          </cell>
          <cell r="Z23">
            <v>7</v>
          </cell>
        </row>
        <row r="24">
          <cell r="G24">
            <v>0</v>
          </cell>
          <cell r="H24">
            <v>0</v>
          </cell>
          <cell r="I24">
            <v>0</v>
          </cell>
          <cell r="J24">
            <v>0</v>
          </cell>
          <cell r="K24">
            <v>0</v>
          </cell>
          <cell r="L24">
            <v>1</v>
          </cell>
          <cell r="M24">
            <v>3</v>
          </cell>
          <cell r="N24">
            <v>2</v>
          </cell>
          <cell r="O24">
            <v>2</v>
          </cell>
          <cell r="P24">
            <v>4</v>
          </cell>
          <cell r="Q24">
            <v>2</v>
          </cell>
          <cell r="R24">
            <v>6</v>
          </cell>
          <cell r="S24">
            <v>1</v>
          </cell>
          <cell r="T24">
            <v>2</v>
          </cell>
          <cell r="U24">
            <v>2</v>
          </cell>
          <cell r="V24">
            <v>4</v>
          </cell>
          <cell r="W24">
            <v>17</v>
          </cell>
          <cell r="X24">
            <v>20</v>
          </cell>
          <cell r="Y24">
            <v>4</v>
          </cell>
          <cell r="Z24">
            <v>8</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2</v>
          </cell>
          <cell r="P26">
            <v>0</v>
          </cell>
          <cell r="Q26">
            <v>0</v>
          </cell>
          <cell r="R26">
            <v>0</v>
          </cell>
          <cell r="S26">
            <v>0</v>
          </cell>
          <cell r="T26">
            <v>0</v>
          </cell>
          <cell r="U26">
            <v>6</v>
          </cell>
          <cell r="V26">
            <v>7</v>
          </cell>
          <cell r="W26">
            <v>40</v>
          </cell>
          <cell r="X26">
            <v>43</v>
          </cell>
          <cell r="Y26">
            <v>30</v>
          </cell>
          <cell r="Z26">
            <v>44</v>
          </cell>
        </row>
      </sheetData>
      <sheetData sheetId="10" refreshError="1"/>
      <sheetData sheetId="11" refreshError="1"/>
      <sheetData sheetId="12">
        <row r="11">
          <cell r="B11">
            <v>24</v>
          </cell>
          <cell r="E11">
            <v>17</v>
          </cell>
          <cell r="F11">
            <v>2</v>
          </cell>
        </row>
        <row r="25">
          <cell r="B25">
            <v>750</v>
          </cell>
        </row>
        <row r="26">
          <cell r="B26">
            <v>8</v>
          </cell>
        </row>
        <row r="27">
          <cell r="B27">
            <v>11</v>
          </cell>
        </row>
        <row r="28">
          <cell r="B28">
            <v>55</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0</v>
          </cell>
          <cell r="L21">
            <v>1</v>
          </cell>
          <cell r="M21">
            <v>0</v>
          </cell>
          <cell r="N21">
            <v>1</v>
          </cell>
          <cell r="O21">
            <v>0</v>
          </cell>
          <cell r="P21">
            <v>1</v>
          </cell>
          <cell r="Q21">
            <v>0</v>
          </cell>
          <cell r="R21">
            <v>1</v>
          </cell>
          <cell r="S21">
            <v>0</v>
          </cell>
          <cell r="T21">
            <v>1</v>
          </cell>
          <cell r="U21">
            <v>1</v>
          </cell>
          <cell r="V21">
            <v>0</v>
          </cell>
          <cell r="W21">
            <v>0</v>
          </cell>
          <cell r="X21">
            <v>0</v>
          </cell>
          <cell r="Y21">
            <v>9</v>
          </cell>
          <cell r="Z21">
            <v>7</v>
          </cell>
          <cell r="AA21">
            <v>7</v>
          </cell>
          <cell r="AB21">
            <v>6</v>
          </cell>
          <cell r="AC21">
            <v>4</v>
          </cell>
          <cell r="AD21">
            <v>5</v>
          </cell>
          <cell r="AE21">
            <v>7</v>
          </cell>
          <cell r="AF21">
            <v>4</v>
          </cell>
        </row>
      </sheetData>
      <sheetData sheetId="3" refreshError="1"/>
      <sheetData sheetId="4" refreshError="1"/>
      <sheetData sheetId="5" refreshError="1"/>
      <sheetData sheetId="6" refreshError="1"/>
      <sheetData sheetId="7" refreshError="1"/>
      <sheetData sheetId="8" refreshError="1"/>
      <sheetData sheetId="9">
        <row r="12">
          <cell r="D12">
            <v>121</v>
          </cell>
        </row>
        <row r="14">
          <cell r="D14">
            <v>14</v>
          </cell>
        </row>
        <row r="21">
          <cell r="G21">
            <v>2</v>
          </cell>
          <cell r="H21">
            <v>1</v>
          </cell>
          <cell r="I21">
            <v>1</v>
          </cell>
          <cell r="J21">
            <v>1</v>
          </cell>
          <cell r="K21">
            <v>0</v>
          </cell>
          <cell r="L21">
            <v>0</v>
          </cell>
          <cell r="M21">
            <v>2</v>
          </cell>
          <cell r="N21">
            <v>0</v>
          </cell>
          <cell r="O21">
            <v>0</v>
          </cell>
          <cell r="P21">
            <v>2</v>
          </cell>
          <cell r="Q21">
            <v>0</v>
          </cell>
          <cell r="R21">
            <v>0</v>
          </cell>
          <cell r="S21">
            <v>4</v>
          </cell>
          <cell r="T21">
            <v>2</v>
          </cell>
          <cell r="U21">
            <v>4</v>
          </cell>
          <cell r="V21">
            <v>3</v>
          </cell>
          <cell r="W21">
            <v>9</v>
          </cell>
          <cell r="X21">
            <v>4</v>
          </cell>
          <cell r="Y21">
            <v>0</v>
          </cell>
          <cell r="Z21">
            <v>1</v>
          </cell>
        </row>
        <row r="22">
          <cell r="G22">
            <v>0</v>
          </cell>
          <cell r="H22">
            <v>0</v>
          </cell>
          <cell r="I22">
            <v>0</v>
          </cell>
          <cell r="J22">
            <v>0</v>
          </cell>
          <cell r="K22">
            <v>0</v>
          </cell>
          <cell r="L22">
            <v>0</v>
          </cell>
          <cell r="M22">
            <v>0</v>
          </cell>
          <cell r="N22">
            <v>0</v>
          </cell>
          <cell r="O22">
            <v>0</v>
          </cell>
          <cell r="P22">
            <v>0</v>
          </cell>
          <cell r="Q22">
            <v>0</v>
          </cell>
          <cell r="R22">
            <v>0</v>
          </cell>
          <cell r="S22">
            <v>0</v>
          </cell>
          <cell r="T22">
            <v>3</v>
          </cell>
          <cell r="U22">
            <v>18</v>
          </cell>
          <cell r="V22">
            <v>4</v>
          </cell>
          <cell r="W22">
            <v>40</v>
          </cell>
          <cell r="X22">
            <v>18</v>
          </cell>
          <cell r="Y22">
            <v>0</v>
          </cell>
          <cell r="Z22">
            <v>7</v>
          </cell>
        </row>
        <row r="23">
          <cell r="G23">
            <v>0</v>
          </cell>
          <cell r="H23">
            <v>0</v>
          </cell>
          <cell r="I23">
            <v>0</v>
          </cell>
          <cell r="J23">
            <v>1</v>
          </cell>
          <cell r="K23">
            <v>1</v>
          </cell>
          <cell r="L23">
            <v>0</v>
          </cell>
          <cell r="M23">
            <v>1</v>
          </cell>
          <cell r="N23">
            <v>1</v>
          </cell>
          <cell r="O23">
            <v>0</v>
          </cell>
          <cell r="P23">
            <v>1</v>
          </cell>
          <cell r="Q23">
            <v>1</v>
          </cell>
          <cell r="R23">
            <v>0</v>
          </cell>
          <cell r="S23">
            <v>2</v>
          </cell>
          <cell r="T23">
            <v>2</v>
          </cell>
          <cell r="U23">
            <v>2</v>
          </cell>
          <cell r="V23">
            <v>1</v>
          </cell>
          <cell r="W23">
            <v>9</v>
          </cell>
          <cell r="X23">
            <v>3</v>
          </cell>
          <cell r="Y23">
            <v>0</v>
          </cell>
          <cell r="Z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2</v>
          </cell>
          <cell r="V26">
            <v>1</v>
          </cell>
          <cell r="W26">
            <v>1</v>
          </cell>
          <cell r="X26">
            <v>0</v>
          </cell>
          <cell r="Y26">
            <v>0</v>
          </cell>
          <cell r="Z26">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2</v>
          </cell>
          <cell r="F21">
            <v>10</v>
          </cell>
          <cell r="G21">
            <v>10</v>
          </cell>
          <cell r="H21">
            <v>13</v>
          </cell>
          <cell r="I21">
            <v>15</v>
          </cell>
          <cell r="J21">
            <v>37</v>
          </cell>
          <cell r="K21">
            <v>13</v>
          </cell>
          <cell r="L21">
            <v>28</v>
          </cell>
          <cell r="M21">
            <v>17</v>
          </cell>
          <cell r="N21">
            <v>27</v>
          </cell>
          <cell r="O21">
            <v>10</v>
          </cell>
          <cell r="P21">
            <v>25</v>
          </cell>
          <cell r="Q21">
            <v>18</v>
          </cell>
          <cell r="R21">
            <v>18</v>
          </cell>
          <cell r="S21">
            <v>4</v>
          </cell>
          <cell r="T21">
            <v>15</v>
          </cell>
          <cell r="U21">
            <v>14</v>
          </cell>
          <cell r="V21">
            <v>12</v>
          </cell>
          <cell r="W21">
            <v>11</v>
          </cell>
          <cell r="X21">
            <v>4</v>
          </cell>
          <cell r="Y21">
            <v>21</v>
          </cell>
          <cell r="Z21">
            <v>34</v>
          </cell>
          <cell r="AA21">
            <v>16</v>
          </cell>
          <cell r="AB21">
            <v>19</v>
          </cell>
          <cell r="AC21">
            <v>14</v>
          </cell>
          <cell r="AD21">
            <v>20</v>
          </cell>
          <cell r="AE21">
            <v>17</v>
          </cell>
          <cell r="AF21">
            <v>26</v>
          </cell>
        </row>
      </sheetData>
      <sheetData sheetId="3" refreshError="1"/>
      <sheetData sheetId="4" refreshError="1"/>
      <sheetData sheetId="5" refreshError="1"/>
      <sheetData sheetId="6" refreshError="1"/>
      <sheetData sheetId="7" refreshError="1"/>
      <sheetData sheetId="8" refreshError="1"/>
      <sheetData sheetId="9">
        <row r="12">
          <cell r="D12">
            <v>2630</v>
          </cell>
        </row>
        <row r="14">
          <cell r="D14">
            <v>531</v>
          </cell>
        </row>
        <row r="21">
          <cell r="G21">
            <v>17</v>
          </cell>
          <cell r="H21">
            <v>10</v>
          </cell>
          <cell r="I21">
            <v>9</v>
          </cell>
          <cell r="J21">
            <v>9</v>
          </cell>
          <cell r="K21">
            <v>7</v>
          </cell>
          <cell r="L21">
            <v>8</v>
          </cell>
          <cell r="M21">
            <v>0</v>
          </cell>
          <cell r="N21">
            <v>1</v>
          </cell>
          <cell r="O21">
            <v>5</v>
          </cell>
          <cell r="P21">
            <v>5</v>
          </cell>
          <cell r="Q21">
            <v>6</v>
          </cell>
          <cell r="R21">
            <v>4</v>
          </cell>
          <cell r="S21">
            <v>20</v>
          </cell>
          <cell r="T21">
            <v>12</v>
          </cell>
          <cell r="U21">
            <v>21</v>
          </cell>
          <cell r="V21">
            <v>21</v>
          </cell>
          <cell r="W21">
            <v>45</v>
          </cell>
          <cell r="X21">
            <v>43</v>
          </cell>
          <cell r="Y21">
            <v>9</v>
          </cell>
          <cell r="Z21">
            <v>13</v>
          </cell>
        </row>
        <row r="22">
          <cell r="G22">
            <v>0</v>
          </cell>
          <cell r="H22">
            <v>0</v>
          </cell>
          <cell r="I22">
            <v>0</v>
          </cell>
          <cell r="J22">
            <v>0</v>
          </cell>
          <cell r="K22">
            <v>0</v>
          </cell>
          <cell r="L22">
            <v>0</v>
          </cell>
          <cell r="M22">
            <v>0</v>
          </cell>
          <cell r="N22">
            <v>0</v>
          </cell>
          <cell r="O22">
            <v>43</v>
          </cell>
          <cell r="P22">
            <v>48</v>
          </cell>
          <cell r="Q22">
            <v>64</v>
          </cell>
          <cell r="R22">
            <v>59</v>
          </cell>
          <cell r="S22">
            <v>53</v>
          </cell>
          <cell r="T22">
            <v>24</v>
          </cell>
          <cell r="U22">
            <v>72</v>
          </cell>
          <cell r="V22">
            <v>96</v>
          </cell>
          <cell r="W22">
            <v>336</v>
          </cell>
          <cell r="X22">
            <v>292</v>
          </cell>
          <cell r="Y22">
            <v>29</v>
          </cell>
          <cell r="Z22">
            <v>14</v>
          </cell>
        </row>
        <row r="23">
          <cell r="G23">
            <v>0</v>
          </cell>
          <cell r="H23">
            <v>0</v>
          </cell>
          <cell r="I23">
            <v>1</v>
          </cell>
          <cell r="J23">
            <v>1</v>
          </cell>
          <cell r="K23">
            <v>14</v>
          </cell>
          <cell r="L23">
            <v>9</v>
          </cell>
          <cell r="M23">
            <v>3</v>
          </cell>
          <cell r="N23">
            <v>7</v>
          </cell>
          <cell r="O23">
            <v>3</v>
          </cell>
          <cell r="P23">
            <v>7</v>
          </cell>
          <cell r="Q23">
            <v>10</v>
          </cell>
          <cell r="R23">
            <v>10</v>
          </cell>
          <cell r="S23">
            <v>22</v>
          </cell>
          <cell r="T23">
            <v>11</v>
          </cell>
          <cell r="U23">
            <v>14</v>
          </cell>
          <cell r="V23">
            <v>16</v>
          </cell>
          <cell r="W23">
            <v>56</v>
          </cell>
          <cell r="X23">
            <v>45</v>
          </cell>
          <cell r="Y23">
            <v>12</v>
          </cell>
          <cell r="Z23">
            <v>7</v>
          </cell>
        </row>
        <row r="24">
          <cell r="G24">
            <v>0</v>
          </cell>
          <cell r="H24">
            <v>0</v>
          </cell>
          <cell r="I24">
            <v>0</v>
          </cell>
          <cell r="J24">
            <v>0</v>
          </cell>
          <cell r="K24">
            <v>0</v>
          </cell>
          <cell r="L24">
            <v>0</v>
          </cell>
          <cell r="M24">
            <v>0</v>
          </cell>
          <cell r="N24">
            <v>3</v>
          </cell>
          <cell r="O24">
            <v>2</v>
          </cell>
          <cell r="P24">
            <v>4</v>
          </cell>
          <cell r="Q24">
            <v>3</v>
          </cell>
          <cell r="R24">
            <v>7</v>
          </cell>
          <cell r="S24">
            <v>25</v>
          </cell>
          <cell r="T24">
            <v>12</v>
          </cell>
          <cell r="U24">
            <v>14</v>
          </cell>
          <cell r="V24">
            <v>15</v>
          </cell>
          <cell r="W24">
            <v>24</v>
          </cell>
          <cell r="X24">
            <v>22</v>
          </cell>
          <cell r="Y24">
            <v>13</v>
          </cell>
          <cell r="Z24">
            <v>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1</v>
          </cell>
          <cell r="T26">
            <v>0</v>
          </cell>
          <cell r="U26">
            <v>9</v>
          </cell>
          <cell r="V26">
            <v>10</v>
          </cell>
          <cell r="W26">
            <v>13</v>
          </cell>
          <cell r="X26">
            <v>19</v>
          </cell>
          <cell r="Y26">
            <v>15</v>
          </cell>
          <cell r="Z26">
            <v>20</v>
          </cell>
        </row>
      </sheetData>
      <sheetData sheetId="10" refreshError="1"/>
      <sheetData sheetId="11" refreshError="1"/>
      <sheetData sheetId="12">
        <row r="11">
          <cell r="B11">
            <v>6</v>
          </cell>
          <cell r="E11">
            <v>5</v>
          </cell>
          <cell r="F11">
            <v>1</v>
          </cell>
        </row>
        <row r="25">
          <cell r="B25">
            <v>270</v>
          </cell>
        </row>
        <row r="26">
          <cell r="B26">
            <v>1</v>
          </cell>
        </row>
        <row r="27">
          <cell r="B27">
            <v>8</v>
          </cell>
        </row>
        <row r="28">
          <cell r="B28">
            <v>3</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26</v>
          </cell>
          <cell r="H21">
            <v>89</v>
          </cell>
          <cell r="I21">
            <v>14</v>
          </cell>
          <cell r="J21">
            <v>75</v>
          </cell>
          <cell r="K21">
            <v>26</v>
          </cell>
          <cell r="L21">
            <v>82</v>
          </cell>
          <cell r="M21">
            <v>26</v>
          </cell>
          <cell r="N21">
            <v>67</v>
          </cell>
          <cell r="O21">
            <v>14</v>
          </cell>
          <cell r="P21">
            <v>58</v>
          </cell>
          <cell r="Q21">
            <v>18</v>
          </cell>
          <cell r="R21">
            <v>67</v>
          </cell>
          <cell r="S21">
            <v>19</v>
          </cell>
          <cell r="T21">
            <v>39</v>
          </cell>
          <cell r="U21">
            <v>14</v>
          </cell>
          <cell r="V21">
            <v>40</v>
          </cell>
          <cell r="W21">
            <v>11</v>
          </cell>
          <cell r="X21">
            <v>19</v>
          </cell>
          <cell r="Y21">
            <v>36</v>
          </cell>
          <cell r="Z21">
            <v>61</v>
          </cell>
          <cell r="AA21">
            <v>29</v>
          </cell>
          <cell r="AB21">
            <v>47</v>
          </cell>
          <cell r="AC21">
            <v>24</v>
          </cell>
          <cell r="AD21">
            <v>62</v>
          </cell>
          <cell r="AE21">
            <v>28</v>
          </cell>
          <cell r="AF21">
            <v>63</v>
          </cell>
        </row>
      </sheetData>
      <sheetData sheetId="3" refreshError="1"/>
      <sheetData sheetId="4" refreshError="1"/>
      <sheetData sheetId="5" refreshError="1"/>
      <sheetData sheetId="6" refreshError="1"/>
      <sheetData sheetId="7" refreshError="1"/>
      <sheetData sheetId="8" refreshError="1"/>
      <sheetData sheetId="9">
        <row r="12">
          <cell r="D12">
            <v>2173</v>
          </cell>
        </row>
        <row r="14">
          <cell r="D14">
            <v>673</v>
          </cell>
        </row>
        <row r="21">
          <cell r="G21">
            <v>55</v>
          </cell>
          <cell r="H21">
            <v>73</v>
          </cell>
          <cell r="I21">
            <v>33</v>
          </cell>
          <cell r="J21">
            <v>26</v>
          </cell>
          <cell r="K21">
            <v>40</v>
          </cell>
          <cell r="L21">
            <v>32</v>
          </cell>
          <cell r="M21">
            <v>29</v>
          </cell>
          <cell r="N21">
            <v>19</v>
          </cell>
          <cell r="O21">
            <v>30</v>
          </cell>
          <cell r="P21">
            <v>34</v>
          </cell>
          <cell r="Q21">
            <v>30</v>
          </cell>
          <cell r="R21">
            <v>29</v>
          </cell>
          <cell r="S21">
            <v>82</v>
          </cell>
          <cell r="T21">
            <v>85</v>
          </cell>
          <cell r="U21">
            <v>40</v>
          </cell>
          <cell r="V21">
            <v>27</v>
          </cell>
          <cell r="W21">
            <v>245</v>
          </cell>
          <cell r="X21">
            <v>261</v>
          </cell>
          <cell r="Y21">
            <v>63</v>
          </cell>
          <cell r="Z21">
            <v>98</v>
          </cell>
        </row>
        <row r="22">
          <cell r="G22">
            <v>0</v>
          </cell>
          <cell r="H22">
            <v>0</v>
          </cell>
          <cell r="I22">
            <v>0</v>
          </cell>
          <cell r="J22">
            <v>0</v>
          </cell>
          <cell r="K22">
            <v>0</v>
          </cell>
          <cell r="L22">
            <v>0</v>
          </cell>
          <cell r="M22">
            <v>4</v>
          </cell>
          <cell r="N22">
            <v>4</v>
          </cell>
          <cell r="O22">
            <v>0</v>
          </cell>
          <cell r="P22">
            <v>3</v>
          </cell>
          <cell r="Q22">
            <v>11</v>
          </cell>
          <cell r="R22">
            <v>5</v>
          </cell>
          <cell r="S22">
            <v>71</v>
          </cell>
          <cell r="T22">
            <v>91</v>
          </cell>
          <cell r="U22">
            <v>55</v>
          </cell>
          <cell r="V22">
            <v>54</v>
          </cell>
          <cell r="W22">
            <v>158</v>
          </cell>
          <cell r="X22">
            <v>238</v>
          </cell>
          <cell r="Y22">
            <v>125</v>
          </cell>
          <cell r="Z22">
            <v>133</v>
          </cell>
        </row>
        <row r="23">
          <cell r="G23">
            <v>0</v>
          </cell>
          <cell r="H23">
            <v>1</v>
          </cell>
          <cell r="I23">
            <v>0</v>
          </cell>
          <cell r="J23">
            <v>1</v>
          </cell>
          <cell r="K23">
            <v>3</v>
          </cell>
          <cell r="L23">
            <v>4</v>
          </cell>
          <cell r="M23">
            <v>6</v>
          </cell>
          <cell r="N23">
            <v>5</v>
          </cell>
          <cell r="O23">
            <v>6</v>
          </cell>
          <cell r="P23">
            <v>10</v>
          </cell>
          <cell r="Q23">
            <v>4</v>
          </cell>
          <cell r="R23">
            <v>14</v>
          </cell>
          <cell r="S23">
            <v>40</v>
          </cell>
          <cell r="T23">
            <v>50</v>
          </cell>
          <cell r="U23">
            <v>3</v>
          </cell>
          <cell r="V23">
            <v>5</v>
          </cell>
          <cell r="W23">
            <v>29</v>
          </cell>
          <cell r="X23">
            <v>42</v>
          </cell>
          <cell r="Y23">
            <v>4</v>
          </cell>
          <cell r="Z23">
            <v>11</v>
          </cell>
        </row>
        <row r="24">
          <cell r="G24">
            <v>0</v>
          </cell>
          <cell r="H24">
            <v>0</v>
          </cell>
          <cell r="I24">
            <v>2</v>
          </cell>
          <cell r="J24">
            <v>0</v>
          </cell>
          <cell r="K24">
            <v>2</v>
          </cell>
          <cell r="L24">
            <v>0</v>
          </cell>
          <cell r="M24">
            <v>3</v>
          </cell>
          <cell r="N24">
            <v>2</v>
          </cell>
          <cell r="O24">
            <v>3</v>
          </cell>
          <cell r="P24">
            <v>3</v>
          </cell>
          <cell r="Q24">
            <v>6</v>
          </cell>
          <cell r="R24">
            <v>7</v>
          </cell>
          <cell r="S24">
            <v>7</v>
          </cell>
          <cell r="T24">
            <v>8</v>
          </cell>
          <cell r="U24">
            <v>14</v>
          </cell>
          <cell r="V24">
            <v>11</v>
          </cell>
          <cell r="W24">
            <v>76</v>
          </cell>
          <cell r="X24">
            <v>78</v>
          </cell>
          <cell r="Y24">
            <v>14</v>
          </cell>
          <cell r="Z24">
            <v>25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1</v>
          </cell>
          <cell r="T26">
            <v>1</v>
          </cell>
          <cell r="U26">
            <v>0</v>
          </cell>
          <cell r="V26">
            <v>0</v>
          </cell>
          <cell r="W26">
            <v>0</v>
          </cell>
          <cell r="X26">
            <v>0</v>
          </cell>
          <cell r="Y26">
            <v>0</v>
          </cell>
          <cell r="Z26">
            <v>0</v>
          </cell>
        </row>
      </sheetData>
      <sheetData sheetId="10" refreshError="1"/>
      <sheetData sheetId="11" refreshError="1"/>
      <sheetData sheetId="12">
        <row r="11">
          <cell r="B11">
            <v>36</v>
          </cell>
          <cell r="E11">
            <v>29</v>
          </cell>
          <cell r="F11">
            <v>11</v>
          </cell>
        </row>
        <row r="25">
          <cell r="B25">
            <v>4762</v>
          </cell>
        </row>
        <row r="26">
          <cell r="B26">
            <v>1</v>
          </cell>
        </row>
        <row r="27">
          <cell r="B27">
            <v>59</v>
          </cell>
        </row>
        <row r="28">
          <cell r="B28">
            <v>398</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 por grupo"/>
      <sheetName val="edad individual"/>
    </sheetNames>
    <sheetDataSet>
      <sheetData sheetId="0">
        <row r="128">
          <cell r="AN128">
            <v>1128</v>
          </cell>
        </row>
        <row r="139">
          <cell r="AN139">
            <v>1154</v>
          </cell>
          <cell r="AO139">
            <v>1093</v>
          </cell>
          <cell r="AP139">
            <v>1062</v>
          </cell>
          <cell r="BA139">
            <v>496</v>
          </cell>
          <cell r="BB139">
            <v>375</v>
          </cell>
          <cell r="BC139">
            <v>273</v>
          </cell>
          <cell r="BD139">
            <v>353</v>
          </cell>
        </row>
        <row r="140">
          <cell r="AN140">
            <v>1015</v>
          </cell>
          <cell r="AO140">
            <v>1003</v>
          </cell>
          <cell r="AP140">
            <v>1051</v>
          </cell>
          <cell r="BA140">
            <v>554</v>
          </cell>
          <cell r="BB140">
            <v>399</v>
          </cell>
          <cell r="BC140">
            <v>302</v>
          </cell>
          <cell r="BD140">
            <v>397</v>
          </cell>
        </row>
        <row r="141">
          <cell r="AN141">
            <v>1901</v>
          </cell>
          <cell r="AO141">
            <v>1771</v>
          </cell>
          <cell r="AP141">
            <v>1837</v>
          </cell>
          <cell r="BA141">
            <v>925</v>
          </cell>
          <cell r="BB141">
            <v>697</v>
          </cell>
          <cell r="BC141">
            <v>491</v>
          </cell>
          <cell r="BD141">
            <v>665</v>
          </cell>
        </row>
        <row r="142">
          <cell r="AN142">
            <v>4729</v>
          </cell>
          <cell r="AO142">
            <v>4529</v>
          </cell>
          <cell r="AP142">
            <v>4805</v>
          </cell>
          <cell r="BA142">
            <v>2456</v>
          </cell>
          <cell r="BB142">
            <v>1854</v>
          </cell>
          <cell r="BC142">
            <v>1221</v>
          </cell>
          <cell r="BD142">
            <v>1690</v>
          </cell>
        </row>
        <row r="143">
          <cell r="AN143">
            <v>528</v>
          </cell>
          <cell r="AO143">
            <v>503</v>
          </cell>
          <cell r="AP143">
            <v>564</v>
          </cell>
          <cell r="BA143">
            <v>273</v>
          </cell>
          <cell r="BB143">
            <v>195</v>
          </cell>
          <cell r="BC143">
            <v>128</v>
          </cell>
          <cell r="BD143">
            <v>158</v>
          </cell>
        </row>
        <row r="144">
          <cell r="AN144">
            <v>1153</v>
          </cell>
          <cell r="AO144">
            <v>1143</v>
          </cell>
          <cell r="AP144">
            <v>1184</v>
          </cell>
          <cell r="BA144">
            <v>684</v>
          </cell>
          <cell r="BB144">
            <v>564</v>
          </cell>
          <cell r="BC144">
            <v>442</v>
          </cell>
          <cell r="BD144">
            <v>590</v>
          </cell>
        </row>
        <row r="145">
          <cell r="AN145">
            <v>752</v>
          </cell>
          <cell r="AO145">
            <v>790</v>
          </cell>
          <cell r="AP145">
            <v>752</v>
          </cell>
          <cell r="BA145">
            <v>336</v>
          </cell>
          <cell r="BB145">
            <v>251</v>
          </cell>
          <cell r="BC145">
            <v>182</v>
          </cell>
          <cell r="BD145">
            <v>221</v>
          </cell>
        </row>
        <row r="146">
          <cell r="AN146">
            <v>1395</v>
          </cell>
          <cell r="AO146">
            <v>1380</v>
          </cell>
          <cell r="AP146">
            <v>1358</v>
          </cell>
          <cell r="BA146">
            <v>660</v>
          </cell>
          <cell r="BB146">
            <v>502</v>
          </cell>
          <cell r="BC146">
            <v>369</v>
          </cell>
          <cell r="BD146">
            <v>474</v>
          </cell>
        </row>
        <row r="147">
          <cell r="AN147">
            <v>5681</v>
          </cell>
          <cell r="AO147">
            <v>5556</v>
          </cell>
          <cell r="AP147">
            <v>5756</v>
          </cell>
          <cell r="BA147">
            <v>2667</v>
          </cell>
          <cell r="BB147">
            <v>2016</v>
          </cell>
          <cell r="BC147">
            <v>1458</v>
          </cell>
          <cell r="BD147">
            <v>2031</v>
          </cell>
        </row>
        <row r="148">
          <cell r="AN148">
            <v>1113</v>
          </cell>
          <cell r="AO148">
            <v>1069</v>
          </cell>
          <cell r="AP148">
            <v>1084</v>
          </cell>
          <cell r="BA148">
            <v>560</v>
          </cell>
          <cell r="BB148">
            <v>426</v>
          </cell>
          <cell r="BC148">
            <v>313</v>
          </cell>
          <cell r="BD148">
            <v>399</v>
          </cell>
        </row>
        <row r="149">
          <cell r="AN149">
            <v>19421</v>
          </cell>
          <cell r="AO149">
            <v>18837</v>
          </cell>
          <cell r="AP149">
            <v>19453</v>
          </cell>
          <cell r="BA149">
            <v>9611</v>
          </cell>
          <cell r="BB149">
            <v>7279</v>
          </cell>
          <cell r="BC149">
            <v>5179</v>
          </cell>
          <cell r="BD149">
            <v>6978</v>
          </cell>
        </row>
        <row r="150">
          <cell r="AN150">
            <v>1175</v>
          </cell>
          <cell r="AO150">
            <v>1134</v>
          </cell>
          <cell r="AP150">
            <v>1058</v>
          </cell>
          <cell r="BA150">
            <v>513</v>
          </cell>
          <cell r="BB150">
            <v>392</v>
          </cell>
          <cell r="BC150">
            <v>282</v>
          </cell>
          <cell r="BD150">
            <v>364</v>
          </cell>
        </row>
        <row r="151">
          <cell r="AN151">
            <v>1016</v>
          </cell>
          <cell r="AO151">
            <v>1019</v>
          </cell>
          <cell r="AP151">
            <v>1035</v>
          </cell>
          <cell r="BA151">
            <v>575</v>
          </cell>
          <cell r="BB151">
            <v>420</v>
          </cell>
          <cell r="BC151">
            <v>312</v>
          </cell>
          <cell r="BD151">
            <v>412</v>
          </cell>
        </row>
        <row r="152">
          <cell r="AN152">
            <v>1914</v>
          </cell>
          <cell r="AO152">
            <v>1796</v>
          </cell>
          <cell r="AP152">
            <v>1800</v>
          </cell>
          <cell r="BA152">
            <v>962</v>
          </cell>
          <cell r="BB152">
            <v>724</v>
          </cell>
          <cell r="BC152">
            <v>503</v>
          </cell>
          <cell r="BD152">
            <v>691</v>
          </cell>
        </row>
        <row r="153">
          <cell r="AN153">
            <v>4703</v>
          </cell>
          <cell r="AO153">
            <v>4565</v>
          </cell>
          <cell r="AP153">
            <v>4720</v>
          </cell>
          <cell r="BA153">
            <v>2562</v>
          </cell>
          <cell r="BB153">
            <v>1945</v>
          </cell>
          <cell r="BC153">
            <v>1250</v>
          </cell>
          <cell r="BD153">
            <v>1742</v>
          </cell>
        </row>
        <row r="154">
          <cell r="AN154">
            <v>528</v>
          </cell>
          <cell r="AO154">
            <v>504</v>
          </cell>
          <cell r="AP154">
            <v>550</v>
          </cell>
          <cell r="BA154">
            <v>287</v>
          </cell>
          <cell r="BB154">
            <v>203</v>
          </cell>
          <cell r="BC154">
            <v>127</v>
          </cell>
          <cell r="BD154">
            <v>164</v>
          </cell>
        </row>
        <row r="155">
          <cell r="AN155">
            <v>1152</v>
          </cell>
          <cell r="AO155">
            <v>1155</v>
          </cell>
          <cell r="AP155">
            <v>1159</v>
          </cell>
          <cell r="BA155">
            <v>706</v>
          </cell>
          <cell r="BB155">
            <v>585</v>
          </cell>
          <cell r="BC155">
            <v>454</v>
          </cell>
          <cell r="BD155">
            <v>608</v>
          </cell>
        </row>
        <row r="156">
          <cell r="AN156">
            <v>762</v>
          </cell>
          <cell r="AO156">
            <v>823</v>
          </cell>
          <cell r="AP156">
            <v>753</v>
          </cell>
          <cell r="BA156">
            <v>348</v>
          </cell>
          <cell r="BB156">
            <v>264</v>
          </cell>
          <cell r="BC156">
            <v>189</v>
          </cell>
          <cell r="BD156">
            <v>228</v>
          </cell>
        </row>
        <row r="157">
          <cell r="AN157">
            <v>1416</v>
          </cell>
          <cell r="AO157">
            <v>1415</v>
          </cell>
          <cell r="AP157">
            <v>1352</v>
          </cell>
          <cell r="BA157">
            <v>686</v>
          </cell>
          <cell r="BB157">
            <v>527</v>
          </cell>
          <cell r="BC157">
            <v>383</v>
          </cell>
          <cell r="BD157">
            <v>492</v>
          </cell>
        </row>
        <row r="158">
          <cell r="AN158">
            <v>5702</v>
          </cell>
          <cell r="AO158">
            <v>5665</v>
          </cell>
          <cell r="AP158">
            <v>5692</v>
          </cell>
          <cell r="BA158">
            <v>2772</v>
          </cell>
          <cell r="BB158">
            <v>2100</v>
          </cell>
          <cell r="BC158">
            <v>1494</v>
          </cell>
          <cell r="BD158">
            <v>2093</v>
          </cell>
        </row>
        <row r="159">
          <cell r="AN159">
            <v>1117</v>
          </cell>
          <cell r="AO159">
            <v>1089</v>
          </cell>
          <cell r="AP159">
            <v>1065</v>
          </cell>
          <cell r="BA159">
            <v>586</v>
          </cell>
          <cell r="BB159">
            <v>445</v>
          </cell>
          <cell r="BC159">
            <v>326</v>
          </cell>
          <cell r="BD159">
            <v>411</v>
          </cell>
        </row>
        <row r="160">
          <cell r="AN160">
            <v>19485</v>
          </cell>
          <cell r="AO160">
            <v>19165</v>
          </cell>
          <cell r="AP160">
            <v>19184</v>
          </cell>
          <cell r="BA160">
            <v>9997</v>
          </cell>
          <cell r="BB160">
            <v>7605</v>
          </cell>
          <cell r="BC160">
            <v>5320</v>
          </cell>
          <cell r="BD160">
            <v>7205</v>
          </cell>
        </row>
        <row r="161">
          <cell r="AN161">
            <v>1201</v>
          </cell>
          <cell r="AO161">
            <v>1175</v>
          </cell>
          <cell r="AP161">
            <v>1059</v>
          </cell>
          <cell r="BA161">
            <v>539</v>
          </cell>
          <cell r="BB161">
            <v>412</v>
          </cell>
          <cell r="BC161">
            <v>293</v>
          </cell>
          <cell r="BD161">
            <v>376</v>
          </cell>
        </row>
        <row r="162">
          <cell r="AN162">
            <v>1011</v>
          </cell>
          <cell r="AO162">
            <v>1036</v>
          </cell>
          <cell r="AP162">
            <v>1019</v>
          </cell>
          <cell r="BA162">
            <v>602</v>
          </cell>
          <cell r="BB162">
            <v>441</v>
          </cell>
          <cell r="BC162">
            <v>324</v>
          </cell>
          <cell r="BD162">
            <v>427</v>
          </cell>
        </row>
        <row r="163">
          <cell r="AN163">
            <v>1923</v>
          </cell>
          <cell r="AO163">
            <v>1819</v>
          </cell>
          <cell r="AP163">
            <v>1762</v>
          </cell>
          <cell r="BA163">
            <v>1002</v>
          </cell>
          <cell r="BB163">
            <v>751</v>
          </cell>
          <cell r="BC163">
            <v>519</v>
          </cell>
          <cell r="BD163">
            <v>717</v>
          </cell>
        </row>
        <row r="164">
          <cell r="AN164">
            <v>4666</v>
          </cell>
          <cell r="AO164">
            <v>4598</v>
          </cell>
          <cell r="AP164">
            <v>4638</v>
          </cell>
          <cell r="BA164">
            <v>2680</v>
          </cell>
          <cell r="BB164">
            <v>2032</v>
          </cell>
          <cell r="BC164">
            <v>1291</v>
          </cell>
          <cell r="BD164">
            <v>1793</v>
          </cell>
        </row>
        <row r="165">
          <cell r="AN165">
            <v>523</v>
          </cell>
          <cell r="AO165">
            <v>504</v>
          </cell>
          <cell r="AP165">
            <v>537</v>
          </cell>
          <cell r="BA165">
            <v>302</v>
          </cell>
          <cell r="BB165">
            <v>213</v>
          </cell>
          <cell r="BC165">
            <v>136</v>
          </cell>
          <cell r="BD165">
            <v>169</v>
          </cell>
        </row>
        <row r="166">
          <cell r="AN166">
            <v>1148</v>
          </cell>
          <cell r="AO166">
            <v>1165</v>
          </cell>
          <cell r="AP166">
            <v>1138</v>
          </cell>
          <cell r="BA166">
            <v>730</v>
          </cell>
          <cell r="BB166">
            <v>603</v>
          </cell>
          <cell r="BC166">
            <v>464</v>
          </cell>
          <cell r="BD166">
            <v>628</v>
          </cell>
        </row>
        <row r="167">
          <cell r="AN167">
            <v>783</v>
          </cell>
          <cell r="AO167">
            <v>856</v>
          </cell>
          <cell r="AP167">
            <v>755</v>
          </cell>
          <cell r="BA167">
            <v>363</v>
          </cell>
          <cell r="BB167">
            <v>275</v>
          </cell>
          <cell r="BC167">
            <v>197</v>
          </cell>
          <cell r="BD167">
            <v>236</v>
          </cell>
        </row>
        <row r="168">
          <cell r="AN168">
            <v>1429</v>
          </cell>
          <cell r="AO168">
            <v>1456</v>
          </cell>
          <cell r="AP168">
            <v>1350</v>
          </cell>
          <cell r="BA168">
            <v>716</v>
          </cell>
          <cell r="BB168">
            <v>552</v>
          </cell>
          <cell r="BC168">
            <v>396</v>
          </cell>
          <cell r="BD168">
            <v>511</v>
          </cell>
        </row>
        <row r="169">
          <cell r="AN169">
            <v>5701</v>
          </cell>
          <cell r="AO169">
            <v>5769</v>
          </cell>
          <cell r="AP169">
            <v>5632</v>
          </cell>
          <cell r="BA169">
            <v>2896</v>
          </cell>
          <cell r="BB169">
            <v>2184</v>
          </cell>
          <cell r="BC169">
            <v>1541</v>
          </cell>
          <cell r="BD169">
            <v>2155</v>
          </cell>
        </row>
        <row r="170">
          <cell r="AN170">
            <v>1117</v>
          </cell>
          <cell r="AO170">
            <v>1107</v>
          </cell>
          <cell r="AP170">
            <v>1045</v>
          </cell>
          <cell r="BA170">
            <v>614</v>
          </cell>
          <cell r="BB170">
            <v>469</v>
          </cell>
          <cell r="BC170">
            <v>337</v>
          </cell>
          <cell r="BD170">
            <v>420</v>
          </cell>
        </row>
        <row r="171">
          <cell r="AN171">
            <v>19502</v>
          </cell>
          <cell r="AO171">
            <v>19485</v>
          </cell>
          <cell r="AP171">
            <v>18935</v>
          </cell>
          <cell r="BA171">
            <v>10444</v>
          </cell>
          <cell r="BB171">
            <v>7932</v>
          </cell>
          <cell r="BC171">
            <v>5498</v>
          </cell>
          <cell r="BD171">
            <v>7432</v>
          </cell>
        </row>
        <row r="172">
          <cell r="AN172">
            <v>1204</v>
          </cell>
          <cell r="AO172">
            <v>1216</v>
          </cell>
          <cell r="AP172">
            <v>1065</v>
          </cell>
          <cell r="BA172">
            <v>567</v>
          </cell>
          <cell r="BB172">
            <v>434</v>
          </cell>
          <cell r="BC172">
            <v>307</v>
          </cell>
          <cell r="BD172">
            <v>388</v>
          </cell>
        </row>
        <row r="173">
          <cell r="AN173">
            <v>994</v>
          </cell>
          <cell r="AO173">
            <v>1056</v>
          </cell>
          <cell r="AP173">
            <v>1010</v>
          </cell>
          <cell r="BA173">
            <v>631</v>
          </cell>
          <cell r="BB173">
            <v>460</v>
          </cell>
          <cell r="BC173">
            <v>335</v>
          </cell>
          <cell r="BD173">
            <v>442</v>
          </cell>
        </row>
        <row r="174">
          <cell r="AN174">
            <v>1904</v>
          </cell>
          <cell r="AO174">
            <v>1844</v>
          </cell>
          <cell r="AP174">
            <v>1741</v>
          </cell>
          <cell r="BA174">
            <v>1050</v>
          </cell>
          <cell r="BB174">
            <v>782</v>
          </cell>
          <cell r="BC174">
            <v>534</v>
          </cell>
          <cell r="BD174">
            <v>741</v>
          </cell>
        </row>
        <row r="175">
          <cell r="AN175">
            <v>4558</v>
          </cell>
          <cell r="AO175">
            <v>4629</v>
          </cell>
          <cell r="AP175">
            <v>4584</v>
          </cell>
          <cell r="BA175">
            <v>2815</v>
          </cell>
          <cell r="BB175">
            <v>2120</v>
          </cell>
          <cell r="BC175">
            <v>1336</v>
          </cell>
          <cell r="BD175">
            <v>1845</v>
          </cell>
        </row>
        <row r="176">
          <cell r="AN176">
            <v>512</v>
          </cell>
          <cell r="AO176">
            <v>508</v>
          </cell>
          <cell r="AP176">
            <v>526</v>
          </cell>
          <cell r="BA176">
            <v>320</v>
          </cell>
          <cell r="BB176">
            <v>221</v>
          </cell>
          <cell r="BC176">
            <v>140</v>
          </cell>
          <cell r="BD176">
            <v>174</v>
          </cell>
        </row>
        <row r="177">
          <cell r="AN177">
            <v>1126</v>
          </cell>
          <cell r="AO177">
            <v>1177</v>
          </cell>
          <cell r="AP177">
            <v>1119</v>
          </cell>
          <cell r="BA177">
            <v>756</v>
          </cell>
          <cell r="BB177">
            <v>624</v>
          </cell>
          <cell r="BC177">
            <v>484</v>
          </cell>
          <cell r="BD177">
            <v>646</v>
          </cell>
        </row>
        <row r="178">
          <cell r="AN178">
            <v>786</v>
          </cell>
          <cell r="AO178">
            <v>891</v>
          </cell>
          <cell r="AP178">
            <v>756</v>
          </cell>
          <cell r="BA178">
            <v>380</v>
          </cell>
          <cell r="BB178">
            <v>286</v>
          </cell>
          <cell r="BC178">
            <v>206</v>
          </cell>
          <cell r="BD178">
            <v>244</v>
          </cell>
        </row>
        <row r="179">
          <cell r="AN179">
            <v>1425</v>
          </cell>
          <cell r="AO179">
            <v>1497</v>
          </cell>
          <cell r="AP179">
            <v>1352</v>
          </cell>
          <cell r="BA179">
            <v>753</v>
          </cell>
          <cell r="BB179">
            <v>579</v>
          </cell>
          <cell r="BC179">
            <v>415</v>
          </cell>
          <cell r="BD179">
            <v>530</v>
          </cell>
        </row>
        <row r="180">
          <cell r="AN180">
            <v>5618</v>
          </cell>
          <cell r="AO180">
            <v>5884</v>
          </cell>
          <cell r="AP180">
            <v>5609</v>
          </cell>
          <cell r="BA180">
            <v>3034</v>
          </cell>
          <cell r="BB180">
            <v>2266</v>
          </cell>
          <cell r="BC180">
            <v>1598</v>
          </cell>
          <cell r="BD180">
            <v>2218</v>
          </cell>
        </row>
        <row r="181">
          <cell r="AN181">
            <v>1100</v>
          </cell>
          <cell r="AO181">
            <v>1127</v>
          </cell>
          <cell r="AP181">
            <v>1035</v>
          </cell>
          <cell r="BA181">
            <v>640</v>
          </cell>
          <cell r="BB181">
            <v>486</v>
          </cell>
          <cell r="BC181">
            <v>351</v>
          </cell>
          <cell r="BD181">
            <v>433</v>
          </cell>
        </row>
        <row r="182">
          <cell r="AN182">
            <v>19227</v>
          </cell>
          <cell r="AO182">
            <v>19829</v>
          </cell>
          <cell r="AP182">
            <v>18797</v>
          </cell>
          <cell r="BA182">
            <v>10946</v>
          </cell>
          <cell r="BB182">
            <v>8258</v>
          </cell>
          <cell r="BC182">
            <v>5706</v>
          </cell>
          <cell r="BD182">
            <v>7661</v>
          </cell>
        </row>
        <row r="183">
          <cell r="AN183">
            <v>1198</v>
          </cell>
          <cell r="AO183">
            <v>1240</v>
          </cell>
          <cell r="AP183">
            <v>1082</v>
          </cell>
          <cell r="BA183">
            <v>604</v>
          </cell>
          <cell r="BB183">
            <v>455</v>
          </cell>
          <cell r="BC183">
            <v>327</v>
          </cell>
          <cell r="BD183">
            <v>408</v>
          </cell>
        </row>
        <row r="184">
          <cell r="AN184">
            <v>978</v>
          </cell>
          <cell r="AO184">
            <v>1060</v>
          </cell>
          <cell r="AP184">
            <v>1015</v>
          </cell>
          <cell r="BA184">
            <v>658</v>
          </cell>
          <cell r="BB184">
            <v>479</v>
          </cell>
          <cell r="BC184">
            <v>353</v>
          </cell>
          <cell r="BD184">
            <v>460</v>
          </cell>
        </row>
        <row r="185">
          <cell r="AN185">
            <v>1869</v>
          </cell>
          <cell r="AO185">
            <v>1854</v>
          </cell>
          <cell r="AP185">
            <v>1746</v>
          </cell>
          <cell r="BA185">
            <v>1104</v>
          </cell>
          <cell r="BB185">
            <v>810</v>
          </cell>
          <cell r="BC185">
            <v>561</v>
          </cell>
          <cell r="BD185">
            <v>771</v>
          </cell>
        </row>
        <row r="186">
          <cell r="AN186">
            <v>4457</v>
          </cell>
          <cell r="AO186">
            <v>4635</v>
          </cell>
          <cell r="AP186">
            <v>4574</v>
          </cell>
          <cell r="BA186">
            <v>2939</v>
          </cell>
          <cell r="BB186">
            <v>2194</v>
          </cell>
          <cell r="BC186">
            <v>1390</v>
          </cell>
          <cell r="BD186">
            <v>1907</v>
          </cell>
        </row>
        <row r="187">
          <cell r="AN187">
            <v>503</v>
          </cell>
          <cell r="AO187">
            <v>509</v>
          </cell>
          <cell r="AP187">
            <v>525</v>
          </cell>
          <cell r="BA187">
            <v>334</v>
          </cell>
          <cell r="BB187">
            <v>229</v>
          </cell>
          <cell r="BC187">
            <v>146</v>
          </cell>
          <cell r="BD187">
            <v>180</v>
          </cell>
        </row>
        <row r="188">
          <cell r="AN188">
            <v>1106</v>
          </cell>
          <cell r="AO188">
            <v>1177</v>
          </cell>
          <cell r="AP188">
            <v>1121</v>
          </cell>
          <cell r="BA188">
            <v>792</v>
          </cell>
          <cell r="BB188">
            <v>643</v>
          </cell>
          <cell r="BC188">
            <v>505</v>
          </cell>
          <cell r="BD188">
            <v>670</v>
          </cell>
        </row>
        <row r="189">
          <cell r="AN189">
            <v>783</v>
          </cell>
          <cell r="AO189">
            <v>909</v>
          </cell>
          <cell r="AP189">
            <v>768</v>
          </cell>
          <cell r="BA189">
            <v>403</v>
          </cell>
          <cell r="BB189">
            <v>302</v>
          </cell>
          <cell r="BC189">
            <v>218</v>
          </cell>
          <cell r="BD189">
            <v>257</v>
          </cell>
        </row>
        <row r="190">
          <cell r="AN190">
            <v>1408</v>
          </cell>
          <cell r="AO190">
            <v>1513</v>
          </cell>
          <cell r="AP190">
            <v>1365</v>
          </cell>
          <cell r="BA190">
            <v>795</v>
          </cell>
          <cell r="BB190">
            <v>605</v>
          </cell>
          <cell r="BC190">
            <v>438</v>
          </cell>
          <cell r="BD190">
            <v>554</v>
          </cell>
        </row>
        <row r="191">
          <cell r="AN191">
            <v>5534</v>
          </cell>
          <cell r="AO191">
            <v>5933</v>
          </cell>
          <cell r="AP191">
            <v>5640</v>
          </cell>
          <cell r="BA191">
            <v>3193</v>
          </cell>
          <cell r="BB191">
            <v>2362</v>
          </cell>
          <cell r="BC191">
            <v>1675</v>
          </cell>
          <cell r="BD191">
            <v>2309</v>
          </cell>
        </row>
        <row r="192">
          <cell r="AN192">
            <v>1083</v>
          </cell>
          <cell r="AO192">
            <v>1135</v>
          </cell>
          <cell r="AP192">
            <v>1039</v>
          </cell>
          <cell r="BA192">
            <v>674</v>
          </cell>
          <cell r="BB192">
            <v>505</v>
          </cell>
          <cell r="BC192">
            <v>366</v>
          </cell>
          <cell r="BD192">
            <v>450</v>
          </cell>
        </row>
        <row r="193">
          <cell r="AN193">
            <v>18919</v>
          </cell>
          <cell r="AO193">
            <v>19965</v>
          </cell>
          <cell r="AP193">
            <v>18875</v>
          </cell>
          <cell r="BA193">
            <v>11496</v>
          </cell>
          <cell r="BB193">
            <v>8584</v>
          </cell>
          <cell r="BC193">
            <v>5979</v>
          </cell>
          <cell r="BD193">
            <v>7966</v>
          </cell>
        </row>
        <row r="194">
          <cell r="AN194">
            <v>1190</v>
          </cell>
          <cell r="AO194">
            <v>1255</v>
          </cell>
          <cell r="AP194">
            <v>1110</v>
          </cell>
          <cell r="BA194">
            <v>637</v>
          </cell>
          <cell r="BB194">
            <v>479</v>
          </cell>
          <cell r="BC194">
            <v>344</v>
          </cell>
          <cell r="BD194">
            <v>429</v>
          </cell>
        </row>
        <row r="195">
          <cell r="AN195">
            <v>960</v>
          </cell>
          <cell r="AO195">
            <v>1064</v>
          </cell>
          <cell r="AP195">
            <v>1029</v>
          </cell>
          <cell r="BA195">
            <v>694</v>
          </cell>
          <cell r="BB195">
            <v>498</v>
          </cell>
          <cell r="BC195">
            <v>369</v>
          </cell>
          <cell r="BD195">
            <v>478</v>
          </cell>
        </row>
        <row r="196">
          <cell r="AN196">
            <v>1834</v>
          </cell>
          <cell r="AO196">
            <v>1854</v>
          </cell>
          <cell r="AP196">
            <v>1766</v>
          </cell>
          <cell r="BA196">
            <v>1149</v>
          </cell>
          <cell r="BB196">
            <v>842</v>
          </cell>
          <cell r="BC196">
            <v>587</v>
          </cell>
          <cell r="BD196">
            <v>801</v>
          </cell>
        </row>
        <row r="197">
          <cell r="AN197">
            <v>4351</v>
          </cell>
          <cell r="AO197">
            <v>4623</v>
          </cell>
          <cell r="AP197">
            <v>4612</v>
          </cell>
          <cell r="BA197">
            <v>3063</v>
          </cell>
          <cell r="BB197">
            <v>2264</v>
          </cell>
          <cell r="BC197">
            <v>1450</v>
          </cell>
          <cell r="BD197">
            <v>1972</v>
          </cell>
        </row>
        <row r="198">
          <cell r="AN198">
            <v>493</v>
          </cell>
          <cell r="AO198">
            <v>509</v>
          </cell>
          <cell r="AP198">
            <v>534</v>
          </cell>
          <cell r="BA198">
            <v>350</v>
          </cell>
          <cell r="BB198">
            <v>238</v>
          </cell>
          <cell r="BC198">
            <v>152</v>
          </cell>
          <cell r="BD198">
            <v>187</v>
          </cell>
        </row>
        <row r="199">
          <cell r="AN199">
            <v>1081</v>
          </cell>
          <cell r="AO199">
            <v>1180</v>
          </cell>
          <cell r="AP199">
            <v>1133</v>
          </cell>
          <cell r="BA199">
            <v>821</v>
          </cell>
          <cell r="BB199">
            <v>670</v>
          </cell>
          <cell r="BC199">
            <v>526</v>
          </cell>
          <cell r="BD199">
            <v>694</v>
          </cell>
        </row>
        <row r="200">
          <cell r="AN200">
            <v>779</v>
          </cell>
          <cell r="AO200">
            <v>921</v>
          </cell>
          <cell r="AP200">
            <v>787</v>
          </cell>
          <cell r="BA200">
            <v>427</v>
          </cell>
          <cell r="BB200">
            <v>315</v>
          </cell>
          <cell r="BC200">
            <v>231</v>
          </cell>
          <cell r="BD200">
            <v>270</v>
          </cell>
        </row>
        <row r="201">
          <cell r="AN201">
            <v>1397</v>
          </cell>
          <cell r="AO201">
            <v>1527</v>
          </cell>
          <cell r="AP201">
            <v>1392</v>
          </cell>
          <cell r="BA201">
            <v>838</v>
          </cell>
          <cell r="BB201">
            <v>632</v>
          </cell>
          <cell r="BC201">
            <v>462</v>
          </cell>
          <cell r="BD201">
            <v>580</v>
          </cell>
        </row>
        <row r="202">
          <cell r="AN202">
            <v>5448</v>
          </cell>
          <cell r="AO202">
            <v>5967</v>
          </cell>
          <cell r="AP202">
            <v>5730</v>
          </cell>
          <cell r="BA202">
            <v>3348</v>
          </cell>
          <cell r="BB202">
            <v>2456</v>
          </cell>
          <cell r="BC202">
            <v>1759</v>
          </cell>
          <cell r="BD202">
            <v>2405</v>
          </cell>
        </row>
        <row r="203">
          <cell r="AN203">
            <v>1066</v>
          </cell>
          <cell r="AO203">
            <v>1140</v>
          </cell>
          <cell r="AP203">
            <v>1055</v>
          </cell>
          <cell r="BA203">
            <v>707</v>
          </cell>
          <cell r="BB203">
            <v>524</v>
          </cell>
          <cell r="BC203">
            <v>381</v>
          </cell>
          <cell r="BD203">
            <v>468</v>
          </cell>
        </row>
        <row r="204">
          <cell r="AN204">
            <v>18599</v>
          </cell>
          <cell r="AO204">
            <v>20040</v>
          </cell>
          <cell r="AP204">
            <v>19148</v>
          </cell>
          <cell r="BA204">
            <v>12034</v>
          </cell>
          <cell r="BB204">
            <v>8918</v>
          </cell>
          <cell r="BC204">
            <v>6261</v>
          </cell>
          <cell r="BD204">
            <v>8284</v>
          </cell>
        </row>
        <row r="205">
          <cell r="AN205">
            <v>1176</v>
          </cell>
          <cell r="AO205">
            <v>1280</v>
          </cell>
          <cell r="AP205">
            <v>1142</v>
          </cell>
          <cell r="BA205">
            <v>672</v>
          </cell>
          <cell r="BB205">
            <v>503</v>
          </cell>
          <cell r="BC205">
            <v>364</v>
          </cell>
          <cell r="BD205">
            <v>452</v>
          </cell>
        </row>
        <row r="206">
          <cell r="AN206">
            <v>937</v>
          </cell>
          <cell r="AO206">
            <v>1072</v>
          </cell>
          <cell r="AP206">
            <v>1046</v>
          </cell>
          <cell r="BA206">
            <v>723</v>
          </cell>
          <cell r="BB206">
            <v>517</v>
          </cell>
          <cell r="BC206">
            <v>387</v>
          </cell>
          <cell r="BD206">
            <v>498</v>
          </cell>
        </row>
        <row r="207">
          <cell r="AN207">
            <v>1790</v>
          </cell>
          <cell r="AO207">
            <v>1867</v>
          </cell>
          <cell r="AP207">
            <v>1795</v>
          </cell>
          <cell r="BA207">
            <v>1201</v>
          </cell>
          <cell r="BB207">
            <v>878</v>
          </cell>
          <cell r="BC207">
            <v>614</v>
          </cell>
          <cell r="BD207">
            <v>834</v>
          </cell>
        </row>
        <row r="208">
          <cell r="AN208">
            <v>4234</v>
          </cell>
          <cell r="AO208">
            <v>4627</v>
          </cell>
          <cell r="AP208">
            <v>4669</v>
          </cell>
          <cell r="BA208">
            <v>3179</v>
          </cell>
          <cell r="BB208">
            <v>2347</v>
          </cell>
          <cell r="BC208">
            <v>1511</v>
          </cell>
          <cell r="BD208">
            <v>2042</v>
          </cell>
        </row>
        <row r="209">
          <cell r="AN209">
            <v>479</v>
          </cell>
          <cell r="AO209">
            <v>513</v>
          </cell>
          <cell r="AP209">
            <v>542</v>
          </cell>
          <cell r="BA209">
            <v>364</v>
          </cell>
          <cell r="BB209">
            <v>244</v>
          </cell>
          <cell r="BC209">
            <v>162</v>
          </cell>
          <cell r="BD209">
            <v>194</v>
          </cell>
        </row>
        <row r="210">
          <cell r="AN210">
            <v>1055</v>
          </cell>
          <cell r="AO210">
            <v>1183</v>
          </cell>
          <cell r="AP210">
            <v>1147</v>
          </cell>
          <cell r="BA210">
            <v>860</v>
          </cell>
          <cell r="BB210">
            <v>694</v>
          </cell>
          <cell r="BC210">
            <v>551</v>
          </cell>
          <cell r="BD210">
            <v>721</v>
          </cell>
        </row>
        <row r="211">
          <cell r="AN211">
            <v>767</v>
          </cell>
          <cell r="AO211">
            <v>936</v>
          </cell>
          <cell r="AP211">
            <v>809</v>
          </cell>
          <cell r="BA211">
            <v>451</v>
          </cell>
          <cell r="BB211">
            <v>334</v>
          </cell>
          <cell r="BC211">
            <v>244</v>
          </cell>
          <cell r="BD211">
            <v>284</v>
          </cell>
        </row>
        <row r="212">
          <cell r="AN212">
            <v>1368</v>
          </cell>
          <cell r="AO212">
            <v>1547</v>
          </cell>
          <cell r="AP212">
            <v>1426</v>
          </cell>
          <cell r="BA212">
            <v>878</v>
          </cell>
          <cell r="BB212">
            <v>661</v>
          </cell>
          <cell r="BC212">
            <v>487</v>
          </cell>
          <cell r="BD212">
            <v>607</v>
          </cell>
        </row>
        <row r="213">
          <cell r="AN213">
            <v>5340</v>
          </cell>
          <cell r="AO213">
            <v>6015</v>
          </cell>
          <cell r="AP213">
            <v>5846</v>
          </cell>
          <cell r="BA213">
            <v>3502</v>
          </cell>
          <cell r="BB213">
            <v>2564</v>
          </cell>
          <cell r="BC213">
            <v>1845</v>
          </cell>
          <cell r="BD213">
            <v>2508</v>
          </cell>
        </row>
        <row r="214">
          <cell r="AN214">
            <v>1043</v>
          </cell>
          <cell r="AO214">
            <v>1149</v>
          </cell>
          <cell r="AP214">
            <v>1075</v>
          </cell>
          <cell r="BA214">
            <v>739</v>
          </cell>
          <cell r="BB214">
            <v>553</v>
          </cell>
          <cell r="BC214">
            <v>400</v>
          </cell>
          <cell r="BD214">
            <v>489</v>
          </cell>
        </row>
        <row r="215">
          <cell r="AN215">
            <v>18189</v>
          </cell>
          <cell r="AO215">
            <v>20189</v>
          </cell>
          <cell r="AP215">
            <v>19497</v>
          </cell>
          <cell r="BA215">
            <v>12569</v>
          </cell>
          <cell r="BB215">
            <v>9295</v>
          </cell>
          <cell r="BC215">
            <v>6565</v>
          </cell>
          <cell r="BD215">
            <v>8629</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22</v>
          </cell>
          <cell r="H21">
            <v>33</v>
          </cell>
          <cell r="I21">
            <v>36</v>
          </cell>
          <cell r="J21">
            <v>48</v>
          </cell>
          <cell r="K21">
            <v>9</v>
          </cell>
          <cell r="L21">
            <v>43</v>
          </cell>
          <cell r="M21">
            <v>13</v>
          </cell>
          <cell r="N21">
            <v>40</v>
          </cell>
          <cell r="O21">
            <v>29</v>
          </cell>
          <cell r="P21">
            <v>49</v>
          </cell>
          <cell r="Q21">
            <v>19</v>
          </cell>
          <cell r="R21">
            <v>30</v>
          </cell>
          <cell r="S21">
            <v>12</v>
          </cell>
          <cell r="T21">
            <v>39</v>
          </cell>
          <cell r="U21">
            <v>11</v>
          </cell>
          <cell r="V21">
            <v>22</v>
          </cell>
          <cell r="W21">
            <v>21</v>
          </cell>
          <cell r="X21">
            <v>11</v>
          </cell>
          <cell r="Y21">
            <v>44</v>
          </cell>
          <cell r="Z21">
            <v>80</v>
          </cell>
          <cell r="AA21">
            <v>45</v>
          </cell>
          <cell r="AB21">
            <v>62</v>
          </cell>
          <cell r="AC21">
            <v>32</v>
          </cell>
          <cell r="AD21">
            <v>47</v>
          </cell>
          <cell r="AE21">
            <v>36</v>
          </cell>
          <cell r="AF21">
            <v>70</v>
          </cell>
        </row>
      </sheetData>
      <sheetData sheetId="3" refreshError="1"/>
      <sheetData sheetId="4" refreshError="1"/>
      <sheetData sheetId="5" refreshError="1"/>
      <sheetData sheetId="6" refreshError="1"/>
      <sheetData sheetId="7" refreshError="1"/>
      <sheetData sheetId="8">
        <row r="13">
          <cell r="B13">
            <v>0</v>
          </cell>
        </row>
        <row r="19">
          <cell r="E19">
            <v>810</v>
          </cell>
          <cell r="F19">
            <v>726</v>
          </cell>
          <cell r="G19">
            <v>455</v>
          </cell>
          <cell r="H19">
            <v>483</v>
          </cell>
          <cell r="I19">
            <v>330</v>
          </cell>
          <cell r="J19">
            <v>370</v>
          </cell>
          <cell r="K19">
            <v>433</v>
          </cell>
          <cell r="L19">
            <v>667</v>
          </cell>
          <cell r="M19">
            <v>590</v>
          </cell>
          <cell r="N19">
            <v>771</v>
          </cell>
          <cell r="O19">
            <v>639</v>
          </cell>
          <cell r="P19">
            <v>762</v>
          </cell>
          <cell r="Q19">
            <v>616</v>
          </cell>
          <cell r="R19">
            <v>719</v>
          </cell>
          <cell r="S19">
            <v>484</v>
          </cell>
          <cell r="T19">
            <v>690</v>
          </cell>
          <cell r="U19">
            <v>352</v>
          </cell>
          <cell r="V19">
            <v>520</v>
          </cell>
          <cell r="W19">
            <v>398</v>
          </cell>
          <cell r="X19">
            <v>516</v>
          </cell>
          <cell r="Y19">
            <v>306</v>
          </cell>
          <cell r="Z19">
            <v>491</v>
          </cell>
          <cell r="AA19">
            <v>386</v>
          </cell>
          <cell r="AB19">
            <v>593</v>
          </cell>
          <cell r="AC19">
            <v>297</v>
          </cell>
          <cell r="AD19">
            <v>427</v>
          </cell>
          <cell r="AE19">
            <v>235</v>
          </cell>
          <cell r="AF19">
            <v>304</v>
          </cell>
          <cell r="AG19">
            <v>142</v>
          </cell>
          <cell r="AH19">
            <v>224</v>
          </cell>
          <cell r="AI19">
            <v>124</v>
          </cell>
          <cell r="AJ19">
            <v>210</v>
          </cell>
          <cell r="AK19">
            <v>128</v>
          </cell>
          <cell r="AL19">
            <v>210</v>
          </cell>
        </row>
      </sheetData>
      <sheetData sheetId="9">
        <row r="12">
          <cell r="D12">
            <v>2381</v>
          </cell>
        </row>
        <row r="14">
          <cell r="D14">
            <v>258</v>
          </cell>
        </row>
        <row r="21">
          <cell r="G21">
            <v>74</v>
          </cell>
          <cell r="H21">
            <v>62</v>
          </cell>
          <cell r="I21">
            <v>29</v>
          </cell>
          <cell r="J21">
            <v>30</v>
          </cell>
          <cell r="K21">
            <v>35</v>
          </cell>
          <cell r="L21">
            <v>39</v>
          </cell>
          <cell r="M21">
            <v>50</v>
          </cell>
          <cell r="N21">
            <v>47</v>
          </cell>
          <cell r="O21">
            <v>37</v>
          </cell>
          <cell r="P21">
            <v>46</v>
          </cell>
          <cell r="Q21">
            <v>42</v>
          </cell>
          <cell r="R21">
            <v>48</v>
          </cell>
          <cell r="S21">
            <v>45</v>
          </cell>
          <cell r="T21">
            <v>40</v>
          </cell>
          <cell r="U21">
            <v>53</v>
          </cell>
          <cell r="V21">
            <v>57</v>
          </cell>
          <cell r="W21">
            <v>312</v>
          </cell>
          <cell r="X21">
            <v>269</v>
          </cell>
          <cell r="Y21">
            <v>165</v>
          </cell>
          <cell r="Z21">
            <v>96</v>
          </cell>
        </row>
        <row r="22">
          <cell r="G22">
            <v>0</v>
          </cell>
          <cell r="H22">
            <v>0</v>
          </cell>
          <cell r="I22">
            <v>0</v>
          </cell>
          <cell r="J22">
            <v>0</v>
          </cell>
          <cell r="K22">
            <v>6</v>
          </cell>
          <cell r="L22">
            <v>0</v>
          </cell>
          <cell r="M22">
            <v>23</v>
          </cell>
          <cell r="N22">
            <v>15</v>
          </cell>
          <cell r="O22">
            <v>18</v>
          </cell>
          <cell r="P22">
            <v>32</v>
          </cell>
          <cell r="Q22">
            <v>17</v>
          </cell>
          <cell r="R22">
            <v>26</v>
          </cell>
          <cell r="S22">
            <v>42</v>
          </cell>
          <cell r="T22">
            <v>58</v>
          </cell>
          <cell r="U22">
            <v>268</v>
          </cell>
          <cell r="V22">
            <v>191</v>
          </cell>
          <cell r="W22">
            <v>576</v>
          </cell>
          <cell r="X22">
            <v>686</v>
          </cell>
          <cell r="Y22">
            <v>1033</v>
          </cell>
          <cell r="Z22">
            <v>250</v>
          </cell>
        </row>
        <row r="23">
          <cell r="G23">
            <v>0</v>
          </cell>
          <cell r="H23">
            <v>0</v>
          </cell>
          <cell r="I23">
            <v>1</v>
          </cell>
          <cell r="J23">
            <v>1</v>
          </cell>
          <cell r="K23">
            <v>2</v>
          </cell>
          <cell r="L23">
            <v>3</v>
          </cell>
          <cell r="M23">
            <v>4</v>
          </cell>
          <cell r="N23">
            <v>12</v>
          </cell>
          <cell r="O23">
            <v>9</v>
          </cell>
          <cell r="P23">
            <v>14</v>
          </cell>
          <cell r="Q23">
            <v>12</v>
          </cell>
          <cell r="R23">
            <v>12</v>
          </cell>
          <cell r="S23">
            <v>16</v>
          </cell>
          <cell r="T23">
            <v>19</v>
          </cell>
          <cell r="U23">
            <v>26</v>
          </cell>
          <cell r="V23">
            <v>20</v>
          </cell>
          <cell r="W23">
            <v>94</v>
          </cell>
          <cell r="X23">
            <v>79</v>
          </cell>
          <cell r="Y23">
            <v>123</v>
          </cell>
          <cell r="Z23">
            <v>37</v>
          </cell>
        </row>
        <row r="24">
          <cell r="G24">
            <v>0</v>
          </cell>
          <cell r="H24">
            <v>0</v>
          </cell>
          <cell r="I24">
            <v>0</v>
          </cell>
          <cell r="J24">
            <v>0</v>
          </cell>
          <cell r="K24">
            <v>2</v>
          </cell>
          <cell r="L24">
            <v>0</v>
          </cell>
          <cell r="M24">
            <v>1</v>
          </cell>
          <cell r="N24">
            <v>3</v>
          </cell>
          <cell r="O24">
            <v>6</v>
          </cell>
          <cell r="P24">
            <v>7</v>
          </cell>
          <cell r="Q24">
            <v>8</v>
          </cell>
          <cell r="R24">
            <v>8</v>
          </cell>
          <cell r="S24">
            <v>5</v>
          </cell>
          <cell r="T24">
            <v>11</v>
          </cell>
          <cell r="U24">
            <v>11</v>
          </cell>
          <cell r="V24">
            <v>15</v>
          </cell>
          <cell r="W24">
            <v>54</v>
          </cell>
          <cell r="X24">
            <v>41</v>
          </cell>
          <cell r="Y24">
            <v>116</v>
          </cell>
          <cell r="Z24">
            <v>34</v>
          </cell>
        </row>
        <row r="25">
          <cell r="G25">
            <v>0</v>
          </cell>
          <cell r="H25">
            <v>0</v>
          </cell>
          <cell r="I25">
            <v>0</v>
          </cell>
          <cell r="J25">
            <v>0</v>
          </cell>
          <cell r="K25">
            <v>0</v>
          </cell>
          <cell r="L25">
            <v>0</v>
          </cell>
          <cell r="M25">
            <v>0</v>
          </cell>
          <cell r="N25">
            <v>0</v>
          </cell>
          <cell r="O25">
            <v>0</v>
          </cell>
          <cell r="P25">
            <v>0</v>
          </cell>
          <cell r="Q25">
            <v>2</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2</v>
          </cell>
          <cell r="U26">
            <v>22</v>
          </cell>
          <cell r="V26">
            <v>15</v>
          </cell>
          <cell r="W26">
            <v>64</v>
          </cell>
          <cell r="X26">
            <v>52</v>
          </cell>
          <cell r="Y26">
            <v>137</v>
          </cell>
          <cell r="Z26">
            <v>73</v>
          </cell>
        </row>
      </sheetData>
      <sheetData sheetId="10" refreshError="1"/>
      <sheetData sheetId="11" refreshError="1"/>
      <sheetData sheetId="12">
        <row r="11">
          <cell r="B11">
            <v>64</v>
          </cell>
          <cell r="E11">
            <v>64</v>
          </cell>
          <cell r="F11">
            <v>0</v>
          </cell>
        </row>
        <row r="25">
          <cell r="B25">
            <v>1494</v>
          </cell>
        </row>
        <row r="26">
          <cell r="B26">
            <v>3</v>
          </cell>
        </row>
        <row r="27">
          <cell r="B27">
            <v>64</v>
          </cell>
        </row>
        <row r="28">
          <cell r="B28">
            <v>58</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1</v>
          </cell>
          <cell r="H21">
            <v>9</v>
          </cell>
          <cell r="I21">
            <v>6</v>
          </cell>
          <cell r="J21">
            <v>6</v>
          </cell>
          <cell r="K21">
            <v>5</v>
          </cell>
          <cell r="L21">
            <v>5</v>
          </cell>
          <cell r="M21">
            <v>3</v>
          </cell>
          <cell r="N21">
            <v>6</v>
          </cell>
          <cell r="O21">
            <v>0</v>
          </cell>
          <cell r="P21">
            <v>1</v>
          </cell>
          <cell r="Q21">
            <v>5</v>
          </cell>
          <cell r="R21">
            <v>8</v>
          </cell>
          <cell r="S21">
            <v>4</v>
          </cell>
          <cell r="T21">
            <v>5</v>
          </cell>
          <cell r="U21">
            <v>2</v>
          </cell>
          <cell r="V21">
            <v>2</v>
          </cell>
          <cell r="W21">
            <v>4</v>
          </cell>
          <cell r="X21">
            <v>2</v>
          </cell>
          <cell r="Y21">
            <v>11</v>
          </cell>
          <cell r="Z21">
            <v>11</v>
          </cell>
          <cell r="AA21">
            <v>6</v>
          </cell>
          <cell r="AB21">
            <v>9</v>
          </cell>
          <cell r="AC21">
            <v>7</v>
          </cell>
          <cell r="AD21">
            <v>5</v>
          </cell>
          <cell r="AE21">
            <v>3</v>
          </cell>
          <cell r="AF21">
            <v>23</v>
          </cell>
        </row>
      </sheetData>
      <sheetData sheetId="3" refreshError="1"/>
      <sheetData sheetId="4" refreshError="1"/>
      <sheetData sheetId="5" refreshError="1"/>
      <sheetData sheetId="6" refreshError="1"/>
      <sheetData sheetId="7" refreshError="1"/>
      <sheetData sheetId="8" refreshError="1"/>
      <sheetData sheetId="9">
        <row r="12">
          <cell r="D12">
            <v>347</v>
          </cell>
        </row>
        <row r="14">
          <cell r="D14">
            <v>90</v>
          </cell>
        </row>
        <row r="21">
          <cell r="G21">
            <v>0</v>
          </cell>
          <cell r="H21">
            <v>3</v>
          </cell>
          <cell r="I21">
            <v>7</v>
          </cell>
          <cell r="J21">
            <v>7</v>
          </cell>
          <cell r="K21">
            <v>4</v>
          </cell>
          <cell r="L21">
            <v>6</v>
          </cell>
          <cell r="M21">
            <v>7</v>
          </cell>
          <cell r="N21">
            <v>4</v>
          </cell>
          <cell r="O21">
            <v>6</v>
          </cell>
          <cell r="P21">
            <v>11</v>
          </cell>
          <cell r="Q21">
            <v>1</v>
          </cell>
          <cell r="R21">
            <v>3</v>
          </cell>
          <cell r="S21">
            <v>8</v>
          </cell>
          <cell r="T21">
            <v>2</v>
          </cell>
          <cell r="U21">
            <v>4</v>
          </cell>
          <cell r="V21">
            <v>6</v>
          </cell>
          <cell r="W21">
            <v>32</v>
          </cell>
          <cell r="X21">
            <v>49</v>
          </cell>
          <cell r="Y21">
            <v>8</v>
          </cell>
          <cell r="Z21">
            <v>22</v>
          </cell>
        </row>
        <row r="22">
          <cell r="G22">
            <v>0</v>
          </cell>
          <cell r="H22">
            <v>0</v>
          </cell>
          <cell r="I22">
            <v>0</v>
          </cell>
          <cell r="J22">
            <v>0</v>
          </cell>
          <cell r="K22">
            <v>0</v>
          </cell>
          <cell r="L22">
            <v>0</v>
          </cell>
          <cell r="M22">
            <v>0</v>
          </cell>
          <cell r="N22">
            <v>3</v>
          </cell>
          <cell r="O22">
            <v>2</v>
          </cell>
          <cell r="P22">
            <v>4</v>
          </cell>
          <cell r="Q22">
            <v>0</v>
          </cell>
          <cell r="R22">
            <v>3</v>
          </cell>
          <cell r="S22">
            <v>17</v>
          </cell>
          <cell r="T22">
            <v>0</v>
          </cell>
          <cell r="U22">
            <v>6</v>
          </cell>
          <cell r="V22">
            <v>13</v>
          </cell>
          <cell r="W22">
            <v>73</v>
          </cell>
          <cell r="X22">
            <v>91</v>
          </cell>
          <cell r="Y22">
            <v>1</v>
          </cell>
          <cell r="Z22">
            <v>39</v>
          </cell>
        </row>
        <row r="23">
          <cell r="G23">
            <v>0</v>
          </cell>
          <cell r="H23">
            <v>0</v>
          </cell>
          <cell r="I23">
            <v>0</v>
          </cell>
          <cell r="J23">
            <v>0</v>
          </cell>
          <cell r="K23">
            <v>0</v>
          </cell>
          <cell r="L23">
            <v>0</v>
          </cell>
          <cell r="M23">
            <v>4</v>
          </cell>
          <cell r="N23">
            <v>2</v>
          </cell>
          <cell r="O23">
            <v>3</v>
          </cell>
          <cell r="P23">
            <v>6</v>
          </cell>
          <cell r="Q23">
            <v>2</v>
          </cell>
          <cell r="R23">
            <v>4</v>
          </cell>
          <cell r="S23">
            <v>4</v>
          </cell>
          <cell r="T23">
            <v>2</v>
          </cell>
          <cell r="U23">
            <v>4</v>
          </cell>
          <cell r="V23">
            <v>4</v>
          </cell>
          <cell r="W23">
            <v>16</v>
          </cell>
          <cell r="X23">
            <v>25</v>
          </cell>
          <cell r="Y23">
            <v>3</v>
          </cell>
          <cell r="Z23">
            <v>9</v>
          </cell>
        </row>
        <row r="24">
          <cell r="G24">
            <v>0</v>
          </cell>
          <cell r="H24">
            <v>0</v>
          </cell>
          <cell r="I24">
            <v>0</v>
          </cell>
          <cell r="J24">
            <v>0</v>
          </cell>
          <cell r="K24">
            <v>0</v>
          </cell>
          <cell r="L24">
            <v>0</v>
          </cell>
          <cell r="M24">
            <v>4</v>
          </cell>
          <cell r="N24">
            <v>3</v>
          </cell>
          <cell r="O24">
            <v>4</v>
          </cell>
          <cell r="P24">
            <v>5</v>
          </cell>
          <cell r="Q24">
            <v>2</v>
          </cell>
          <cell r="R24">
            <v>5</v>
          </cell>
          <cell r="S24">
            <v>6</v>
          </cell>
          <cell r="T24">
            <v>2</v>
          </cell>
          <cell r="U24">
            <v>4</v>
          </cell>
          <cell r="V24">
            <v>5</v>
          </cell>
          <cell r="W24">
            <v>30</v>
          </cell>
          <cell r="X24">
            <v>38</v>
          </cell>
          <cell r="Y24">
            <v>6</v>
          </cell>
          <cell r="Z24">
            <v>16</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1</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2</v>
          </cell>
          <cell r="V26">
            <v>0</v>
          </cell>
          <cell r="W26">
            <v>2</v>
          </cell>
          <cell r="X26">
            <v>7</v>
          </cell>
          <cell r="Y26">
            <v>3</v>
          </cell>
          <cell r="Z26">
            <v>4</v>
          </cell>
        </row>
      </sheetData>
      <sheetData sheetId="10" refreshError="1"/>
      <sheetData sheetId="11" refreshError="1"/>
      <sheetData sheetId="12">
        <row r="11">
          <cell r="B11">
            <v>1</v>
          </cell>
          <cell r="E11">
            <v>1</v>
          </cell>
          <cell r="F11">
            <v>0</v>
          </cell>
        </row>
        <row r="25">
          <cell r="B25">
            <v>235</v>
          </cell>
        </row>
        <row r="26">
          <cell r="B26">
            <v>0</v>
          </cell>
        </row>
        <row r="27">
          <cell r="B27">
            <v>8</v>
          </cell>
        </row>
        <row r="28">
          <cell r="B28">
            <v>2</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6</v>
          </cell>
          <cell r="H21">
            <v>17</v>
          </cell>
          <cell r="I21">
            <v>8</v>
          </cell>
          <cell r="J21">
            <v>11</v>
          </cell>
          <cell r="K21">
            <v>11</v>
          </cell>
          <cell r="L21">
            <v>10</v>
          </cell>
          <cell r="M21">
            <v>5</v>
          </cell>
          <cell r="N21">
            <v>11</v>
          </cell>
          <cell r="O21">
            <v>6</v>
          </cell>
          <cell r="P21">
            <v>6</v>
          </cell>
          <cell r="Q21">
            <v>2</v>
          </cell>
          <cell r="R21">
            <v>15</v>
          </cell>
          <cell r="S21">
            <v>3</v>
          </cell>
          <cell r="T21">
            <v>13</v>
          </cell>
          <cell r="U21">
            <v>2</v>
          </cell>
          <cell r="V21">
            <v>8</v>
          </cell>
          <cell r="W21">
            <v>3</v>
          </cell>
          <cell r="X21">
            <v>7</v>
          </cell>
          <cell r="Y21">
            <v>10</v>
          </cell>
          <cell r="Z21">
            <v>39</v>
          </cell>
          <cell r="AA21">
            <v>17</v>
          </cell>
          <cell r="AB21">
            <v>23</v>
          </cell>
          <cell r="AC21">
            <v>19</v>
          </cell>
          <cell r="AD21">
            <v>23</v>
          </cell>
          <cell r="AE21">
            <v>14</v>
          </cell>
          <cell r="AF21">
            <v>24</v>
          </cell>
        </row>
      </sheetData>
      <sheetData sheetId="3" refreshError="1"/>
      <sheetData sheetId="4" refreshError="1"/>
      <sheetData sheetId="5" refreshError="1"/>
      <sheetData sheetId="6" refreshError="1"/>
      <sheetData sheetId="7" refreshError="1"/>
      <sheetData sheetId="8" refreshError="1"/>
      <sheetData sheetId="9">
        <row r="12">
          <cell r="D12">
            <v>1088</v>
          </cell>
        </row>
        <row r="14">
          <cell r="D14">
            <v>39</v>
          </cell>
        </row>
        <row r="21">
          <cell r="G21">
            <v>8</v>
          </cell>
          <cell r="H21">
            <v>10</v>
          </cell>
          <cell r="I21">
            <v>8</v>
          </cell>
          <cell r="J21">
            <v>7</v>
          </cell>
          <cell r="K21">
            <v>12</v>
          </cell>
          <cell r="L21">
            <v>9</v>
          </cell>
          <cell r="M21">
            <v>5</v>
          </cell>
          <cell r="N21">
            <v>5</v>
          </cell>
          <cell r="O21">
            <v>8</v>
          </cell>
          <cell r="P21">
            <v>4</v>
          </cell>
          <cell r="Q21">
            <v>9</v>
          </cell>
          <cell r="R21">
            <v>3</v>
          </cell>
          <cell r="S21">
            <v>14</v>
          </cell>
          <cell r="T21">
            <v>13</v>
          </cell>
          <cell r="U21">
            <v>9</v>
          </cell>
          <cell r="V21">
            <v>7</v>
          </cell>
          <cell r="W21">
            <v>34</v>
          </cell>
          <cell r="X21">
            <v>30</v>
          </cell>
          <cell r="Y21">
            <v>9</v>
          </cell>
          <cell r="Z21">
            <v>30</v>
          </cell>
        </row>
        <row r="22">
          <cell r="G22">
            <v>0</v>
          </cell>
          <cell r="H22">
            <v>0</v>
          </cell>
          <cell r="I22">
            <v>0</v>
          </cell>
          <cell r="J22">
            <v>0</v>
          </cell>
          <cell r="K22">
            <v>0</v>
          </cell>
          <cell r="L22">
            <v>0</v>
          </cell>
          <cell r="M22">
            <v>0</v>
          </cell>
          <cell r="N22">
            <v>0</v>
          </cell>
          <cell r="O22">
            <v>0</v>
          </cell>
          <cell r="P22">
            <v>0</v>
          </cell>
          <cell r="Q22">
            <v>0</v>
          </cell>
          <cell r="R22">
            <v>0</v>
          </cell>
          <cell r="S22">
            <v>8</v>
          </cell>
          <cell r="T22">
            <v>13</v>
          </cell>
          <cell r="U22">
            <v>5</v>
          </cell>
          <cell r="V22">
            <v>0</v>
          </cell>
          <cell r="W22">
            <v>7</v>
          </cell>
          <cell r="X22">
            <v>9</v>
          </cell>
          <cell r="Y22">
            <v>2</v>
          </cell>
          <cell r="Z22">
            <v>10</v>
          </cell>
        </row>
        <row r="23">
          <cell r="G23">
            <v>0</v>
          </cell>
          <cell r="H23">
            <v>0</v>
          </cell>
          <cell r="I23">
            <v>0</v>
          </cell>
          <cell r="J23">
            <v>0</v>
          </cell>
          <cell r="K23">
            <v>2</v>
          </cell>
          <cell r="L23">
            <v>1</v>
          </cell>
          <cell r="M23">
            <v>0</v>
          </cell>
          <cell r="N23">
            <v>2</v>
          </cell>
          <cell r="O23">
            <v>3</v>
          </cell>
          <cell r="P23">
            <v>2</v>
          </cell>
          <cell r="Q23">
            <v>2</v>
          </cell>
          <cell r="R23">
            <v>2</v>
          </cell>
          <cell r="S23">
            <v>0</v>
          </cell>
          <cell r="T23">
            <v>1</v>
          </cell>
          <cell r="U23">
            <v>0</v>
          </cell>
          <cell r="V23">
            <v>0</v>
          </cell>
          <cell r="W23">
            <v>3</v>
          </cell>
          <cell r="X23">
            <v>4</v>
          </cell>
          <cell r="Y23">
            <v>0</v>
          </cell>
          <cell r="Z23">
            <v>2</v>
          </cell>
        </row>
        <row r="24">
          <cell r="G24">
            <v>0</v>
          </cell>
          <cell r="H24">
            <v>0</v>
          </cell>
          <cell r="I24">
            <v>0</v>
          </cell>
          <cell r="J24">
            <v>0</v>
          </cell>
          <cell r="K24">
            <v>0</v>
          </cell>
          <cell r="L24">
            <v>0</v>
          </cell>
          <cell r="M24">
            <v>0</v>
          </cell>
          <cell r="N24">
            <v>0</v>
          </cell>
          <cell r="O24">
            <v>0</v>
          </cell>
          <cell r="P24">
            <v>0</v>
          </cell>
          <cell r="Q24">
            <v>0</v>
          </cell>
          <cell r="R24">
            <v>0</v>
          </cell>
          <cell r="S24">
            <v>0</v>
          </cell>
          <cell r="T24">
            <v>1</v>
          </cell>
          <cell r="U24">
            <v>2</v>
          </cell>
          <cell r="V24">
            <v>1</v>
          </cell>
          <cell r="W24">
            <v>7</v>
          </cell>
          <cell r="X24">
            <v>4</v>
          </cell>
          <cell r="Y24">
            <v>1</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7</v>
          </cell>
          <cell r="V26">
            <v>2</v>
          </cell>
          <cell r="W26">
            <v>7</v>
          </cell>
          <cell r="X26">
            <v>10</v>
          </cell>
          <cell r="Y26">
            <v>6</v>
          </cell>
          <cell r="Z26">
            <v>18</v>
          </cell>
        </row>
      </sheetData>
      <sheetData sheetId="10" refreshError="1"/>
      <sheetData sheetId="11" refreshError="1"/>
      <sheetData sheetId="12">
        <row r="11">
          <cell r="B11">
            <v>7</v>
          </cell>
          <cell r="E11">
            <v>7</v>
          </cell>
          <cell r="F11">
            <v>1</v>
          </cell>
        </row>
        <row r="25">
          <cell r="B25">
            <v>79</v>
          </cell>
        </row>
        <row r="26">
          <cell r="B26">
            <v>1</v>
          </cell>
        </row>
        <row r="27">
          <cell r="B27">
            <v>10</v>
          </cell>
        </row>
        <row r="28">
          <cell r="B28">
            <v>38</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3</v>
          </cell>
          <cell r="H21">
            <v>10</v>
          </cell>
          <cell r="I21">
            <v>9</v>
          </cell>
          <cell r="J21">
            <v>11</v>
          </cell>
          <cell r="K21">
            <v>9</v>
          </cell>
          <cell r="L21">
            <v>6</v>
          </cell>
          <cell r="M21">
            <v>3</v>
          </cell>
          <cell r="N21">
            <v>6</v>
          </cell>
          <cell r="O21">
            <v>5</v>
          </cell>
          <cell r="P21">
            <v>14</v>
          </cell>
          <cell r="Q21">
            <v>2</v>
          </cell>
          <cell r="R21">
            <v>21</v>
          </cell>
          <cell r="S21">
            <v>5</v>
          </cell>
          <cell r="T21">
            <v>22</v>
          </cell>
          <cell r="U21">
            <v>6</v>
          </cell>
          <cell r="V21">
            <v>9</v>
          </cell>
          <cell r="W21">
            <v>9</v>
          </cell>
          <cell r="X21">
            <v>7</v>
          </cell>
          <cell r="Y21">
            <v>29</v>
          </cell>
          <cell r="Z21">
            <v>38</v>
          </cell>
          <cell r="AA21">
            <v>23</v>
          </cell>
          <cell r="AB21">
            <v>45</v>
          </cell>
          <cell r="AC21">
            <v>27</v>
          </cell>
          <cell r="AD21">
            <v>43</v>
          </cell>
          <cell r="AE21">
            <v>30</v>
          </cell>
          <cell r="AF21">
            <v>38</v>
          </cell>
        </row>
      </sheetData>
      <sheetData sheetId="3" refreshError="1"/>
      <sheetData sheetId="4" refreshError="1"/>
      <sheetData sheetId="5" refreshError="1"/>
      <sheetData sheetId="6" refreshError="1"/>
      <sheetData sheetId="7" refreshError="1"/>
      <sheetData sheetId="8" refreshError="1"/>
      <sheetData sheetId="9">
        <row r="12">
          <cell r="D12">
            <v>2213</v>
          </cell>
        </row>
        <row r="14">
          <cell r="D14">
            <v>163</v>
          </cell>
        </row>
        <row r="21">
          <cell r="G21">
            <v>6</v>
          </cell>
          <cell r="H21">
            <v>7</v>
          </cell>
          <cell r="I21">
            <v>4</v>
          </cell>
          <cell r="J21">
            <v>3</v>
          </cell>
          <cell r="K21">
            <v>12</v>
          </cell>
          <cell r="L21">
            <v>7</v>
          </cell>
          <cell r="M21">
            <v>5</v>
          </cell>
          <cell r="N21">
            <v>7</v>
          </cell>
          <cell r="O21">
            <v>2</v>
          </cell>
          <cell r="P21">
            <v>5</v>
          </cell>
          <cell r="Q21">
            <v>3</v>
          </cell>
          <cell r="R21">
            <v>3</v>
          </cell>
          <cell r="S21">
            <v>13</v>
          </cell>
          <cell r="T21">
            <v>17</v>
          </cell>
          <cell r="U21">
            <v>13</v>
          </cell>
          <cell r="V21">
            <v>15</v>
          </cell>
          <cell r="W21">
            <v>39</v>
          </cell>
          <cell r="X21">
            <v>33</v>
          </cell>
          <cell r="Y21">
            <v>8</v>
          </cell>
          <cell r="Z21">
            <v>10</v>
          </cell>
        </row>
        <row r="22">
          <cell r="G22">
            <v>0</v>
          </cell>
          <cell r="H22">
            <v>0</v>
          </cell>
          <cell r="I22">
            <v>0</v>
          </cell>
          <cell r="J22">
            <v>0</v>
          </cell>
          <cell r="K22">
            <v>0</v>
          </cell>
          <cell r="L22">
            <v>0</v>
          </cell>
          <cell r="M22">
            <v>1</v>
          </cell>
          <cell r="N22">
            <v>0</v>
          </cell>
          <cell r="O22">
            <v>0</v>
          </cell>
          <cell r="P22">
            <v>0</v>
          </cell>
          <cell r="Q22">
            <v>0</v>
          </cell>
          <cell r="R22">
            <v>2</v>
          </cell>
          <cell r="S22">
            <v>17</v>
          </cell>
          <cell r="T22">
            <v>10</v>
          </cell>
          <cell r="U22">
            <v>24</v>
          </cell>
          <cell r="V22">
            <v>17</v>
          </cell>
          <cell r="W22">
            <v>45</v>
          </cell>
          <cell r="X22">
            <v>50</v>
          </cell>
          <cell r="Y22">
            <v>8</v>
          </cell>
          <cell r="Z22">
            <v>6</v>
          </cell>
        </row>
        <row r="23">
          <cell r="G23">
            <v>0</v>
          </cell>
          <cell r="H23">
            <v>0</v>
          </cell>
          <cell r="I23">
            <v>0</v>
          </cell>
          <cell r="J23">
            <v>0</v>
          </cell>
          <cell r="K23">
            <v>2</v>
          </cell>
          <cell r="L23">
            <v>3</v>
          </cell>
          <cell r="M23">
            <v>3</v>
          </cell>
          <cell r="N23">
            <v>6</v>
          </cell>
          <cell r="O23">
            <v>3</v>
          </cell>
          <cell r="P23">
            <v>4</v>
          </cell>
          <cell r="Q23">
            <v>3</v>
          </cell>
          <cell r="R23">
            <v>4</v>
          </cell>
          <cell r="S23">
            <v>9</v>
          </cell>
          <cell r="T23">
            <v>9</v>
          </cell>
          <cell r="U23">
            <v>12</v>
          </cell>
          <cell r="V23">
            <v>13</v>
          </cell>
          <cell r="W23">
            <v>31</v>
          </cell>
          <cell r="X23">
            <v>20</v>
          </cell>
          <cell r="Y23">
            <v>4</v>
          </cell>
          <cell r="Z23">
            <v>3</v>
          </cell>
        </row>
        <row r="24">
          <cell r="G24">
            <v>0</v>
          </cell>
          <cell r="H24">
            <v>0</v>
          </cell>
          <cell r="I24">
            <v>0</v>
          </cell>
          <cell r="J24">
            <v>0</v>
          </cell>
          <cell r="K24">
            <v>2</v>
          </cell>
          <cell r="L24">
            <v>1</v>
          </cell>
          <cell r="M24">
            <v>1</v>
          </cell>
          <cell r="N24">
            <v>6</v>
          </cell>
          <cell r="O24">
            <v>3</v>
          </cell>
          <cell r="P24">
            <v>3</v>
          </cell>
          <cell r="Q24">
            <v>3</v>
          </cell>
          <cell r="R24">
            <v>3</v>
          </cell>
          <cell r="S24">
            <v>9</v>
          </cell>
          <cell r="T24">
            <v>10</v>
          </cell>
          <cell r="U24">
            <v>14</v>
          </cell>
          <cell r="V24">
            <v>13</v>
          </cell>
          <cell r="W24">
            <v>34</v>
          </cell>
          <cell r="X24">
            <v>22</v>
          </cell>
          <cell r="Y24">
            <v>3</v>
          </cell>
          <cell r="Z24">
            <v>2</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1</v>
          </cell>
          <cell r="R26">
            <v>0</v>
          </cell>
          <cell r="S26">
            <v>3</v>
          </cell>
          <cell r="T26">
            <v>3</v>
          </cell>
          <cell r="U26">
            <v>2</v>
          </cell>
          <cell r="V26">
            <v>3</v>
          </cell>
          <cell r="W26">
            <v>2</v>
          </cell>
          <cell r="X26">
            <v>7</v>
          </cell>
          <cell r="Y26">
            <v>3</v>
          </cell>
          <cell r="Z26">
            <v>9</v>
          </cell>
        </row>
      </sheetData>
      <sheetData sheetId="10" refreshError="1"/>
      <sheetData sheetId="11" refreshError="1"/>
      <sheetData sheetId="12">
        <row r="11">
          <cell r="B11">
            <v>14</v>
          </cell>
          <cell r="E11">
            <v>13</v>
          </cell>
          <cell r="F11">
            <v>1</v>
          </cell>
        </row>
        <row r="25">
          <cell r="B25">
            <v>2652</v>
          </cell>
        </row>
        <row r="26">
          <cell r="B26">
            <v>2</v>
          </cell>
        </row>
        <row r="27">
          <cell r="B27">
            <v>19</v>
          </cell>
        </row>
        <row r="28">
          <cell r="B28">
            <v>1</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5</v>
          </cell>
          <cell r="H21">
            <v>1</v>
          </cell>
          <cell r="I21">
            <v>3</v>
          </cell>
          <cell r="J21">
            <v>2</v>
          </cell>
          <cell r="K21">
            <v>2</v>
          </cell>
          <cell r="L21">
            <v>0</v>
          </cell>
          <cell r="M21">
            <v>4</v>
          </cell>
          <cell r="N21">
            <v>0</v>
          </cell>
          <cell r="O21">
            <v>5</v>
          </cell>
          <cell r="P21">
            <v>3</v>
          </cell>
          <cell r="Q21">
            <v>0</v>
          </cell>
          <cell r="R21">
            <v>3</v>
          </cell>
          <cell r="S21">
            <v>1</v>
          </cell>
          <cell r="T21">
            <v>9</v>
          </cell>
          <cell r="U21">
            <v>1</v>
          </cell>
          <cell r="V21">
            <v>4</v>
          </cell>
          <cell r="W21">
            <v>1</v>
          </cell>
          <cell r="X21">
            <v>4</v>
          </cell>
          <cell r="Y21">
            <v>3</v>
          </cell>
          <cell r="Z21">
            <v>4</v>
          </cell>
          <cell r="AA21">
            <v>3</v>
          </cell>
          <cell r="AB21">
            <v>3</v>
          </cell>
          <cell r="AC21">
            <v>2</v>
          </cell>
          <cell r="AD21">
            <v>2</v>
          </cell>
          <cell r="AE21">
            <v>3</v>
          </cell>
          <cell r="AF21">
            <v>2</v>
          </cell>
        </row>
      </sheetData>
      <sheetData sheetId="3" refreshError="1"/>
      <sheetData sheetId="4" refreshError="1"/>
      <sheetData sheetId="5" refreshError="1"/>
      <sheetData sheetId="6" refreshError="1"/>
      <sheetData sheetId="7" refreshError="1"/>
      <sheetData sheetId="8" refreshError="1"/>
      <sheetData sheetId="9">
        <row r="12">
          <cell r="D12">
            <v>596</v>
          </cell>
        </row>
        <row r="14">
          <cell r="D14">
            <v>71</v>
          </cell>
        </row>
        <row r="21">
          <cell r="G21">
            <v>0</v>
          </cell>
          <cell r="H21">
            <v>0</v>
          </cell>
          <cell r="I21">
            <v>1</v>
          </cell>
          <cell r="J21">
            <v>0</v>
          </cell>
          <cell r="K21">
            <v>0</v>
          </cell>
          <cell r="L21">
            <v>0</v>
          </cell>
          <cell r="M21">
            <v>0</v>
          </cell>
          <cell r="N21">
            <v>0</v>
          </cell>
          <cell r="O21">
            <v>0</v>
          </cell>
          <cell r="P21">
            <v>1</v>
          </cell>
          <cell r="Q21">
            <v>0</v>
          </cell>
          <cell r="R21">
            <v>1</v>
          </cell>
          <cell r="S21">
            <v>0</v>
          </cell>
          <cell r="T21">
            <v>1</v>
          </cell>
          <cell r="U21">
            <v>0</v>
          </cell>
          <cell r="V21">
            <v>0</v>
          </cell>
          <cell r="W21">
            <v>1</v>
          </cell>
          <cell r="X21">
            <v>6</v>
          </cell>
          <cell r="Y21">
            <v>2</v>
          </cell>
          <cell r="Z21">
            <v>2</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4</v>
          </cell>
          <cell r="V22">
            <v>0</v>
          </cell>
          <cell r="W22">
            <v>14</v>
          </cell>
          <cell r="X22">
            <v>4</v>
          </cell>
          <cell r="Y22">
            <v>2</v>
          </cell>
          <cell r="Z22">
            <v>3</v>
          </cell>
        </row>
        <row r="23">
          <cell r="G23">
            <v>0</v>
          </cell>
          <cell r="H23">
            <v>0</v>
          </cell>
          <cell r="I23">
            <v>0</v>
          </cell>
          <cell r="J23">
            <v>0</v>
          </cell>
          <cell r="K23">
            <v>0</v>
          </cell>
          <cell r="L23">
            <v>0</v>
          </cell>
          <cell r="M23">
            <v>0</v>
          </cell>
          <cell r="N23">
            <v>3</v>
          </cell>
          <cell r="O23">
            <v>2</v>
          </cell>
          <cell r="P23">
            <v>1</v>
          </cell>
          <cell r="Q23">
            <v>1</v>
          </cell>
          <cell r="R23">
            <v>1</v>
          </cell>
          <cell r="S23">
            <v>0</v>
          </cell>
          <cell r="T23">
            <v>1</v>
          </cell>
          <cell r="U23">
            <v>0</v>
          </cell>
          <cell r="V23">
            <v>0</v>
          </cell>
          <cell r="W23">
            <v>1</v>
          </cell>
          <cell r="X23">
            <v>5</v>
          </cell>
          <cell r="Y23">
            <v>0</v>
          </cell>
          <cell r="Z23">
            <v>0</v>
          </cell>
        </row>
        <row r="24">
          <cell r="G24">
            <v>0</v>
          </cell>
          <cell r="H24">
            <v>0</v>
          </cell>
          <cell r="I24">
            <v>0</v>
          </cell>
          <cell r="J24">
            <v>0</v>
          </cell>
          <cell r="K24">
            <v>0</v>
          </cell>
          <cell r="L24">
            <v>0</v>
          </cell>
          <cell r="M24">
            <v>0</v>
          </cell>
          <cell r="N24">
            <v>0</v>
          </cell>
          <cell r="O24">
            <v>0</v>
          </cell>
          <cell r="P24">
            <v>0</v>
          </cell>
          <cell r="Q24">
            <v>0</v>
          </cell>
          <cell r="R24">
            <v>0</v>
          </cell>
          <cell r="S24">
            <v>1</v>
          </cell>
          <cell r="T24">
            <v>0</v>
          </cell>
          <cell r="U24">
            <v>0</v>
          </cell>
          <cell r="V24">
            <v>0</v>
          </cell>
          <cell r="W24">
            <v>2</v>
          </cell>
          <cell r="X24">
            <v>3</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cell r="W26">
            <v>4</v>
          </cell>
          <cell r="X26">
            <v>7</v>
          </cell>
          <cell r="Y26">
            <v>1</v>
          </cell>
          <cell r="Z2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13</v>
          </cell>
          <cell r="H21">
            <v>11</v>
          </cell>
          <cell r="I21">
            <v>12</v>
          </cell>
          <cell r="J21">
            <v>12</v>
          </cell>
          <cell r="K21">
            <v>7</v>
          </cell>
          <cell r="L21">
            <v>16</v>
          </cell>
          <cell r="M21">
            <v>13</v>
          </cell>
          <cell r="N21">
            <v>20</v>
          </cell>
          <cell r="O21">
            <v>5</v>
          </cell>
          <cell r="P21">
            <v>8</v>
          </cell>
          <cell r="Q21">
            <v>11</v>
          </cell>
          <cell r="R21">
            <v>10</v>
          </cell>
          <cell r="S21">
            <v>10</v>
          </cell>
          <cell r="T21">
            <v>13</v>
          </cell>
          <cell r="U21">
            <v>9</v>
          </cell>
          <cell r="V21">
            <v>16</v>
          </cell>
          <cell r="W21">
            <v>6</v>
          </cell>
          <cell r="X21">
            <v>12</v>
          </cell>
          <cell r="Y21">
            <v>24</v>
          </cell>
          <cell r="Z21">
            <v>34</v>
          </cell>
          <cell r="AA21">
            <v>19</v>
          </cell>
          <cell r="AB21">
            <v>29</v>
          </cell>
          <cell r="AC21">
            <v>15</v>
          </cell>
          <cell r="AD21">
            <v>27</v>
          </cell>
          <cell r="AE21">
            <v>27</v>
          </cell>
          <cell r="AF21">
            <v>50</v>
          </cell>
        </row>
      </sheetData>
      <sheetData sheetId="3" refreshError="1"/>
      <sheetData sheetId="4" refreshError="1"/>
      <sheetData sheetId="5" refreshError="1"/>
      <sheetData sheetId="6" refreshError="1"/>
      <sheetData sheetId="7" refreshError="1"/>
      <sheetData sheetId="8" refreshError="1"/>
      <sheetData sheetId="9">
        <row r="12">
          <cell r="D12">
            <v>1490</v>
          </cell>
        </row>
        <row r="14">
          <cell r="D14">
            <v>338</v>
          </cell>
        </row>
        <row r="21">
          <cell r="G21">
            <v>14</v>
          </cell>
          <cell r="H21">
            <v>25</v>
          </cell>
          <cell r="I21">
            <v>16</v>
          </cell>
          <cell r="J21">
            <v>14</v>
          </cell>
          <cell r="K21">
            <v>7</v>
          </cell>
          <cell r="L21">
            <v>1</v>
          </cell>
          <cell r="M21">
            <v>5</v>
          </cell>
          <cell r="N21">
            <v>4</v>
          </cell>
          <cell r="O21">
            <v>7</v>
          </cell>
          <cell r="P21">
            <v>6</v>
          </cell>
          <cell r="Q21">
            <v>4</v>
          </cell>
          <cell r="R21">
            <v>9</v>
          </cell>
          <cell r="S21">
            <v>26</v>
          </cell>
          <cell r="T21">
            <v>23</v>
          </cell>
          <cell r="U21">
            <v>10</v>
          </cell>
          <cell r="V21">
            <v>10</v>
          </cell>
          <cell r="W21">
            <v>31</v>
          </cell>
          <cell r="X21">
            <v>35</v>
          </cell>
          <cell r="Y21">
            <v>10</v>
          </cell>
          <cell r="Z21">
            <v>15</v>
          </cell>
        </row>
        <row r="22">
          <cell r="G22">
            <v>0</v>
          </cell>
          <cell r="H22">
            <v>0</v>
          </cell>
          <cell r="I22">
            <v>0</v>
          </cell>
          <cell r="J22">
            <v>0</v>
          </cell>
          <cell r="K22">
            <v>0</v>
          </cell>
          <cell r="L22">
            <v>1</v>
          </cell>
          <cell r="M22">
            <v>3</v>
          </cell>
          <cell r="N22">
            <v>3</v>
          </cell>
          <cell r="O22">
            <v>2</v>
          </cell>
          <cell r="P22">
            <v>0</v>
          </cell>
          <cell r="Q22">
            <v>11</v>
          </cell>
          <cell r="R22">
            <v>2</v>
          </cell>
          <cell r="S22">
            <v>37</v>
          </cell>
          <cell r="T22">
            <v>45</v>
          </cell>
          <cell r="U22">
            <v>19</v>
          </cell>
          <cell r="V22">
            <v>12</v>
          </cell>
          <cell r="W22">
            <v>27</v>
          </cell>
          <cell r="X22">
            <v>53</v>
          </cell>
          <cell r="Y22">
            <v>10</v>
          </cell>
          <cell r="Z22">
            <v>13</v>
          </cell>
        </row>
        <row r="23">
          <cell r="G23">
            <v>0</v>
          </cell>
          <cell r="H23">
            <v>0</v>
          </cell>
          <cell r="I23">
            <v>4</v>
          </cell>
          <cell r="J23">
            <v>3</v>
          </cell>
          <cell r="K23">
            <v>0</v>
          </cell>
          <cell r="L23">
            <v>0</v>
          </cell>
          <cell r="M23">
            <v>5</v>
          </cell>
          <cell r="N23">
            <v>3</v>
          </cell>
          <cell r="O23">
            <v>1</v>
          </cell>
          <cell r="P23">
            <v>2</v>
          </cell>
          <cell r="Q23">
            <v>5</v>
          </cell>
          <cell r="R23">
            <v>3</v>
          </cell>
          <cell r="S23">
            <v>5</v>
          </cell>
          <cell r="T23">
            <v>6</v>
          </cell>
          <cell r="U23">
            <v>1</v>
          </cell>
          <cell r="V23">
            <v>3</v>
          </cell>
          <cell r="W23">
            <v>10</v>
          </cell>
          <cell r="X23">
            <v>10</v>
          </cell>
          <cell r="Y23">
            <v>1</v>
          </cell>
          <cell r="Z23">
            <v>0</v>
          </cell>
        </row>
        <row r="24">
          <cell r="G24">
            <v>0</v>
          </cell>
          <cell r="H24">
            <v>0</v>
          </cell>
          <cell r="I24">
            <v>0</v>
          </cell>
          <cell r="J24">
            <v>0</v>
          </cell>
          <cell r="K24">
            <v>1</v>
          </cell>
          <cell r="L24">
            <v>1</v>
          </cell>
          <cell r="M24">
            <v>1</v>
          </cell>
          <cell r="N24">
            <v>0</v>
          </cell>
          <cell r="O24">
            <v>1</v>
          </cell>
          <cell r="P24">
            <v>4</v>
          </cell>
          <cell r="Q24">
            <v>4</v>
          </cell>
          <cell r="R24">
            <v>3</v>
          </cell>
          <cell r="S24">
            <v>6</v>
          </cell>
          <cell r="T24">
            <v>4</v>
          </cell>
          <cell r="U24">
            <v>5</v>
          </cell>
          <cell r="V24">
            <v>0</v>
          </cell>
          <cell r="W24">
            <v>12</v>
          </cell>
          <cell r="X24">
            <v>10</v>
          </cell>
          <cell r="Y24">
            <v>4</v>
          </cell>
          <cell r="Z24">
            <v>2</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16</v>
          </cell>
          <cell r="V26">
            <v>12</v>
          </cell>
          <cell r="W26">
            <v>25</v>
          </cell>
          <cell r="X26">
            <v>36</v>
          </cell>
          <cell r="Y26">
            <v>13</v>
          </cell>
          <cell r="Z26">
            <v>14</v>
          </cell>
        </row>
      </sheetData>
      <sheetData sheetId="10" refreshError="1"/>
      <sheetData sheetId="11" refreshError="1"/>
      <sheetData sheetId="12">
        <row r="11">
          <cell r="B11">
            <v>35</v>
          </cell>
          <cell r="E11">
            <v>35</v>
          </cell>
          <cell r="F11">
            <v>0</v>
          </cell>
        </row>
        <row r="25">
          <cell r="B25">
            <v>221</v>
          </cell>
        </row>
        <row r="26">
          <cell r="B26">
            <v>5</v>
          </cell>
        </row>
        <row r="27">
          <cell r="B27">
            <v>26</v>
          </cell>
        </row>
        <row r="28">
          <cell r="B28">
            <v>14</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0</v>
          </cell>
          <cell r="H21">
            <v>14</v>
          </cell>
          <cell r="I21">
            <v>2</v>
          </cell>
          <cell r="J21">
            <v>9</v>
          </cell>
          <cell r="K21">
            <v>1</v>
          </cell>
          <cell r="L21">
            <v>8</v>
          </cell>
          <cell r="M21">
            <v>0</v>
          </cell>
          <cell r="N21">
            <v>6</v>
          </cell>
          <cell r="O21">
            <v>0</v>
          </cell>
          <cell r="P21">
            <v>8</v>
          </cell>
          <cell r="Q21">
            <v>1</v>
          </cell>
          <cell r="R21">
            <v>4</v>
          </cell>
          <cell r="S21">
            <v>1</v>
          </cell>
          <cell r="T21">
            <v>9</v>
          </cell>
          <cell r="U21">
            <v>0</v>
          </cell>
          <cell r="V21">
            <v>4</v>
          </cell>
          <cell r="W21">
            <v>1</v>
          </cell>
          <cell r="X21">
            <v>3</v>
          </cell>
          <cell r="Y21">
            <v>2</v>
          </cell>
          <cell r="Z21">
            <v>9</v>
          </cell>
          <cell r="AA21">
            <v>11</v>
          </cell>
          <cell r="AB21">
            <v>8</v>
          </cell>
          <cell r="AC21">
            <v>3</v>
          </cell>
          <cell r="AD21">
            <v>6</v>
          </cell>
          <cell r="AE21">
            <v>7</v>
          </cell>
          <cell r="AF21">
            <v>11</v>
          </cell>
        </row>
      </sheetData>
      <sheetData sheetId="3" refreshError="1"/>
      <sheetData sheetId="4" refreshError="1"/>
      <sheetData sheetId="5" refreshError="1"/>
      <sheetData sheetId="6" refreshError="1"/>
      <sheetData sheetId="7" refreshError="1"/>
      <sheetData sheetId="8" refreshError="1"/>
      <sheetData sheetId="9">
        <row r="12">
          <cell r="D12">
            <v>265</v>
          </cell>
        </row>
        <row r="14">
          <cell r="D14">
            <v>51</v>
          </cell>
        </row>
        <row r="21">
          <cell r="G21">
            <v>8</v>
          </cell>
          <cell r="H21">
            <v>10</v>
          </cell>
          <cell r="I21">
            <v>2</v>
          </cell>
          <cell r="J21">
            <v>2</v>
          </cell>
          <cell r="K21">
            <v>11</v>
          </cell>
          <cell r="L21">
            <v>6</v>
          </cell>
          <cell r="M21">
            <v>8</v>
          </cell>
          <cell r="N21">
            <v>7</v>
          </cell>
          <cell r="O21">
            <v>7</v>
          </cell>
          <cell r="P21">
            <v>5</v>
          </cell>
          <cell r="Q21">
            <v>2</v>
          </cell>
          <cell r="R21">
            <v>2</v>
          </cell>
          <cell r="S21">
            <v>8</v>
          </cell>
          <cell r="T21">
            <v>13</v>
          </cell>
          <cell r="U21">
            <v>2</v>
          </cell>
          <cell r="V21">
            <v>5</v>
          </cell>
          <cell r="W21">
            <v>8</v>
          </cell>
          <cell r="X21">
            <v>5</v>
          </cell>
          <cell r="Y21">
            <v>2</v>
          </cell>
          <cell r="Z21">
            <v>5</v>
          </cell>
        </row>
        <row r="22">
          <cell r="G22">
            <v>0</v>
          </cell>
          <cell r="H22">
            <v>0</v>
          </cell>
          <cell r="I22">
            <v>0</v>
          </cell>
          <cell r="J22">
            <v>0</v>
          </cell>
          <cell r="K22">
            <v>0</v>
          </cell>
          <cell r="L22">
            <v>2</v>
          </cell>
          <cell r="M22">
            <v>0</v>
          </cell>
          <cell r="N22">
            <v>4</v>
          </cell>
          <cell r="O22">
            <v>8</v>
          </cell>
          <cell r="P22">
            <v>2</v>
          </cell>
          <cell r="Q22">
            <v>0</v>
          </cell>
          <cell r="R22">
            <v>1</v>
          </cell>
          <cell r="S22">
            <v>21</v>
          </cell>
          <cell r="T22">
            <v>44</v>
          </cell>
          <cell r="U22">
            <v>11</v>
          </cell>
          <cell r="V22">
            <v>11</v>
          </cell>
          <cell r="W22">
            <v>10</v>
          </cell>
          <cell r="X22">
            <v>19</v>
          </cell>
          <cell r="Y22">
            <v>6</v>
          </cell>
          <cell r="Z22">
            <v>7</v>
          </cell>
        </row>
        <row r="23">
          <cell r="G23">
            <v>0</v>
          </cell>
          <cell r="H23">
            <v>0</v>
          </cell>
          <cell r="I23">
            <v>0</v>
          </cell>
          <cell r="J23">
            <v>0</v>
          </cell>
          <cell r="K23">
            <v>9</v>
          </cell>
          <cell r="L23">
            <v>4</v>
          </cell>
          <cell r="M23">
            <v>8</v>
          </cell>
          <cell r="N23">
            <v>7</v>
          </cell>
          <cell r="O23">
            <v>5</v>
          </cell>
          <cell r="P23">
            <v>3</v>
          </cell>
          <cell r="Q23">
            <v>2</v>
          </cell>
          <cell r="R23">
            <v>4</v>
          </cell>
          <cell r="S23">
            <v>11</v>
          </cell>
          <cell r="T23">
            <v>11</v>
          </cell>
          <cell r="U23">
            <v>1</v>
          </cell>
          <cell r="V23">
            <v>0</v>
          </cell>
          <cell r="W23">
            <v>5</v>
          </cell>
          <cell r="X23">
            <v>2</v>
          </cell>
          <cell r="Y23">
            <v>0</v>
          </cell>
          <cell r="Z23">
            <v>0</v>
          </cell>
        </row>
        <row r="24">
          <cell r="G24">
            <v>0</v>
          </cell>
          <cell r="H24">
            <v>0</v>
          </cell>
          <cell r="I24">
            <v>0</v>
          </cell>
          <cell r="J24">
            <v>0</v>
          </cell>
          <cell r="K24">
            <v>0</v>
          </cell>
          <cell r="L24">
            <v>0</v>
          </cell>
          <cell r="M24">
            <v>0</v>
          </cell>
          <cell r="N24">
            <v>0</v>
          </cell>
          <cell r="O24">
            <v>0</v>
          </cell>
          <cell r="P24">
            <v>0</v>
          </cell>
          <cell r="Q24">
            <v>0</v>
          </cell>
          <cell r="R24">
            <v>1</v>
          </cell>
          <cell r="S24">
            <v>3</v>
          </cell>
          <cell r="T24">
            <v>4</v>
          </cell>
          <cell r="U24">
            <v>2</v>
          </cell>
          <cell r="V24">
            <v>3</v>
          </cell>
          <cell r="W24">
            <v>7</v>
          </cell>
          <cell r="X24">
            <v>3</v>
          </cell>
          <cell r="Y24">
            <v>2</v>
          </cell>
          <cell r="Z24">
            <v>3</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3</v>
          </cell>
          <cell r="V26">
            <v>4</v>
          </cell>
          <cell r="W26">
            <v>3</v>
          </cell>
          <cell r="X26">
            <v>0</v>
          </cell>
          <cell r="Y26">
            <v>3</v>
          </cell>
          <cell r="Z2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1</v>
          </cell>
          <cell r="H21">
            <v>0</v>
          </cell>
          <cell r="I21">
            <v>1</v>
          </cell>
          <cell r="J21">
            <v>1</v>
          </cell>
          <cell r="K21">
            <v>0</v>
          </cell>
          <cell r="L21">
            <v>4</v>
          </cell>
          <cell r="M21">
            <v>1</v>
          </cell>
          <cell r="N21">
            <v>3</v>
          </cell>
          <cell r="O21">
            <v>0</v>
          </cell>
          <cell r="P21">
            <v>1</v>
          </cell>
          <cell r="Q21">
            <v>2</v>
          </cell>
          <cell r="R21">
            <v>1</v>
          </cell>
          <cell r="S21">
            <v>1</v>
          </cell>
          <cell r="T21">
            <v>0</v>
          </cell>
          <cell r="U21">
            <v>0</v>
          </cell>
          <cell r="V21">
            <v>0</v>
          </cell>
          <cell r="W21">
            <v>0</v>
          </cell>
          <cell r="X21">
            <v>0</v>
          </cell>
          <cell r="Y21">
            <v>2</v>
          </cell>
          <cell r="Z21">
            <v>7</v>
          </cell>
          <cell r="AA21">
            <v>5</v>
          </cell>
          <cell r="AB21">
            <v>4</v>
          </cell>
          <cell r="AC21">
            <v>4</v>
          </cell>
          <cell r="AD21">
            <v>4</v>
          </cell>
          <cell r="AE21">
            <v>2</v>
          </cell>
          <cell r="AF21">
            <v>6</v>
          </cell>
        </row>
      </sheetData>
      <sheetData sheetId="3" refreshError="1"/>
      <sheetData sheetId="4" refreshError="1"/>
      <sheetData sheetId="5" refreshError="1"/>
      <sheetData sheetId="6" refreshError="1"/>
      <sheetData sheetId="7" refreshError="1"/>
      <sheetData sheetId="8" refreshError="1"/>
      <sheetData sheetId="9">
        <row r="12">
          <cell r="D12">
            <v>222</v>
          </cell>
        </row>
        <row r="14">
          <cell r="D14">
            <v>82</v>
          </cell>
        </row>
        <row r="21">
          <cell r="G21">
            <v>4</v>
          </cell>
          <cell r="H21">
            <v>2</v>
          </cell>
          <cell r="I21">
            <v>1</v>
          </cell>
          <cell r="J21">
            <v>0</v>
          </cell>
          <cell r="K21">
            <v>0</v>
          </cell>
          <cell r="L21">
            <v>0</v>
          </cell>
          <cell r="M21">
            <v>0</v>
          </cell>
          <cell r="N21">
            <v>0</v>
          </cell>
          <cell r="O21">
            <v>0</v>
          </cell>
          <cell r="P21">
            <v>0</v>
          </cell>
          <cell r="Q21">
            <v>2</v>
          </cell>
          <cell r="R21">
            <v>1</v>
          </cell>
          <cell r="S21">
            <v>3</v>
          </cell>
          <cell r="T21">
            <v>3</v>
          </cell>
          <cell r="U21">
            <v>2</v>
          </cell>
          <cell r="V21">
            <v>0</v>
          </cell>
          <cell r="W21">
            <v>8</v>
          </cell>
          <cell r="X21">
            <v>10</v>
          </cell>
          <cell r="Y21">
            <v>2</v>
          </cell>
          <cell r="Z21">
            <v>10</v>
          </cell>
        </row>
        <row r="22">
          <cell r="G22">
            <v>0</v>
          </cell>
          <cell r="H22">
            <v>0</v>
          </cell>
          <cell r="I22">
            <v>0</v>
          </cell>
          <cell r="J22">
            <v>0</v>
          </cell>
          <cell r="K22">
            <v>0</v>
          </cell>
          <cell r="L22">
            <v>0</v>
          </cell>
          <cell r="M22">
            <v>0</v>
          </cell>
          <cell r="N22">
            <v>0</v>
          </cell>
          <cell r="O22">
            <v>0</v>
          </cell>
          <cell r="P22">
            <v>0</v>
          </cell>
          <cell r="Q22">
            <v>0</v>
          </cell>
          <cell r="R22">
            <v>0</v>
          </cell>
          <cell r="S22">
            <v>4</v>
          </cell>
          <cell r="T22">
            <v>4</v>
          </cell>
          <cell r="U22">
            <v>16</v>
          </cell>
          <cell r="V22">
            <v>0</v>
          </cell>
          <cell r="W22">
            <v>5</v>
          </cell>
          <cell r="X22">
            <v>7</v>
          </cell>
          <cell r="Y22">
            <v>0</v>
          </cell>
          <cell r="Z22">
            <v>8</v>
          </cell>
        </row>
        <row r="23">
          <cell r="G23">
            <v>0</v>
          </cell>
          <cell r="H23">
            <v>0</v>
          </cell>
          <cell r="I23">
            <v>0</v>
          </cell>
          <cell r="J23">
            <v>0</v>
          </cell>
          <cell r="K23">
            <v>0</v>
          </cell>
          <cell r="L23">
            <v>0</v>
          </cell>
          <cell r="M23">
            <v>0</v>
          </cell>
          <cell r="N23">
            <v>0</v>
          </cell>
          <cell r="O23">
            <v>0</v>
          </cell>
          <cell r="P23">
            <v>0</v>
          </cell>
          <cell r="Q23">
            <v>0</v>
          </cell>
          <cell r="R23">
            <v>0</v>
          </cell>
          <cell r="S23">
            <v>5</v>
          </cell>
          <cell r="T23">
            <v>2</v>
          </cell>
          <cell r="U23">
            <v>1</v>
          </cell>
          <cell r="V23">
            <v>0</v>
          </cell>
          <cell r="W23">
            <v>4</v>
          </cell>
          <cell r="X23">
            <v>3</v>
          </cell>
          <cell r="Y23">
            <v>1</v>
          </cell>
          <cell r="Z23">
            <v>14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2</v>
          </cell>
          <cell r="X24">
            <v>1</v>
          </cell>
          <cell r="Y24">
            <v>0</v>
          </cell>
          <cell r="Z24">
            <v>1</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1</v>
          </cell>
          <cell r="U26">
            <v>0</v>
          </cell>
          <cell r="V26">
            <v>0</v>
          </cell>
          <cell r="W26">
            <v>3</v>
          </cell>
          <cell r="X26">
            <v>2</v>
          </cell>
          <cell r="Y26">
            <v>4</v>
          </cell>
          <cell r="Z26">
            <v>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10</v>
          </cell>
          <cell r="H21">
            <v>6</v>
          </cell>
          <cell r="I21">
            <v>7</v>
          </cell>
          <cell r="J21">
            <v>11</v>
          </cell>
          <cell r="K21">
            <v>10</v>
          </cell>
          <cell r="L21">
            <v>11</v>
          </cell>
          <cell r="M21">
            <v>10</v>
          </cell>
          <cell r="N21">
            <v>9</v>
          </cell>
          <cell r="O21">
            <v>2</v>
          </cell>
          <cell r="P21">
            <v>8</v>
          </cell>
          <cell r="Q21">
            <v>8</v>
          </cell>
          <cell r="R21">
            <v>6</v>
          </cell>
          <cell r="S21">
            <v>11</v>
          </cell>
          <cell r="T21">
            <v>11</v>
          </cell>
          <cell r="U21">
            <v>8</v>
          </cell>
          <cell r="V21">
            <v>10</v>
          </cell>
          <cell r="W21">
            <v>8</v>
          </cell>
          <cell r="X21">
            <v>1</v>
          </cell>
          <cell r="Y21">
            <v>16</v>
          </cell>
          <cell r="Z21">
            <v>12</v>
          </cell>
          <cell r="AA21">
            <v>14</v>
          </cell>
          <cell r="AB21">
            <v>12</v>
          </cell>
          <cell r="AC21">
            <v>12</v>
          </cell>
          <cell r="AD21">
            <v>10</v>
          </cell>
          <cell r="AE21">
            <v>12</v>
          </cell>
          <cell r="AF21">
            <v>7</v>
          </cell>
        </row>
      </sheetData>
      <sheetData sheetId="3" refreshError="1"/>
      <sheetData sheetId="4" refreshError="1"/>
      <sheetData sheetId="5" refreshError="1"/>
      <sheetData sheetId="6" refreshError="1"/>
      <sheetData sheetId="7" refreshError="1"/>
      <sheetData sheetId="8" refreshError="1"/>
      <sheetData sheetId="9">
        <row r="12">
          <cell r="D12">
            <v>1659</v>
          </cell>
        </row>
        <row r="14">
          <cell r="D14">
            <v>340</v>
          </cell>
        </row>
        <row r="21">
          <cell r="G21">
            <v>8</v>
          </cell>
          <cell r="H21">
            <v>7</v>
          </cell>
          <cell r="I21">
            <v>5</v>
          </cell>
          <cell r="J21">
            <v>4</v>
          </cell>
          <cell r="K21">
            <v>9</v>
          </cell>
          <cell r="L21">
            <v>5</v>
          </cell>
          <cell r="M21">
            <v>4</v>
          </cell>
          <cell r="N21">
            <v>5</v>
          </cell>
          <cell r="O21">
            <v>9</v>
          </cell>
          <cell r="P21">
            <v>11</v>
          </cell>
          <cell r="Q21">
            <v>11</v>
          </cell>
          <cell r="R21">
            <v>9</v>
          </cell>
          <cell r="S21">
            <v>6</v>
          </cell>
          <cell r="T21">
            <v>8</v>
          </cell>
          <cell r="U21">
            <v>3</v>
          </cell>
          <cell r="V21">
            <v>5</v>
          </cell>
          <cell r="W21">
            <v>25</v>
          </cell>
          <cell r="X21">
            <v>8</v>
          </cell>
          <cell r="Y21">
            <v>14</v>
          </cell>
          <cell r="Z21">
            <v>22</v>
          </cell>
        </row>
        <row r="22">
          <cell r="G22">
            <v>0</v>
          </cell>
          <cell r="H22">
            <v>0</v>
          </cell>
          <cell r="I22">
            <v>0</v>
          </cell>
          <cell r="J22">
            <v>0</v>
          </cell>
          <cell r="K22">
            <v>0</v>
          </cell>
          <cell r="L22">
            <v>0</v>
          </cell>
          <cell r="M22">
            <v>0</v>
          </cell>
          <cell r="N22">
            <v>0</v>
          </cell>
          <cell r="O22">
            <v>6</v>
          </cell>
          <cell r="P22">
            <v>0</v>
          </cell>
          <cell r="Q22">
            <v>6</v>
          </cell>
          <cell r="R22">
            <v>6</v>
          </cell>
          <cell r="S22">
            <v>21</v>
          </cell>
          <cell r="T22">
            <v>36</v>
          </cell>
          <cell r="U22">
            <v>18</v>
          </cell>
          <cell r="V22">
            <v>5</v>
          </cell>
          <cell r="W22">
            <v>47</v>
          </cell>
          <cell r="X22">
            <v>13</v>
          </cell>
          <cell r="Y22">
            <v>44</v>
          </cell>
          <cell r="Z22">
            <v>39</v>
          </cell>
        </row>
        <row r="23">
          <cell r="G23">
            <v>0</v>
          </cell>
          <cell r="H23">
            <v>0</v>
          </cell>
          <cell r="I23">
            <v>0</v>
          </cell>
          <cell r="J23">
            <v>0</v>
          </cell>
          <cell r="K23">
            <v>4</v>
          </cell>
          <cell r="L23">
            <v>1</v>
          </cell>
          <cell r="M23">
            <v>3</v>
          </cell>
          <cell r="N23">
            <v>1</v>
          </cell>
          <cell r="O23">
            <v>5</v>
          </cell>
          <cell r="P23">
            <v>0</v>
          </cell>
          <cell r="Q23">
            <v>7</v>
          </cell>
          <cell r="R23">
            <v>5</v>
          </cell>
          <cell r="S23">
            <v>4</v>
          </cell>
          <cell r="T23">
            <v>4</v>
          </cell>
          <cell r="U23">
            <v>1</v>
          </cell>
          <cell r="V23">
            <v>3</v>
          </cell>
          <cell r="W23">
            <v>15</v>
          </cell>
          <cell r="X23">
            <v>10</v>
          </cell>
          <cell r="Y23">
            <v>10</v>
          </cell>
          <cell r="Z23">
            <v>12</v>
          </cell>
        </row>
        <row r="24">
          <cell r="G24">
            <v>0</v>
          </cell>
          <cell r="H24">
            <v>0</v>
          </cell>
          <cell r="I24">
            <v>0</v>
          </cell>
          <cell r="J24">
            <v>0</v>
          </cell>
          <cell r="K24">
            <v>0</v>
          </cell>
          <cell r="L24">
            <v>0</v>
          </cell>
          <cell r="M24">
            <v>3</v>
          </cell>
          <cell r="N24">
            <v>0</v>
          </cell>
          <cell r="O24">
            <v>4</v>
          </cell>
          <cell r="P24">
            <v>5</v>
          </cell>
          <cell r="Q24">
            <v>5</v>
          </cell>
          <cell r="R24">
            <v>2</v>
          </cell>
          <cell r="S24">
            <v>0</v>
          </cell>
          <cell r="T24">
            <v>0</v>
          </cell>
          <cell r="U24">
            <v>0</v>
          </cell>
          <cell r="V24">
            <v>3</v>
          </cell>
          <cell r="W24">
            <v>13</v>
          </cell>
          <cell r="X24">
            <v>9</v>
          </cell>
          <cell r="Y24">
            <v>4</v>
          </cell>
          <cell r="Z24">
            <v>4</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1</v>
          </cell>
          <cell r="R26">
            <v>0</v>
          </cell>
          <cell r="S26">
            <v>1</v>
          </cell>
          <cell r="T26">
            <v>0</v>
          </cell>
          <cell r="U26">
            <v>3</v>
          </cell>
          <cell r="V26">
            <v>4</v>
          </cell>
          <cell r="W26">
            <v>14</v>
          </cell>
          <cell r="X26">
            <v>11</v>
          </cell>
          <cell r="Y26">
            <v>13</v>
          </cell>
          <cell r="Z26">
            <v>24</v>
          </cell>
        </row>
      </sheetData>
      <sheetData sheetId="10" refreshError="1"/>
      <sheetData sheetId="11" refreshError="1"/>
      <sheetData sheetId="12">
        <row r="11">
          <cell r="B11">
            <v>20</v>
          </cell>
          <cell r="E11">
            <v>15</v>
          </cell>
          <cell r="F11">
            <v>5</v>
          </cell>
        </row>
        <row r="25">
          <cell r="B25">
            <v>386</v>
          </cell>
        </row>
        <row r="26">
          <cell r="B26">
            <v>2</v>
          </cell>
        </row>
        <row r="27">
          <cell r="B27">
            <v>12</v>
          </cell>
        </row>
        <row r="28">
          <cell r="B28">
            <v>3</v>
          </cell>
        </row>
        <row r="29">
          <cell r="B29">
            <v>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1</v>
          </cell>
          <cell r="F21">
            <v>3</v>
          </cell>
          <cell r="G21">
            <v>14</v>
          </cell>
          <cell r="H21">
            <v>23</v>
          </cell>
          <cell r="I21">
            <v>14</v>
          </cell>
          <cell r="J21">
            <v>37</v>
          </cell>
          <cell r="K21">
            <v>16</v>
          </cell>
          <cell r="L21">
            <v>35</v>
          </cell>
          <cell r="M21">
            <v>14</v>
          </cell>
          <cell r="N21">
            <v>36</v>
          </cell>
          <cell r="O21">
            <v>15</v>
          </cell>
          <cell r="P21">
            <v>48</v>
          </cell>
          <cell r="Q21">
            <v>13</v>
          </cell>
          <cell r="R21">
            <v>39</v>
          </cell>
          <cell r="S21">
            <v>15</v>
          </cell>
          <cell r="T21">
            <v>33</v>
          </cell>
          <cell r="U21">
            <v>15</v>
          </cell>
          <cell r="V21">
            <v>24</v>
          </cell>
          <cell r="W21">
            <v>11</v>
          </cell>
          <cell r="X21">
            <v>11</v>
          </cell>
          <cell r="Y21">
            <v>25</v>
          </cell>
          <cell r="Z21">
            <v>42</v>
          </cell>
          <cell r="AA21">
            <v>25</v>
          </cell>
          <cell r="AB21">
            <v>51</v>
          </cell>
          <cell r="AC21">
            <v>30</v>
          </cell>
          <cell r="AD21">
            <v>42</v>
          </cell>
          <cell r="AE21">
            <v>34</v>
          </cell>
          <cell r="AF21">
            <v>61</v>
          </cell>
        </row>
      </sheetData>
      <sheetData sheetId="3" refreshError="1"/>
      <sheetData sheetId="4" refreshError="1"/>
      <sheetData sheetId="5" refreshError="1"/>
      <sheetData sheetId="6" refreshError="1"/>
      <sheetData sheetId="7" refreshError="1"/>
      <sheetData sheetId="8" refreshError="1"/>
      <sheetData sheetId="9">
        <row r="12">
          <cell r="D12">
            <v>2942</v>
          </cell>
        </row>
        <row r="14">
          <cell r="D14">
            <v>996</v>
          </cell>
        </row>
        <row r="21">
          <cell r="G21">
            <v>48</v>
          </cell>
          <cell r="H21">
            <v>30</v>
          </cell>
          <cell r="I21">
            <v>10</v>
          </cell>
          <cell r="J21">
            <v>8</v>
          </cell>
          <cell r="K21">
            <v>6</v>
          </cell>
          <cell r="L21">
            <v>9</v>
          </cell>
          <cell r="M21">
            <v>12</v>
          </cell>
          <cell r="N21">
            <v>12</v>
          </cell>
          <cell r="O21">
            <v>5</v>
          </cell>
          <cell r="P21">
            <v>6</v>
          </cell>
          <cell r="Q21">
            <v>9</v>
          </cell>
          <cell r="R21">
            <v>8</v>
          </cell>
          <cell r="S21">
            <v>27</v>
          </cell>
          <cell r="T21">
            <v>21</v>
          </cell>
          <cell r="U21">
            <v>8</v>
          </cell>
          <cell r="V21">
            <v>9</v>
          </cell>
          <cell r="W21">
            <v>49</v>
          </cell>
          <cell r="X21">
            <v>67</v>
          </cell>
          <cell r="Y21">
            <v>28</v>
          </cell>
          <cell r="Z21">
            <v>49</v>
          </cell>
        </row>
        <row r="22">
          <cell r="G22">
            <v>0</v>
          </cell>
          <cell r="H22">
            <v>0</v>
          </cell>
          <cell r="I22">
            <v>0</v>
          </cell>
          <cell r="J22">
            <v>0</v>
          </cell>
          <cell r="K22">
            <v>0</v>
          </cell>
          <cell r="L22">
            <v>0</v>
          </cell>
          <cell r="M22">
            <v>1</v>
          </cell>
          <cell r="N22">
            <v>0</v>
          </cell>
          <cell r="O22">
            <v>1</v>
          </cell>
          <cell r="P22">
            <v>2</v>
          </cell>
          <cell r="Q22">
            <v>6</v>
          </cell>
          <cell r="R22">
            <v>15</v>
          </cell>
          <cell r="S22">
            <v>26</v>
          </cell>
          <cell r="T22">
            <v>45</v>
          </cell>
          <cell r="U22">
            <v>48</v>
          </cell>
          <cell r="V22">
            <v>28</v>
          </cell>
          <cell r="W22">
            <v>166</v>
          </cell>
          <cell r="X22">
            <v>246</v>
          </cell>
          <cell r="Y22">
            <v>80</v>
          </cell>
          <cell r="Z22">
            <v>97</v>
          </cell>
        </row>
        <row r="23">
          <cell r="G23">
            <v>1</v>
          </cell>
          <cell r="H23">
            <v>0</v>
          </cell>
          <cell r="I23">
            <v>8</v>
          </cell>
          <cell r="J23">
            <v>8</v>
          </cell>
          <cell r="K23">
            <v>20</v>
          </cell>
          <cell r="L23">
            <v>36</v>
          </cell>
          <cell r="M23">
            <v>17</v>
          </cell>
          <cell r="N23">
            <v>27</v>
          </cell>
          <cell r="O23">
            <v>34</v>
          </cell>
          <cell r="P23">
            <v>27</v>
          </cell>
          <cell r="Q23">
            <v>36</v>
          </cell>
          <cell r="R23">
            <v>31</v>
          </cell>
          <cell r="S23">
            <v>40</v>
          </cell>
          <cell r="T23">
            <v>33</v>
          </cell>
          <cell r="U23">
            <v>11</v>
          </cell>
          <cell r="V23">
            <v>5</v>
          </cell>
          <cell r="W23">
            <v>71</v>
          </cell>
          <cell r="X23">
            <v>99</v>
          </cell>
          <cell r="Y23">
            <v>24</v>
          </cell>
          <cell r="Z23">
            <v>34</v>
          </cell>
        </row>
        <row r="24">
          <cell r="G24">
            <v>0</v>
          </cell>
          <cell r="H24">
            <v>0</v>
          </cell>
          <cell r="I24">
            <v>0</v>
          </cell>
          <cell r="J24">
            <v>0</v>
          </cell>
          <cell r="K24">
            <v>0</v>
          </cell>
          <cell r="L24">
            <v>0</v>
          </cell>
          <cell r="M24">
            <v>0</v>
          </cell>
          <cell r="N24">
            <v>1</v>
          </cell>
          <cell r="O24">
            <v>1</v>
          </cell>
          <cell r="P24">
            <v>1</v>
          </cell>
          <cell r="Q24">
            <v>2</v>
          </cell>
          <cell r="R24">
            <v>3</v>
          </cell>
          <cell r="S24">
            <v>3</v>
          </cell>
          <cell r="T24">
            <v>2</v>
          </cell>
          <cell r="U24">
            <v>1</v>
          </cell>
          <cell r="V24">
            <v>2</v>
          </cell>
          <cell r="W24">
            <v>13</v>
          </cell>
          <cell r="X24">
            <v>21</v>
          </cell>
          <cell r="Y24">
            <v>3</v>
          </cell>
          <cell r="Z24">
            <v>8</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1</v>
          </cell>
          <cell r="R26">
            <v>0</v>
          </cell>
          <cell r="S26">
            <v>1</v>
          </cell>
          <cell r="T26">
            <v>0</v>
          </cell>
          <cell r="U26">
            <v>5</v>
          </cell>
          <cell r="V26">
            <v>4</v>
          </cell>
          <cell r="W26">
            <v>27</v>
          </cell>
          <cell r="X26">
            <v>26</v>
          </cell>
          <cell r="Y26">
            <v>31</v>
          </cell>
          <cell r="Z26">
            <v>41</v>
          </cell>
        </row>
      </sheetData>
      <sheetData sheetId="10" refreshError="1"/>
      <sheetData sheetId="11" refreshError="1"/>
      <sheetData sheetId="12">
        <row r="11">
          <cell r="B11">
            <v>34</v>
          </cell>
          <cell r="E11">
            <v>24</v>
          </cell>
          <cell r="F11">
            <v>16</v>
          </cell>
        </row>
        <row r="25">
          <cell r="B25">
            <v>2935</v>
          </cell>
        </row>
        <row r="26">
          <cell r="B26">
            <v>5</v>
          </cell>
        </row>
        <row r="27">
          <cell r="B27">
            <v>74</v>
          </cell>
        </row>
        <row r="28">
          <cell r="B28">
            <v>88</v>
          </cell>
        </row>
        <row r="29">
          <cell r="B29">
            <v>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5">
          <cell r="D15">
            <v>2</v>
          </cell>
          <cell r="E15">
            <v>3</v>
          </cell>
          <cell r="F15">
            <v>4</v>
          </cell>
          <cell r="G15">
            <v>0</v>
          </cell>
          <cell r="H15">
            <v>8</v>
          </cell>
          <cell r="I15">
            <v>0</v>
          </cell>
          <cell r="J15">
            <v>41</v>
          </cell>
          <cell r="K15">
            <v>0</v>
          </cell>
          <cell r="L15">
            <v>113</v>
          </cell>
          <cell r="M15">
            <v>1</v>
          </cell>
          <cell r="N15">
            <v>244</v>
          </cell>
          <cell r="O15">
            <v>0</v>
          </cell>
          <cell r="P15">
            <v>152</v>
          </cell>
          <cell r="Q15">
            <v>0</v>
          </cell>
          <cell r="R15">
            <v>21</v>
          </cell>
          <cell r="S15">
            <v>0</v>
          </cell>
          <cell r="T15">
            <v>5</v>
          </cell>
          <cell r="U15">
            <v>0</v>
          </cell>
        </row>
        <row r="16">
          <cell r="D16">
            <v>0</v>
          </cell>
          <cell r="E16">
            <v>0</v>
          </cell>
          <cell r="F16">
            <v>5</v>
          </cell>
          <cell r="G16">
            <v>0</v>
          </cell>
          <cell r="H16">
            <v>2</v>
          </cell>
          <cell r="I16">
            <v>0</v>
          </cell>
          <cell r="J16">
            <v>6</v>
          </cell>
          <cell r="K16">
            <v>0</v>
          </cell>
          <cell r="L16">
            <v>41</v>
          </cell>
          <cell r="M16">
            <v>0</v>
          </cell>
          <cell r="N16">
            <v>69</v>
          </cell>
          <cell r="O16">
            <v>0</v>
          </cell>
          <cell r="P16">
            <v>29</v>
          </cell>
          <cell r="Q16">
            <v>0</v>
          </cell>
          <cell r="R16">
            <v>6</v>
          </cell>
          <cell r="S16">
            <v>0</v>
          </cell>
          <cell r="T16">
            <v>3</v>
          </cell>
          <cell r="U16">
            <v>0</v>
          </cell>
        </row>
        <row r="17">
          <cell r="D17">
            <v>1</v>
          </cell>
          <cell r="E17">
            <v>0</v>
          </cell>
          <cell r="F17">
            <v>2</v>
          </cell>
          <cell r="G17">
            <v>0</v>
          </cell>
          <cell r="H17">
            <v>0</v>
          </cell>
          <cell r="I17">
            <v>0</v>
          </cell>
          <cell r="J17">
            <v>3</v>
          </cell>
          <cell r="K17">
            <v>0</v>
          </cell>
          <cell r="L17">
            <v>20</v>
          </cell>
          <cell r="M17">
            <v>0</v>
          </cell>
          <cell r="N17">
            <v>63</v>
          </cell>
          <cell r="O17">
            <v>0</v>
          </cell>
          <cell r="P17">
            <v>31</v>
          </cell>
          <cell r="Q17">
            <v>0</v>
          </cell>
          <cell r="R17">
            <v>10</v>
          </cell>
          <cell r="S17">
            <v>0</v>
          </cell>
          <cell r="T17">
            <v>3</v>
          </cell>
          <cell r="U17">
            <v>0</v>
          </cell>
        </row>
        <row r="18">
          <cell r="D18">
            <v>1</v>
          </cell>
          <cell r="E18">
            <v>0</v>
          </cell>
          <cell r="F18">
            <v>1</v>
          </cell>
          <cell r="G18">
            <v>0</v>
          </cell>
          <cell r="H18">
            <v>2</v>
          </cell>
          <cell r="I18">
            <v>0</v>
          </cell>
          <cell r="J18">
            <v>7</v>
          </cell>
          <cell r="K18">
            <v>1</v>
          </cell>
          <cell r="L18">
            <v>16</v>
          </cell>
          <cell r="M18">
            <v>0</v>
          </cell>
          <cell r="N18">
            <v>42</v>
          </cell>
          <cell r="O18">
            <v>0</v>
          </cell>
          <cell r="P18">
            <v>17</v>
          </cell>
          <cell r="Q18">
            <v>0</v>
          </cell>
          <cell r="R18">
            <v>5</v>
          </cell>
          <cell r="S18">
            <v>0</v>
          </cell>
          <cell r="T18">
            <v>1</v>
          </cell>
          <cell r="U18">
            <v>0</v>
          </cell>
        </row>
        <row r="20">
          <cell r="D20">
            <v>4</v>
          </cell>
          <cell r="E20">
            <v>1</v>
          </cell>
          <cell r="F20">
            <v>4</v>
          </cell>
          <cell r="G20">
            <v>1</v>
          </cell>
          <cell r="H20">
            <v>11</v>
          </cell>
          <cell r="I20">
            <v>1</v>
          </cell>
          <cell r="J20">
            <v>33</v>
          </cell>
          <cell r="K20">
            <v>0</v>
          </cell>
          <cell r="L20">
            <v>176</v>
          </cell>
          <cell r="M20">
            <v>0</v>
          </cell>
          <cell r="N20">
            <v>373</v>
          </cell>
          <cell r="O20">
            <v>0</v>
          </cell>
          <cell r="P20">
            <v>219</v>
          </cell>
          <cell r="Q20">
            <v>0</v>
          </cell>
          <cell r="R20">
            <v>48</v>
          </cell>
          <cell r="S20">
            <v>0</v>
          </cell>
          <cell r="T20">
            <v>2</v>
          </cell>
          <cell r="U20">
            <v>0</v>
          </cell>
        </row>
        <row r="21">
          <cell r="D21">
            <v>2</v>
          </cell>
          <cell r="E21">
            <v>1</v>
          </cell>
          <cell r="F21">
            <v>1</v>
          </cell>
          <cell r="G21">
            <v>0</v>
          </cell>
          <cell r="H21">
            <v>2</v>
          </cell>
          <cell r="I21">
            <v>0</v>
          </cell>
          <cell r="J21">
            <v>7</v>
          </cell>
          <cell r="K21">
            <v>0</v>
          </cell>
          <cell r="L21">
            <v>34</v>
          </cell>
          <cell r="M21">
            <v>0</v>
          </cell>
          <cell r="N21">
            <v>76</v>
          </cell>
          <cell r="O21">
            <v>0</v>
          </cell>
          <cell r="P21">
            <v>42</v>
          </cell>
          <cell r="Q21">
            <v>0</v>
          </cell>
          <cell r="R21">
            <v>12</v>
          </cell>
          <cell r="S21">
            <v>0</v>
          </cell>
          <cell r="T21">
            <v>0</v>
          </cell>
          <cell r="U21">
            <v>0</v>
          </cell>
        </row>
        <row r="22">
          <cell r="D22">
            <v>0</v>
          </cell>
          <cell r="E22">
            <v>0</v>
          </cell>
          <cell r="F22">
            <v>3</v>
          </cell>
          <cell r="G22">
            <v>0</v>
          </cell>
          <cell r="H22">
            <v>3</v>
          </cell>
          <cell r="I22">
            <v>0</v>
          </cell>
          <cell r="J22">
            <v>8</v>
          </cell>
          <cell r="K22">
            <v>0</v>
          </cell>
          <cell r="L22">
            <v>22</v>
          </cell>
          <cell r="M22">
            <v>0</v>
          </cell>
          <cell r="N22">
            <v>53</v>
          </cell>
          <cell r="O22">
            <v>0</v>
          </cell>
          <cell r="P22">
            <v>40</v>
          </cell>
          <cell r="Q22">
            <v>0</v>
          </cell>
          <cell r="R22">
            <v>7</v>
          </cell>
          <cell r="S22">
            <v>0</v>
          </cell>
          <cell r="T22">
            <v>0</v>
          </cell>
          <cell r="U22">
            <v>0</v>
          </cell>
        </row>
        <row r="23">
          <cell r="D23">
            <v>1</v>
          </cell>
          <cell r="E23">
            <v>0</v>
          </cell>
          <cell r="F23">
            <v>0</v>
          </cell>
          <cell r="G23">
            <v>0</v>
          </cell>
          <cell r="H23">
            <v>0</v>
          </cell>
          <cell r="I23">
            <v>0</v>
          </cell>
          <cell r="J23">
            <v>4</v>
          </cell>
          <cell r="K23">
            <v>0</v>
          </cell>
          <cell r="L23">
            <v>8</v>
          </cell>
          <cell r="M23">
            <v>0</v>
          </cell>
          <cell r="N23">
            <v>30</v>
          </cell>
          <cell r="O23">
            <v>0</v>
          </cell>
          <cell r="P23">
            <v>18</v>
          </cell>
          <cell r="Q23">
            <v>0</v>
          </cell>
          <cell r="R23">
            <v>3</v>
          </cell>
          <cell r="S23">
            <v>0</v>
          </cell>
          <cell r="T23">
            <v>0</v>
          </cell>
          <cell r="U23">
            <v>0</v>
          </cell>
        </row>
        <row r="24">
          <cell r="D24">
            <v>1</v>
          </cell>
          <cell r="E24">
            <v>1</v>
          </cell>
          <cell r="F24">
            <v>1</v>
          </cell>
          <cell r="G24">
            <v>0</v>
          </cell>
          <cell r="H24">
            <v>3</v>
          </cell>
          <cell r="I24">
            <v>0</v>
          </cell>
          <cell r="J24">
            <v>7</v>
          </cell>
          <cell r="K24">
            <v>2</v>
          </cell>
          <cell r="L24">
            <v>46</v>
          </cell>
          <cell r="M24">
            <v>0</v>
          </cell>
          <cell r="N24">
            <v>101</v>
          </cell>
          <cell r="O24">
            <v>1</v>
          </cell>
          <cell r="P24">
            <v>70</v>
          </cell>
          <cell r="Q24">
            <v>0</v>
          </cell>
          <cell r="R24">
            <v>26</v>
          </cell>
          <cell r="S24">
            <v>0</v>
          </cell>
          <cell r="T24">
            <v>6</v>
          </cell>
          <cell r="U24">
            <v>0</v>
          </cell>
        </row>
        <row r="25">
          <cell r="D25">
            <v>0</v>
          </cell>
          <cell r="E25">
            <v>0</v>
          </cell>
          <cell r="F25">
            <v>1</v>
          </cell>
          <cell r="G25">
            <v>0</v>
          </cell>
          <cell r="H25">
            <v>1</v>
          </cell>
          <cell r="I25">
            <v>0</v>
          </cell>
          <cell r="J25">
            <v>6</v>
          </cell>
          <cell r="K25">
            <v>1</v>
          </cell>
          <cell r="L25">
            <v>19</v>
          </cell>
          <cell r="M25">
            <v>0</v>
          </cell>
          <cell r="N25">
            <v>55</v>
          </cell>
          <cell r="O25">
            <v>0</v>
          </cell>
          <cell r="P25">
            <v>38</v>
          </cell>
          <cell r="Q25">
            <v>1</v>
          </cell>
          <cell r="R25">
            <v>6</v>
          </cell>
          <cell r="S25">
            <v>0</v>
          </cell>
          <cell r="T25">
            <v>1</v>
          </cell>
          <cell r="U25">
            <v>0</v>
          </cell>
        </row>
        <row r="102">
          <cell r="C102">
            <v>1</v>
          </cell>
          <cell r="D102">
            <v>91</v>
          </cell>
          <cell r="E102">
            <v>301</v>
          </cell>
          <cell r="F102">
            <v>456</v>
          </cell>
          <cell r="G102">
            <v>483</v>
          </cell>
          <cell r="H102">
            <v>311</v>
          </cell>
          <cell r="I102">
            <v>117</v>
          </cell>
          <cell r="J102">
            <v>24</v>
          </cell>
        </row>
        <row r="103">
          <cell r="C103">
            <v>0</v>
          </cell>
          <cell r="D103">
            <v>3</v>
          </cell>
          <cell r="E103">
            <v>8</v>
          </cell>
          <cell r="F103">
            <v>14</v>
          </cell>
          <cell r="G103">
            <v>15</v>
          </cell>
          <cell r="H103">
            <v>7</v>
          </cell>
          <cell r="I103">
            <v>3</v>
          </cell>
          <cell r="J103">
            <v>1</v>
          </cell>
        </row>
        <row r="121">
          <cell r="D121">
            <v>12</v>
          </cell>
          <cell r="E121">
            <v>5</v>
          </cell>
          <cell r="F121">
            <v>22</v>
          </cell>
          <cell r="G121">
            <v>1</v>
          </cell>
          <cell r="H121">
            <v>29</v>
          </cell>
          <cell r="I121">
            <v>2</v>
          </cell>
          <cell r="J121">
            <v>76</v>
          </cell>
          <cell r="K121">
            <v>3</v>
          </cell>
          <cell r="L121">
            <v>330</v>
          </cell>
          <cell r="M121">
            <v>0</v>
          </cell>
          <cell r="N121">
            <v>752</v>
          </cell>
          <cell r="O121">
            <v>1</v>
          </cell>
          <cell r="P121">
            <v>454</v>
          </cell>
          <cell r="Q121">
            <v>1</v>
          </cell>
          <cell r="R121">
            <v>105</v>
          </cell>
          <cell r="S121">
            <v>0</v>
          </cell>
          <cell r="T121">
            <v>9</v>
          </cell>
          <cell r="U121">
            <v>0</v>
          </cell>
        </row>
        <row r="127">
          <cell r="D127">
            <v>170</v>
          </cell>
          <cell r="F127">
            <v>1614</v>
          </cell>
        </row>
        <row r="128">
          <cell r="B128">
            <v>685</v>
          </cell>
          <cell r="L128">
            <v>2</v>
          </cell>
        </row>
        <row r="129">
          <cell r="B129">
            <v>15</v>
          </cell>
          <cell r="L129">
            <v>0</v>
          </cell>
        </row>
        <row r="130">
          <cell r="B130">
            <v>1084</v>
          </cell>
          <cell r="L130">
            <v>16</v>
          </cell>
        </row>
        <row r="135">
          <cell r="D135">
            <v>500</v>
          </cell>
          <cell r="E135">
            <v>1049</v>
          </cell>
        </row>
        <row r="137">
          <cell r="F137">
            <v>1237</v>
          </cell>
          <cell r="G137">
            <v>547</v>
          </cell>
          <cell r="H137">
            <v>0</v>
          </cell>
        </row>
        <row r="197">
          <cell r="C197">
            <v>1</v>
          </cell>
          <cell r="D197">
            <v>60</v>
          </cell>
          <cell r="E197">
            <v>179</v>
          </cell>
          <cell r="F197">
            <v>265</v>
          </cell>
          <cell r="G197">
            <v>205</v>
          </cell>
          <cell r="H197">
            <v>107</v>
          </cell>
          <cell r="I197">
            <v>39</v>
          </cell>
          <cell r="J197">
            <v>1</v>
          </cell>
        </row>
        <row r="198">
          <cell r="C198">
            <v>1</v>
          </cell>
          <cell r="D198">
            <v>5</v>
          </cell>
          <cell r="E198">
            <v>17</v>
          </cell>
          <cell r="F198">
            <v>12</v>
          </cell>
          <cell r="G198">
            <v>22</v>
          </cell>
          <cell r="H198">
            <v>25</v>
          </cell>
          <cell r="I198">
            <v>7</v>
          </cell>
          <cell r="J198">
            <v>3</v>
          </cell>
        </row>
        <row r="216">
          <cell r="D216">
            <v>0</v>
          </cell>
          <cell r="E216">
            <v>1</v>
          </cell>
          <cell r="F216">
            <v>0</v>
          </cell>
          <cell r="G216">
            <v>0</v>
          </cell>
          <cell r="H216">
            <v>4</v>
          </cell>
          <cell r="I216">
            <v>0</v>
          </cell>
          <cell r="J216">
            <v>46</v>
          </cell>
          <cell r="K216">
            <v>1</v>
          </cell>
          <cell r="L216">
            <v>175</v>
          </cell>
          <cell r="M216">
            <v>1</v>
          </cell>
          <cell r="N216">
            <v>372</v>
          </cell>
          <cell r="O216">
            <v>0</v>
          </cell>
          <cell r="P216">
            <v>211</v>
          </cell>
          <cell r="Q216">
            <v>0</v>
          </cell>
          <cell r="R216">
            <v>39</v>
          </cell>
          <cell r="S216">
            <v>0</v>
          </cell>
          <cell r="T216">
            <v>12</v>
          </cell>
          <cell r="U216">
            <v>0</v>
          </cell>
        </row>
        <row r="222">
          <cell r="D222">
            <v>51</v>
          </cell>
          <cell r="F222">
            <v>806</v>
          </cell>
        </row>
        <row r="223">
          <cell r="B223">
            <v>381</v>
          </cell>
          <cell r="L223">
            <v>0</v>
          </cell>
        </row>
        <row r="224">
          <cell r="B224">
            <v>10</v>
          </cell>
          <cell r="L224">
            <v>0</v>
          </cell>
        </row>
        <row r="225">
          <cell r="B225">
            <v>466</v>
          </cell>
          <cell r="L225">
            <v>5</v>
          </cell>
        </row>
        <row r="230">
          <cell r="D230">
            <v>275</v>
          </cell>
          <cell r="E230">
            <v>629</v>
          </cell>
        </row>
        <row r="232">
          <cell r="F232">
            <v>507</v>
          </cell>
          <cell r="G232">
            <v>348</v>
          </cell>
          <cell r="H232">
            <v>2</v>
          </cell>
        </row>
        <row r="292">
          <cell r="C292">
            <v>0</v>
          </cell>
          <cell r="D292">
            <v>0</v>
          </cell>
          <cell r="E292">
            <v>0</v>
          </cell>
          <cell r="F292">
            <v>2</v>
          </cell>
          <cell r="G292">
            <v>1</v>
          </cell>
          <cell r="H292">
            <v>0</v>
          </cell>
          <cell r="I292">
            <v>0</v>
          </cell>
          <cell r="J292">
            <v>0</v>
          </cell>
        </row>
        <row r="293">
          <cell r="C293">
            <v>0</v>
          </cell>
          <cell r="D293">
            <v>0</v>
          </cell>
          <cell r="E293">
            <v>0</v>
          </cell>
          <cell r="F293">
            <v>1</v>
          </cell>
          <cell r="G293">
            <v>0</v>
          </cell>
          <cell r="H293">
            <v>0</v>
          </cell>
          <cell r="I293">
            <v>0</v>
          </cell>
          <cell r="J293">
            <v>0</v>
          </cell>
        </row>
        <row r="311">
          <cell r="D311">
            <v>0</v>
          </cell>
          <cell r="E311">
            <v>0</v>
          </cell>
          <cell r="F311">
            <v>0</v>
          </cell>
          <cell r="G311">
            <v>0</v>
          </cell>
          <cell r="H311">
            <v>0</v>
          </cell>
          <cell r="I311">
            <v>0</v>
          </cell>
          <cell r="J311">
            <v>0</v>
          </cell>
          <cell r="K311">
            <v>0</v>
          </cell>
          <cell r="L311">
            <v>1</v>
          </cell>
          <cell r="M311">
            <v>0</v>
          </cell>
          <cell r="N311">
            <v>2</v>
          </cell>
          <cell r="O311">
            <v>0</v>
          </cell>
          <cell r="P311">
            <v>0</v>
          </cell>
          <cell r="Q311">
            <v>0</v>
          </cell>
          <cell r="R311">
            <v>0</v>
          </cell>
          <cell r="S311">
            <v>0</v>
          </cell>
          <cell r="T311">
            <v>0</v>
          </cell>
          <cell r="U311">
            <v>0</v>
          </cell>
        </row>
        <row r="317">
          <cell r="D317">
            <v>0</v>
          </cell>
          <cell r="F317">
            <v>3</v>
          </cell>
        </row>
        <row r="318">
          <cell r="B318">
            <v>3</v>
          </cell>
          <cell r="L318">
            <v>0</v>
          </cell>
        </row>
        <row r="319">
          <cell r="B319">
            <v>0</v>
          </cell>
          <cell r="L319">
            <v>0</v>
          </cell>
        </row>
        <row r="320">
          <cell r="B320">
            <v>0</v>
          </cell>
          <cell r="L320">
            <v>0</v>
          </cell>
        </row>
        <row r="325">
          <cell r="D325">
            <v>0</v>
          </cell>
        </row>
        <row r="327">
          <cell r="E327">
            <v>3</v>
          </cell>
          <cell r="F327">
            <v>0</v>
          </cell>
          <cell r="G327">
            <v>3</v>
          </cell>
          <cell r="H327">
            <v>0</v>
          </cell>
        </row>
        <row r="387">
          <cell r="C387">
            <v>0</v>
          </cell>
          <cell r="D387">
            <v>0</v>
          </cell>
          <cell r="E387">
            <v>0</v>
          </cell>
          <cell r="F387">
            <v>0</v>
          </cell>
          <cell r="G387">
            <v>0</v>
          </cell>
          <cell r="H387">
            <v>0</v>
          </cell>
          <cell r="I387">
            <v>0</v>
          </cell>
          <cell r="J387">
            <v>0</v>
          </cell>
        </row>
        <row r="388">
          <cell r="C388">
            <v>0</v>
          </cell>
          <cell r="D388">
            <v>0</v>
          </cell>
          <cell r="E388">
            <v>0</v>
          </cell>
          <cell r="F388">
            <v>0</v>
          </cell>
          <cell r="G388">
            <v>0</v>
          </cell>
          <cell r="H388">
            <v>0</v>
          </cell>
          <cell r="I388">
            <v>0</v>
          </cell>
          <cell r="J388">
            <v>0</v>
          </cell>
        </row>
        <row r="406">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row>
        <row r="412">
          <cell r="D412">
            <v>0</v>
          </cell>
          <cell r="F412">
            <v>0</v>
          </cell>
        </row>
        <row r="413">
          <cell r="B413">
            <v>0</v>
          </cell>
          <cell r="L413">
            <v>0</v>
          </cell>
        </row>
        <row r="414">
          <cell r="B414">
            <v>0</v>
          </cell>
          <cell r="L414">
            <v>0</v>
          </cell>
        </row>
        <row r="415">
          <cell r="B415">
            <v>0</v>
          </cell>
          <cell r="L415">
            <v>0</v>
          </cell>
        </row>
        <row r="422">
          <cell r="F422">
            <v>0</v>
          </cell>
          <cell r="G422">
            <v>0</v>
          </cell>
          <cell r="H422">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19</v>
          </cell>
          <cell r="H21">
            <v>30</v>
          </cell>
          <cell r="I21">
            <v>17</v>
          </cell>
          <cell r="J21">
            <v>38</v>
          </cell>
          <cell r="K21">
            <v>25</v>
          </cell>
          <cell r="L21">
            <v>48</v>
          </cell>
          <cell r="M21">
            <v>18</v>
          </cell>
          <cell r="N21">
            <v>22</v>
          </cell>
          <cell r="O21">
            <v>19</v>
          </cell>
          <cell r="P21">
            <v>30</v>
          </cell>
          <cell r="Q21">
            <v>11</v>
          </cell>
          <cell r="R21">
            <v>20</v>
          </cell>
          <cell r="S21">
            <v>8</v>
          </cell>
          <cell r="T21">
            <v>23</v>
          </cell>
          <cell r="U21">
            <v>4</v>
          </cell>
          <cell r="V21">
            <v>13</v>
          </cell>
          <cell r="W21">
            <v>4</v>
          </cell>
          <cell r="X21">
            <v>3</v>
          </cell>
          <cell r="Y21">
            <v>25</v>
          </cell>
          <cell r="Z21">
            <v>38</v>
          </cell>
          <cell r="AA21">
            <v>28</v>
          </cell>
          <cell r="AB21">
            <v>35</v>
          </cell>
          <cell r="AC21">
            <v>12</v>
          </cell>
          <cell r="AD21">
            <v>25</v>
          </cell>
          <cell r="AE21">
            <v>19</v>
          </cell>
          <cell r="AF21">
            <v>43</v>
          </cell>
        </row>
      </sheetData>
      <sheetData sheetId="3" refreshError="1"/>
      <sheetData sheetId="4" refreshError="1"/>
      <sheetData sheetId="5" refreshError="1"/>
      <sheetData sheetId="6" refreshError="1"/>
      <sheetData sheetId="7" refreshError="1"/>
      <sheetData sheetId="8" refreshError="1"/>
      <sheetData sheetId="9">
        <row r="12">
          <cell r="D12">
            <v>3134</v>
          </cell>
        </row>
        <row r="14">
          <cell r="D14">
            <v>499</v>
          </cell>
        </row>
        <row r="21">
          <cell r="G21">
            <v>10</v>
          </cell>
          <cell r="H21">
            <v>16</v>
          </cell>
          <cell r="I21">
            <v>17</v>
          </cell>
          <cell r="J21">
            <v>13</v>
          </cell>
          <cell r="K21">
            <v>16</v>
          </cell>
          <cell r="L21">
            <v>20</v>
          </cell>
          <cell r="M21">
            <v>22</v>
          </cell>
          <cell r="N21">
            <v>21</v>
          </cell>
          <cell r="O21">
            <v>38</v>
          </cell>
          <cell r="P21">
            <v>28</v>
          </cell>
          <cell r="Q21">
            <v>48</v>
          </cell>
          <cell r="R21">
            <v>46</v>
          </cell>
          <cell r="S21">
            <v>66</v>
          </cell>
          <cell r="T21">
            <v>50</v>
          </cell>
          <cell r="U21">
            <v>30</v>
          </cell>
          <cell r="V21">
            <v>31</v>
          </cell>
          <cell r="W21">
            <v>224</v>
          </cell>
          <cell r="X21">
            <v>206</v>
          </cell>
          <cell r="Y21">
            <v>84</v>
          </cell>
          <cell r="Z21">
            <v>159</v>
          </cell>
        </row>
        <row r="22">
          <cell r="G22">
            <v>0</v>
          </cell>
          <cell r="H22">
            <v>0</v>
          </cell>
          <cell r="I22">
            <v>0</v>
          </cell>
          <cell r="J22">
            <v>0</v>
          </cell>
          <cell r="K22">
            <v>0</v>
          </cell>
          <cell r="L22">
            <v>0</v>
          </cell>
          <cell r="M22">
            <v>2</v>
          </cell>
          <cell r="N22">
            <v>3</v>
          </cell>
          <cell r="O22">
            <v>21</v>
          </cell>
          <cell r="P22">
            <v>4</v>
          </cell>
          <cell r="Q22">
            <v>11</v>
          </cell>
          <cell r="R22">
            <v>15</v>
          </cell>
          <cell r="S22">
            <v>50</v>
          </cell>
          <cell r="T22">
            <v>36</v>
          </cell>
          <cell r="U22">
            <v>40</v>
          </cell>
          <cell r="V22">
            <v>55</v>
          </cell>
          <cell r="W22">
            <v>69</v>
          </cell>
          <cell r="X22">
            <v>99</v>
          </cell>
          <cell r="Y22">
            <v>60</v>
          </cell>
          <cell r="Z22">
            <v>90</v>
          </cell>
        </row>
        <row r="23">
          <cell r="G23">
            <v>0</v>
          </cell>
          <cell r="H23">
            <v>0</v>
          </cell>
          <cell r="I23">
            <v>0</v>
          </cell>
          <cell r="J23">
            <v>1</v>
          </cell>
          <cell r="K23">
            <v>5</v>
          </cell>
          <cell r="L23">
            <v>9</v>
          </cell>
          <cell r="M23">
            <v>9</v>
          </cell>
          <cell r="N23">
            <v>4</v>
          </cell>
          <cell r="O23">
            <v>5</v>
          </cell>
          <cell r="P23">
            <v>13</v>
          </cell>
          <cell r="Q23">
            <v>17</v>
          </cell>
          <cell r="R23">
            <v>22</v>
          </cell>
          <cell r="S23">
            <v>17</v>
          </cell>
          <cell r="T23">
            <v>23</v>
          </cell>
          <cell r="U23">
            <v>4</v>
          </cell>
          <cell r="V23">
            <v>6</v>
          </cell>
          <cell r="W23">
            <v>34</v>
          </cell>
          <cell r="X23">
            <v>47</v>
          </cell>
          <cell r="Y23">
            <v>9</v>
          </cell>
          <cell r="Z23">
            <v>25</v>
          </cell>
        </row>
        <row r="24">
          <cell r="G24">
            <v>0</v>
          </cell>
          <cell r="H24">
            <v>0</v>
          </cell>
          <cell r="I24">
            <v>0</v>
          </cell>
          <cell r="J24">
            <v>0</v>
          </cell>
          <cell r="K24">
            <v>2</v>
          </cell>
          <cell r="L24">
            <v>0</v>
          </cell>
          <cell r="M24">
            <v>1</v>
          </cell>
          <cell r="N24">
            <v>2</v>
          </cell>
          <cell r="O24">
            <v>6</v>
          </cell>
          <cell r="P24">
            <v>3</v>
          </cell>
          <cell r="Q24">
            <v>6</v>
          </cell>
          <cell r="R24">
            <v>6</v>
          </cell>
          <cell r="S24">
            <v>1</v>
          </cell>
          <cell r="T24">
            <v>2</v>
          </cell>
          <cell r="U24">
            <v>4</v>
          </cell>
          <cell r="V24">
            <v>4</v>
          </cell>
          <cell r="W24">
            <v>26</v>
          </cell>
          <cell r="X24">
            <v>33</v>
          </cell>
          <cell r="Y24">
            <v>6</v>
          </cell>
          <cell r="Z24">
            <v>13</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2</v>
          </cell>
          <cell r="U26">
            <v>10</v>
          </cell>
          <cell r="V26">
            <v>8</v>
          </cell>
          <cell r="W26">
            <v>53</v>
          </cell>
          <cell r="X26">
            <v>57</v>
          </cell>
          <cell r="Y26">
            <v>51</v>
          </cell>
          <cell r="Z26">
            <v>119</v>
          </cell>
        </row>
      </sheetData>
      <sheetData sheetId="10" refreshError="1"/>
      <sheetData sheetId="11" refreshError="1"/>
      <sheetData sheetId="12">
        <row r="11">
          <cell r="B11">
            <v>40</v>
          </cell>
          <cell r="E11">
            <v>40</v>
          </cell>
          <cell r="F11">
            <v>5</v>
          </cell>
        </row>
        <row r="25">
          <cell r="B25">
            <v>671</v>
          </cell>
        </row>
        <row r="26">
          <cell r="B26">
            <v>1</v>
          </cell>
        </row>
        <row r="27">
          <cell r="B27">
            <v>61</v>
          </cell>
        </row>
        <row r="28">
          <cell r="B28">
            <v>18</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4</v>
          </cell>
          <cell r="H21">
            <v>8</v>
          </cell>
          <cell r="I21">
            <v>8</v>
          </cell>
          <cell r="J21">
            <v>5</v>
          </cell>
          <cell r="K21">
            <v>3</v>
          </cell>
          <cell r="L21">
            <v>9</v>
          </cell>
          <cell r="M21">
            <v>0</v>
          </cell>
          <cell r="N21">
            <v>4</v>
          </cell>
          <cell r="O21">
            <v>2</v>
          </cell>
          <cell r="P21">
            <v>1</v>
          </cell>
          <cell r="Q21">
            <v>2</v>
          </cell>
          <cell r="R21">
            <v>4</v>
          </cell>
          <cell r="S21">
            <v>3</v>
          </cell>
          <cell r="T21">
            <v>6</v>
          </cell>
          <cell r="U21">
            <v>2</v>
          </cell>
          <cell r="V21">
            <v>0</v>
          </cell>
          <cell r="W21">
            <v>1</v>
          </cell>
          <cell r="X21">
            <v>0</v>
          </cell>
          <cell r="Y21">
            <v>8</v>
          </cell>
          <cell r="Z21">
            <v>11</v>
          </cell>
          <cell r="AA21">
            <v>6</v>
          </cell>
          <cell r="AB21">
            <v>15</v>
          </cell>
          <cell r="AC21">
            <v>4</v>
          </cell>
          <cell r="AD21">
            <v>5</v>
          </cell>
          <cell r="AE21">
            <v>12</v>
          </cell>
          <cell r="AF21">
            <v>6</v>
          </cell>
        </row>
      </sheetData>
      <sheetData sheetId="3" refreshError="1"/>
      <sheetData sheetId="4" refreshError="1"/>
      <sheetData sheetId="5" refreshError="1"/>
      <sheetData sheetId="6" refreshError="1"/>
      <sheetData sheetId="7" refreshError="1"/>
      <sheetData sheetId="8" refreshError="1"/>
      <sheetData sheetId="9">
        <row r="12">
          <cell r="D12">
            <v>359</v>
          </cell>
        </row>
        <row r="14">
          <cell r="D14">
            <v>57</v>
          </cell>
        </row>
        <row r="21">
          <cell r="G21">
            <v>2</v>
          </cell>
          <cell r="H21">
            <v>1</v>
          </cell>
          <cell r="I21">
            <v>8</v>
          </cell>
          <cell r="J21">
            <v>2</v>
          </cell>
          <cell r="K21">
            <v>4</v>
          </cell>
          <cell r="L21">
            <v>5</v>
          </cell>
          <cell r="M21">
            <v>0</v>
          </cell>
          <cell r="N21">
            <v>11</v>
          </cell>
          <cell r="O21">
            <v>7</v>
          </cell>
          <cell r="P21">
            <v>7</v>
          </cell>
          <cell r="Q21">
            <v>3</v>
          </cell>
          <cell r="R21">
            <v>8</v>
          </cell>
          <cell r="S21">
            <v>5</v>
          </cell>
          <cell r="T21">
            <v>5</v>
          </cell>
          <cell r="U21">
            <v>10</v>
          </cell>
          <cell r="V21">
            <v>5</v>
          </cell>
          <cell r="W21">
            <v>53</v>
          </cell>
          <cell r="X21">
            <v>72</v>
          </cell>
          <cell r="Y21">
            <v>15</v>
          </cell>
          <cell r="Z21">
            <v>17</v>
          </cell>
        </row>
        <row r="22">
          <cell r="G22">
            <v>0</v>
          </cell>
          <cell r="H22">
            <v>0</v>
          </cell>
          <cell r="I22">
            <v>0</v>
          </cell>
          <cell r="J22">
            <v>0</v>
          </cell>
          <cell r="K22">
            <v>0</v>
          </cell>
          <cell r="L22">
            <v>0</v>
          </cell>
          <cell r="M22">
            <v>0</v>
          </cell>
          <cell r="N22">
            <v>0</v>
          </cell>
          <cell r="O22">
            <v>0</v>
          </cell>
          <cell r="P22">
            <v>0</v>
          </cell>
          <cell r="Q22">
            <v>0</v>
          </cell>
          <cell r="R22">
            <v>1</v>
          </cell>
          <cell r="S22">
            <v>0</v>
          </cell>
          <cell r="T22">
            <v>0</v>
          </cell>
          <cell r="U22">
            <v>32</v>
          </cell>
          <cell r="V22">
            <v>7</v>
          </cell>
          <cell r="W22">
            <v>72</v>
          </cell>
          <cell r="X22">
            <v>57</v>
          </cell>
          <cell r="Y22">
            <v>31</v>
          </cell>
          <cell r="Z22">
            <v>27</v>
          </cell>
        </row>
        <row r="23">
          <cell r="G23">
            <v>0</v>
          </cell>
          <cell r="H23">
            <v>0</v>
          </cell>
          <cell r="I23">
            <v>0</v>
          </cell>
          <cell r="J23">
            <v>1</v>
          </cell>
          <cell r="K23">
            <v>2</v>
          </cell>
          <cell r="L23">
            <v>2</v>
          </cell>
          <cell r="M23">
            <v>0</v>
          </cell>
          <cell r="N23">
            <v>2</v>
          </cell>
          <cell r="O23">
            <v>1</v>
          </cell>
          <cell r="P23">
            <v>0</v>
          </cell>
          <cell r="Q23">
            <v>0</v>
          </cell>
          <cell r="R23">
            <v>0</v>
          </cell>
          <cell r="S23">
            <v>0</v>
          </cell>
          <cell r="T23">
            <v>0</v>
          </cell>
          <cell r="U23">
            <v>0</v>
          </cell>
          <cell r="V23">
            <v>1</v>
          </cell>
          <cell r="W23">
            <v>3</v>
          </cell>
          <cell r="X23">
            <v>2</v>
          </cell>
          <cell r="Y23">
            <v>1</v>
          </cell>
          <cell r="Z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1</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8</v>
          </cell>
          <cell r="V26">
            <v>4</v>
          </cell>
          <cell r="W26">
            <v>28</v>
          </cell>
          <cell r="X26">
            <v>13</v>
          </cell>
          <cell r="Y26">
            <v>11</v>
          </cell>
          <cell r="Z26">
            <v>12</v>
          </cell>
        </row>
      </sheetData>
      <sheetData sheetId="10" refreshError="1"/>
      <sheetData sheetId="11" refreshError="1"/>
      <sheetData sheetId="12">
        <row r="11">
          <cell r="B11">
            <v>2</v>
          </cell>
          <cell r="E11">
            <v>2</v>
          </cell>
          <cell r="F11">
            <v>0</v>
          </cell>
        </row>
        <row r="25">
          <cell r="B25">
            <v>0</v>
          </cell>
        </row>
        <row r="26">
          <cell r="B26">
            <v>0</v>
          </cell>
        </row>
        <row r="27">
          <cell r="B27">
            <v>1</v>
          </cell>
        </row>
        <row r="28">
          <cell r="B28">
            <v>0</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10</v>
          </cell>
          <cell r="E11">
            <v>10</v>
          </cell>
          <cell r="F11">
            <v>5</v>
          </cell>
          <cell r="G11">
            <v>3</v>
          </cell>
        </row>
        <row r="25">
          <cell r="B25">
            <v>8497</v>
          </cell>
        </row>
        <row r="26">
          <cell r="B26">
            <v>0</v>
          </cell>
        </row>
        <row r="27">
          <cell r="B27">
            <v>15</v>
          </cell>
        </row>
        <row r="28">
          <cell r="B28">
            <v>315</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2">
          <cell r="E12">
            <v>2734</v>
          </cell>
          <cell r="F12">
            <v>1967</v>
          </cell>
          <cell r="G12">
            <v>1294</v>
          </cell>
          <cell r="H12">
            <v>1077</v>
          </cell>
          <cell r="I12">
            <v>861</v>
          </cell>
          <cell r="J12">
            <v>901</v>
          </cell>
          <cell r="K12">
            <v>906</v>
          </cell>
          <cell r="L12">
            <v>1116</v>
          </cell>
          <cell r="M12">
            <v>1382</v>
          </cell>
          <cell r="N12">
            <v>1331</v>
          </cell>
          <cell r="O12">
            <v>1544</v>
          </cell>
          <cell r="P12">
            <v>1610</v>
          </cell>
          <cell r="Q12">
            <v>1483</v>
          </cell>
          <cell r="R12">
            <v>1387</v>
          </cell>
          <cell r="S12">
            <v>1317</v>
          </cell>
          <cell r="T12">
            <v>1290</v>
          </cell>
          <cell r="U12">
            <v>985</v>
          </cell>
          <cell r="V12">
            <v>1143</v>
          </cell>
          <cell r="W12">
            <v>1112</v>
          </cell>
          <cell r="X12">
            <v>1049</v>
          </cell>
          <cell r="Y12">
            <v>1117</v>
          </cell>
          <cell r="Z12">
            <v>1192</v>
          </cell>
          <cell r="AA12">
            <v>1210</v>
          </cell>
          <cell r="AB12">
            <v>1244</v>
          </cell>
          <cell r="AC12">
            <v>988</v>
          </cell>
          <cell r="AD12">
            <v>938</v>
          </cell>
          <cell r="AE12">
            <v>833</v>
          </cell>
          <cell r="AF12">
            <v>877</v>
          </cell>
          <cell r="AG12">
            <v>783</v>
          </cell>
          <cell r="AH12">
            <v>806</v>
          </cell>
          <cell r="AI12">
            <v>773</v>
          </cell>
          <cell r="AJ12">
            <v>779</v>
          </cell>
          <cell r="AK12">
            <v>1119</v>
          </cell>
          <cell r="AL12">
            <v>1445</v>
          </cell>
        </row>
        <row r="13">
          <cell r="B13">
            <v>5485</v>
          </cell>
        </row>
        <row r="57">
          <cell r="B57">
            <v>202</v>
          </cell>
        </row>
        <row r="58">
          <cell r="B58">
            <v>1075</v>
          </cell>
        </row>
        <row r="59">
          <cell r="B59">
            <v>24683</v>
          </cell>
        </row>
        <row r="60">
          <cell r="B60">
            <v>14347</v>
          </cell>
        </row>
        <row r="61">
          <cell r="B61">
            <v>266</v>
          </cell>
        </row>
        <row r="62">
          <cell r="B62">
            <v>20</v>
          </cell>
        </row>
      </sheetData>
      <sheetData sheetId="9" refreshError="1"/>
      <sheetData sheetId="10" refreshError="1"/>
      <sheetData sheetId="11" refreshError="1"/>
      <sheetData sheetId="12">
        <row r="11">
          <cell r="B11">
            <v>401</v>
          </cell>
          <cell r="E11">
            <v>205</v>
          </cell>
          <cell r="F11">
            <v>206</v>
          </cell>
        </row>
        <row r="25">
          <cell r="B25">
            <v>9079</v>
          </cell>
        </row>
        <row r="26">
          <cell r="B26">
            <v>11</v>
          </cell>
        </row>
        <row r="27">
          <cell r="B27">
            <v>196</v>
          </cell>
        </row>
        <row r="28">
          <cell r="B28">
            <v>262</v>
          </cell>
        </row>
        <row r="29">
          <cell r="B29">
            <v>107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sheetData sheetId="1">
        <row r="63">
          <cell r="J63">
            <v>0</v>
          </cell>
        </row>
      </sheetData>
      <sheetData sheetId="2">
        <row r="12">
          <cell r="C12">
            <v>0</v>
          </cell>
        </row>
      </sheetData>
      <sheetData sheetId="3"/>
      <sheetData sheetId="4">
        <row r="61">
          <cell r="L61">
            <v>0</v>
          </cell>
        </row>
      </sheetData>
      <sheetData sheetId="5"/>
      <sheetData sheetId="6">
        <row r="33">
          <cell r="M33">
            <v>0</v>
          </cell>
        </row>
      </sheetData>
      <sheetData sheetId="7"/>
      <sheetData sheetId="8"/>
      <sheetData sheetId="9"/>
      <sheetData sheetId="10"/>
      <sheetData sheetId="11"/>
      <sheetData sheetId="12">
        <row r="11">
          <cell r="B11">
            <v>9</v>
          </cell>
          <cell r="E11">
            <v>6</v>
          </cell>
          <cell r="F11">
            <v>4</v>
          </cell>
        </row>
        <row r="25">
          <cell r="B25">
            <v>284</v>
          </cell>
        </row>
        <row r="26">
          <cell r="B26">
            <v>2</v>
          </cell>
        </row>
        <row r="27">
          <cell r="B27">
            <v>6</v>
          </cell>
        </row>
        <row r="28">
          <cell r="B28">
            <v>191</v>
          </cell>
        </row>
        <row r="29">
          <cell r="B29">
            <v>0</v>
          </cell>
        </row>
      </sheetData>
      <sheetData sheetId="13"/>
      <sheetData sheetId="14">
        <row r="91">
          <cell r="H91">
            <v>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0</v>
          </cell>
          <cell r="E11">
            <v>0</v>
          </cell>
          <cell r="F11">
            <v>0</v>
          </cell>
        </row>
        <row r="25">
          <cell r="B25">
            <v>0</v>
          </cell>
        </row>
        <row r="26">
          <cell r="B26">
            <v>0</v>
          </cell>
        </row>
        <row r="27">
          <cell r="B27">
            <v>0</v>
          </cell>
        </row>
        <row r="28">
          <cell r="B28">
            <v>0</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sheetData>
      <sheetData sheetId="3" refreshError="1"/>
      <sheetData sheetId="4" refreshError="1"/>
      <sheetData sheetId="5" refreshError="1"/>
      <sheetData sheetId="6" refreshError="1"/>
      <sheetData sheetId="7" refreshError="1"/>
      <sheetData sheetId="8">
        <row r="13">
          <cell r="B13">
            <v>0</v>
          </cell>
        </row>
        <row r="27">
          <cell r="E27">
            <v>591</v>
          </cell>
          <cell r="F27">
            <v>363</v>
          </cell>
          <cell r="G27">
            <v>375</v>
          </cell>
          <cell r="H27">
            <v>321</v>
          </cell>
          <cell r="I27">
            <v>323</v>
          </cell>
          <cell r="J27">
            <v>280</v>
          </cell>
          <cell r="K27">
            <v>464</v>
          </cell>
          <cell r="L27">
            <v>477</v>
          </cell>
          <cell r="M27">
            <v>566</v>
          </cell>
          <cell r="N27">
            <v>622</v>
          </cell>
          <cell r="O27">
            <v>785</v>
          </cell>
          <cell r="P27">
            <v>649</v>
          </cell>
          <cell r="Q27">
            <v>596</v>
          </cell>
          <cell r="R27">
            <v>563</v>
          </cell>
          <cell r="S27">
            <v>504</v>
          </cell>
          <cell r="T27">
            <v>549</v>
          </cell>
          <cell r="U27">
            <v>472</v>
          </cell>
          <cell r="V27">
            <v>448</v>
          </cell>
          <cell r="W27">
            <v>503</v>
          </cell>
          <cell r="X27">
            <v>537</v>
          </cell>
          <cell r="Y27">
            <v>448</v>
          </cell>
          <cell r="Z27">
            <v>576</v>
          </cell>
          <cell r="AA27">
            <v>523</v>
          </cell>
          <cell r="AB27">
            <v>469</v>
          </cell>
          <cell r="AC27">
            <v>411</v>
          </cell>
          <cell r="AD27">
            <v>448</v>
          </cell>
          <cell r="AE27">
            <v>338</v>
          </cell>
          <cell r="AF27">
            <v>402</v>
          </cell>
          <cell r="AG27">
            <v>321</v>
          </cell>
          <cell r="AH27">
            <v>221</v>
          </cell>
          <cell r="AI27">
            <v>258</v>
          </cell>
          <cell r="AJ27">
            <v>321</v>
          </cell>
          <cell r="AK27">
            <v>450</v>
          </cell>
          <cell r="AL27">
            <v>529</v>
          </cell>
        </row>
        <row r="57">
          <cell r="B57">
            <v>4</v>
          </cell>
        </row>
        <row r="58">
          <cell r="B58">
            <v>69</v>
          </cell>
        </row>
        <row r="59">
          <cell r="B59">
            <v>4353</v>
          </cell>
        </row>
        <row r="60">
          <cell r="B60">
            <v>10783</v>
          </cell>
        </row>
        <row r="61">
          <cell r="B61">
            <v>288</v>
          </cell>
        </row>
        <row r="62">
          <cell r="B62">
            <v>206</v>
          </cell>
        </row>
      </sheetData>
      <sheetData sheetId="9" refreshError="1"/>
      <sheetData sheetId="10" refreshError="1"/>
      <sheetData sheetId="11" refreshError="1"/>
      <sheetData sheetId="12">
        <row r="11">
          <cell r="B11">
            <v>20</v>
          </cell>
          <cell r="E11">
            <v>19</v>
          </cell>
          <cell r="F11">
            <v>0</v>
          </cell>
        </row>
        <row r="25">
          <cell r="B25">
            <v>7557</v>
          </cell>
        </row>
        <row r="26">
          <cell r="B26">
            <v>1</v>
          </cell>
        </row>
        <row r="27">
          <cell r="B27">
            <v>21</v>
          </cell>
        </row>
        <row r="28">
          <cell r="B28">
            <v>6</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2">
          <cell r="E12">
            <v>0</v>
          </cell>
          <cell r="F12">
            <v>0</v>
          </cell>
          <cell r="G12">
            <v>0</v>
          </cell>
          <cell r="H12">
            <v>0</v>
          </cell>
          <cell r="I12">
            <v>1</v>
          </cell>
          <cell r="J12">
            <v>4</v>
          </cell>
          <cell r="K12">
            <v>192</v>
          </cell>
          <cell r="L12">
            <v>287</v>
          </cell>
          <cell r="M12">
            <v>342</v>
          </cell>
          <cell r="N12">
            <v>307</v>
          </cell>
          <cell r="O12">
            <v>356</v>
          </cell>
          <cell r="P12">
            <v>312</v>
          </cell>
          <cell r="Q12">
            <v>322</v>
          </cell>
          <cell r="R12">
            <v>329</v>
          </cell>
          <cell r="S12">
            <v>232</v>
          </cell>
          <cell r="T12">
            <v>234</v>
          </cell>
          <cell r="U12">
            <v>235</v>
          </cell>
          <cell r="V12">
            <v>236</v>
          </cell>
          <cell r="W12">
            <v>214</v>
          </cell>
          <cell r="X12">
            <v>189</v>
          </cell>
          <cell r="Y12">
            <v>189</v>
          </cell>
          <cell r="Z12">
            <v>223</v>
          </cell>
          <cell r="AA12">
            <v>117</v>
          </cell>
          <cell r="AB12">
            <v>169</v>
          </cell>
          <cell r="AC12">
            <v>74</v>
          </cell>
          <cell r="AD12">
            <v>104</v>
          </cell>
          <cell r="AE12">
            <v>30</v>
          </cell>
          <cell r="AF12">
            <v>51</v>
          </cell>
          <cell r="AG12">
            <v>29</v>
          </cell>
          <cell r="AH12">
            <v>45</v>
          </cell>
          <cell r="AI12">
            <v>54</v>
          </cell>
          <cell r="AJ12">
            <v>40</v>
          </cell>
          <cell r="AK12">
            <v>33</v>
          </cell>
          <cell r="AL12">
            <v>41</v>
          </cell>
        </row>
        <row r="13">
          <cell r="B13">
            <v>0</v>
          </cell>
        </row>
        <row r="57">
          <cell r="B57">
            <v>2</v>
          </cell>
        </row>
        <row r="58">
          <cell r="B58">
            <v>25</v>
          </cell>
        </row>
        <row r="59">
          <cell r="B59">
            <v>861</v>
          </cell>
        </row>
        <row r="60">
          <cell r="B60">
            <v>4035</v>
          </cell>
        </row>
        <row r="61">
          <cell r="B61">
            <v>67</v>
          </cell>
        </row>
        <row r="62">
          <cell r="B62">
            <v>1</v>
          </cell>
        </row>
      </sheetData>
      <sheetData sheetId="9" refreshError="1"/>
      <sheetData sheetId="10" refreshError="1"/>
      <sheetData sheetId="11" refreshError="1"/>
      <sheetData sheetId="12">
        <row r="11">
          <cell r="B11">
            <v>25</v>
          </cell>
          <cell r="E11">
            <v>24</v>
          </cell>
          <cell r="F11">
            <v>1</v>
          </cell>
        </row>
        <row r="25">
          <cell r="B25">
            <v>166</v>
          </cell>
        </row>
        <row r="26">
          <cell r="B26">
            <v>0</v>
          </cell>
        </row>
        <row r="27">
          <cell r="B27">
            <v>22</v>
          </cell>
        </row>
        <row r="28">
          <cell r="B28">
            <v>39</v>
          </cell>
        </row>
        <row r="29">
          <cell r="B29">
            <v>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
          <cell r="B13">
            <v>0</v>
          </cell>
        </row>
        <row r="27">
          <cell r="E27">
            <v>1020</v>
          </cell>
          <cell r="F27">
            <v>708</v>
          </cell>
          <cell r="G27">
            <v>660</v>
          </cell>
          <cell r="H27">
            <v>547</v>
          </cell>
          <cell r="I27">
            <v>489</v>
          </cell>
          <cell r="J27">
            <v>425</v>
          </cell>
          <cell r="K27">
            <v>642</v>
          </cell>
          <cell r="L27">
            <v>877</v>
          </cell>
          <cell r="M27">
            <v>902</v>
          </cell>
          <cell r="N27">
            <v>1441</v>
          </cell>
          <cell r="O27">
            <v>1118</v>
          </cell>
          <cell r="P27">
            <v>1644</v>
          </cell>
          <cell r="Q27">
            <v>1098</v>
          </cell>
          <cell r="R27">
            <v>1513</v>
          </cell>
          <cell r="S27">
            <v>892</v>
          </cell>
          <cell r="T27">
            <v>1256</v>
          </cell>
          <cell r="U27">
            <v>719</v>
          </cell>
          <cell r="V27">
            <v>853</v>
          </cell>
          <cell r="W27">
            <v>680</v>
          </cell>
          <cell r="X27">
            <v>818</v>
          </cell>
          <cell r="Y27">
            <v>790</v>
          </cell>
          <cell r="Z27">
            <v>842</v>
          </cell>
          <cell r="AA27">
            <v>767</v>
          </cell>
          <cell r="AB27">
            <v>787</v>
          </cell>
          <cell r="AC27">
            <v>724</v>
          </cell>
          <cell r="AD27">
            <v>668</v>
          </cell>
          <cell r="AE27">
            <v>554</v>
          </cell>
          <cell r="AF27">
            <v>592</v>
          </cell>
          <cell r="AG27">
            <v>442</v>
          </cell>
          <cell r="AH27">
            <v>574</v>
          </cell>
          <cell r="AI27">
            <v>402</v>
          </cell>
          <cell r="AJ27">
            <v>486</v>
          </cell>
          <cell r="AK27">
            <v>647</v>
          </cell>
          <cell r="AL27">
            <v>703</v>
          </cell>
        </row>
        <row r="57">
          <cell r="B57">
            <v>8</v>
          </cell>
        </row>
        <row r="58">
          <cell r="B58">
            <v>142</v>
          </cell>
        </row>
        <row r="59">
          <cell r="B59">
            <v>10812</v>
          </cell>
        </row>
        <row r="60">
          <cell r="B60">
            <v>15814</v>
          </cell>
        </row>
        <row r="61">
          <cell r="B61">
            <v>213</v>
          </cell>
        </row>
        <row r="62">
          <cell r="B62">
            <v>291</v>
          </cell>
        </row>
      </sheetData>
      <sheetData sheetId="9" refreshError="1"/>
      <sheetData sheetId="10" refreshError="1"/>
      <sheetData sheetId="11" refreshError="1"/>
      <sheetData sheetId="12">
        <row r="11">
          <cell r="B11">
            <v>33</v>
          </cell>
          <cell r="E11">
            <v>24</v>
          </cell>
          <cell r="F11">
            <v>6</v>
          </cell>
          <cell r="G11">
            <v>3</v>
          </cell>
        </row>
        <row r="25">
          <cell r="B25">
            <v>779</v>
          </cell>
        </row>
        <row r="26">
          <cell r="B26">
            <v>1</v>
          </cell>
        </row>
        <row r="27">
          <cell r="B27">
            <v>7</v>
          </cell>
        </row>
        <row r="28">
          <cell r="B28">
            <v>75</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refreshError="1"/>
      <sheetData sheetId="1">
        <row r="13">
          <cell r="C13">
            <v>39981</v>
          </cell>
        </row>
        <row r="14">
          <cell r="C14">
            <v>95440</v>
          </cell>
        </row>
        <row r="15">
          <cell r="C15">
            <v>17852</v>
          </cell>
        </row>
        <row r="16">
          <cell r="C16">
            <v>0</v>
          </cell>
        </row>
        <row r="18">
          <cell r="C18">
            <v>2618</v>
          </cell>
        </row>
        <row r="19">
          <cell r="C19">
            <v>3600</v>
          </cell>
        </row>
        <row r="20">
          <cell r="C20">
            <v>5642</v>
          </cell>
        </row>
        <row r="21">
          <cell r="C21">
            <v>592</v>
          </cell>
        </row>
        <row r="22">
          <cell r="C22">
            <v>0</v>
          </cell>
        </row>
        <row r="24">
          <cell r="C24">
            <v>41489.142999999996</v>
          </cell>
        </row>
        <row r="25">
          <cell r="C25">
            <v>14949.1</v>
          </cell>
        </row>
        <row r="26">
          <cell r="C26">
            <v>580</v>
          </cell>
        </row>
        <row r="27">
          <cell r="C27">
            <v>96</v>
          </cell>
        </row>
        <row r="29">
          <cell r="C29">
            <v>39008.650000000009</v>
          </cell>
        </row>
        <row r="30">
          <cell r="C30">
            <v>34869.399999999994</v>
          </cell>
        </row>
        <row r="50">
          <cell r="C50">
            <v>1864</v>
          </cell>
        </row>
        <row r="51">
          <cell r="C51">
            <v>3942</v>
          </cell>
        </row>
        <row r="52">
          <cell r="C52">
            <v>368</v>
          </cell>
        </row>
        <row r="53">
          <cell r="C53">
            <v>0</v>
          </cell>
        </row>
        <row r="55">
          <cell r="C55">
            <v>44</v>
          </cell>
        </row>
        <row r="56">
          <cell r="C56">
            <v>78</v>
          </cell>
        </row>
        <row r="57">
          <cell r="C57">
            <v>116</v>
          </cell>
        </row>
        <row r="58">
          <cell r="C58">
            <v>0</v>
          </cell>
        </row>
        <row r="59">
          <cell r="C59">
            <v>0</v>
          </cell>
        </row>
        <row r="61">
          <cell r="C61">
            <v>4.3559999999999999</v>
          </cell>
        </row>
        <row r="62">
          <cell r="C62">
            <v>9.9</v>
          </cell>
        </row>
        <row r="63">
          <cell r="C63">
            <v>18</v>
          </cell>
        </row>
        <row r="64">
          <cell r="C64">
            <v>1</v>
          </cell>
        </row>
        <row r="66">
          <cell r="C66">
            <v>39013.97</v>
          </cell>
        </row>
        <row r="67">
          <cell r="C67">
            <v>17152.398000000001</v>
          </cell>
        </row>
      </sheetData>
      <sheetData sheetId="2">
        <row r="29">
          <cell r="F29">
            <v>97283</v>
          </cell>
        </row>
        <row r="30">
          <cell r="F30">
            <v>97214</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0">
          <cell r="C50">
            <v>0</v>
          </cell>
          <cell r="D50">
            <v>115</v>
          </cell>
          <cell r="E50">
            <v>50</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1</v>
          </cell>
          <cell r="H21">
            <v>0</v>
          </cell>
          <cell r="I21">
            <v>0</v>
          </cell>
          <cell r="J21">
            <v>0</v>
          </cell>
          <cell r="K21">
            <v>0</v>
          </cell>
          <cell r="L21">
            <v>0</v>
          </cell>
          <cell r="M21">
            <v>0</v>
          </cell>
          <cell r="N21">
            <v>1</v>
          </cell>
          <cell r="O21">
            <v>0</v>
          </cell>
          <cell r="P21">
            <v>1</v>
          </cell>
          <cell r="Q21">
            <v>0</v>
          </cell>
          <cell r="R21">
            <v>0</v>
          </cell>
          <cell r="S21">
            <v>0</v>
          </cell>
          <cell r="T21">
            <v>1</v>
          </cell>
          <cell r="U21">
            <v>2</v>
          </cell>
          <cell r="V21">
            <v>1</v>
          </cell>
          <cell r="W21">
            <v>0</v>
          </cell>
          <cell r="X21">
            <v>0</v>
          </cell>
          <cell r="Y21">
            <v>2</v>
          </cell>
          <cell r="Z21">
            <v>6</v>
          </cell>
          <cell r="AA21">
            <v>0</v>
          </cell>
          <cell r="AB21">
            <v>3</v>
          </cell>
          <cell r="AC21">
            <v>3</v>
          </cell>
          <cell r="AD21">
            <v>2</v>
          </cell>
          <cell r="AE21">
            <v>6</v>
          </cell>
          <cell r="AF21">
            <v>3</v>
          </cell>
        </row>
      </sheetData>
      <sheetData sheetId="3" refreshError="1"/>
      <sheetData sheetId="4" refreshError="1"/>
      <sheetData sheetId="5" refreshError="1"/>
      <sheetData sheetId="6" refreshError="1"/>
      <sheetData sheetId="7" refreshError="1"/>
      <sheetData sheetId="8" refreshError="1"/>
      <sheetData sheetId="9">
        <row r="21">
          <cell r="G21">
            <v>4</v>
          </cell>
          <cell r="H21">
            <v>1</v>
          </cell>
          <cell r="I21">
            <v>4</v>
          </cell>
          <cell r="J21">
            <v>3</v>
          </cell>
          <cell r="K21">
            <v>2</v>
          </cell>
          <cell r="L21">
            <v>2</v>
          </cell>
          <cell r="M21">
            <v>0</v>
          </cell>
          <cell r="N21">
            <v>2</v>
          </cell>
          <cell r="O21">
            <v>0</v>
          </cell>
          <cell r="P21">
            <v>1</v>
          </cell>
          <cell r="Q21">
            <v>1</v>
          </cell>
          <cell r="R21">
            <v>1</v>
          </cell>
          <cell r="S21">
            <v>1</v>
          </cell>
          <cell r="T21">
            <v>2</v>
          </cell>
          <cell r="U21">
            <v>0</v>
          </cell>
          <cell r="V21">
            <v>0</v>
          </cell>
          <cell r="W21">
            <v>2</v>
          </cell>
          <cell r="X21">
            <v>1</v>
          </cell>
          <cell r="Y21">
            <v>2</v>
          </cell>
          <cell r="Z21">
            <v>5</v>
          </cell>
        </row>
        <row r="22">
          <cell r="G22">
            <v>0</v>
          </cell>
          <cell r="H22">
            <v>0</v>
          </cell>
          <cell r="I22">
            <v>0</v>
          </cell>
          <cell r="J22">
            <v>0</v>
          </cell>
          <cell r="K22">
            <v>0</v>
          </cell>
          <cell r="L22">
            <v>0</v>
          </cell>
          <cell r="M22">
            <v>0</v>
          </cell>
          <cell r="N22">
            <v>0</v>
          </cell>
          <cell r="O22">
            <v>0</v>
          </cell>
          <cell r="P22">
            <v>0</v>
          </cell>
          <cell r="Q22">
            <v>4</v>
          </cell>
          <cell r="R22">
            <v>0</v>
          </cell>
          <cell r="S22">
            <v>0</v>
          </cell>
          <cell r="T22">
            <v>0</v>
          </cell>
          <cell r="U22">
            <v>0</v>
          </cell>
          <cell r="V22">
            <v>0</v>
          </cell>
          <cell r="W22">
            <v>0</v>
          </cell>
          <cell r="X22">
            <v>7</v>
          </cell>
          <cell r="Y22">
            <v>1</v>
          </cell>
          <cell r="Z22">
            <v>10</v>
          </cell>
        </row>
        <row r="23">
          <cell r="G23">
            <v>0</v>
          </cell>
          <cell r="H23">
            <v>0</v>
          </cell>
          <cell r="I23">
            <v>0</v>
          </cell>
          <cell r="J23">
            <v>0</v>
          </cell>
          <cell r="K23">
            <v>0</v>
          </cell>
          <cell r="L23">
            <v>0</v>
          </cell>
          <cell r="M23">
            <v>0</v>
          </cell>
          <cell r="N23">
            <v>1</v>
          </cell>
          <cell r="O23">
            <v>0</v>
          </cell>
          <cell r="P23">
            <v>2</v>
          </cell>
          <cell r="Q23">
            <v>1</v>
          </cell>
          <cell r="R23">
            <v>1</v>
          </cell>
          <cell r="S23">
            <v>0</v>
          </cell>
          <cell r="T23">
            <v>2</v>
          </cell>
          <cell r="U23">
            <v>0</v>
          </cell>
          <cell r="V23">
            <v>0</v>
          </cell>
          <cell r="W23">
            <v>3</v>
          </cell>
          <cell r="X23">
            <v>2</v>
          </cell>
          <cell r="Y23">
            <v>1</v>
          </cell>
          <cell r="Z23">
            <v>3</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1</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2</v>
          </cell>
          <cell r="X26">
            <v>0</v>
          </cell>
          <cell r="Y26">
            <v>1</v>
          </cell>
          <cell r="Z26">
            <v>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0</v>
          </cell>
          <cell r="G21">
            <v>5</v>
          </cell>
          <cell r="H21">
            <v>6</v>
          </cell>
          <cell r="I21">
            <v>8</v>
          </cell>
          <cell r="J21">
            <v>3</v>
          </cell>
          <cell r="K21">
            <v>5</v>
          </cell>
          <cell r="L21">
            <v>4</v>
          </cell>
          <cell r="M21">
            <v>3</v>
          </cell>
          <cell r="N21">
            <v>6</v>
          </cell>
          <cell r="O21">
            <v>3</v>
          </cell>
          <cell r="P21">
            <v>8</v>
          </cell>
          <cell r="Q21">
            <v>1</v>
          </cell>
          <cell r="R21">
            <v>4</v>
          </cell>
          <cell r="S21">
            <v>2</v>
          </cell>
          <cell r="T21">
            <v>7</v>
          </cell>
          <cell r="U21">
            <v>6</v>
          </cell>
          <cell r="V21">
            <v>2</v>
          </cell>
          <cell r="W21">
            <v>0</v>
          </cell>
          <cell r="X21">
            <v>1</v>
          </cell>
          <cell r="Y21">
            <v>12</v>
          </cell>
          <cell r="Z21">
            <v>14</v>
          </cell>
          <cell r="AA21">
            <v>13</v>
          </cell>
          <cell r="AB21">
            <v>11</v>
          </cell>
          <cell r="AC21">
            <v>10</v>
          </cell>
          <cell r="AD21">
            <v>10</v>
          </cell>
          <cell r="AE21">
            <v>12</v>
          </cell>
          <cell r="AF21">
            <v>14</v>
          </cell>
        </row>
      </sheetData>
      <sheetData sheetId="3" refreshError="1"/>
      <sheetData sheetId="4" refreshError="1"/>
      <sheetData sheetId="5" refreshError="1"/>
      <sheetData sheetId="6" refreshError="1"/>
      <sheetData sheetId="7" refreshError="1"/>
      <sheetData sheetId="8" refreshError="1"/>
      <sheetData sheetId="9">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46">
          <cell r="B46">
            <v>90</v>
          </cell>
        </row>
      </sheetData>
      <sheetData sheetId="2"/>
      <sheetData sheetId="3"/>
      <sheetData sheetId="4"/>
      <sheetData sheetId="5"/>
      <sheetData sheetId="6">
        <row r="13">
          <cell r="C13">
            <v>1026</v>
          </cell>
        </row>
        <row r="15">
          <cell r="C15">
            <v>28</v>
          </cell>
        </row>
        <row r="16">
          <cell r="C16">
            <v>4</v>
          </cell>
        </row>
        <row r="17">
          <cell r="C17">
            <v>2</v>
          </cell>
        </row>
        <row r="18">
          <cell r="C18">
            <v>2</v>
          </cell>
        </row>
        <row r="19">
          <cell r="C19">
            <v>6</v>
          </cell>
        </row>
        <row r="20">
          <cell r="C20">
            <v>1026</v>
          </cell>
        </row>
        <row r="21">
          <cell r="C21">
            <v>74</v>
          </cell>
        </row>
        <row r="22">
          <cell r="C22">
            <v>281</v>
          </cell>
        </row>
        <row r="23">
          <cell r="C23">
            <v>25</v>
          </cell>
        </row>
        <row r="24">
          <cell r="C24">
            <v>8</v>
          </cell>
        </row>
        <row r="25">
          <cell r="C25">
            <v>2</v>
          </cell>
        </row>
        <row r="26">
          <cell r="C26">
            <v>22</v>
          </cell>
        </row>
        <row r="27">
          <cell r="C27">
            <v>12</v>
          </cell>
        </row>
        <row r="28">
          <cell r="C28">
            <v>11</v>
          </cell>
        </row>
        <row r="29">
          <cell r="C29">
            <v>46</v>
          </cell>
        </row>
        <row r="30">
          <cell r="C30">
            <v>5</v>
          </cell>
        </row>
        <row r="31">
          <cell r="C31">
            <v>2</v>
          </cell>
        </row>
        <row r="32">
          <cell r="C32">
            <v>86</v>
          </cell>
        </row>
        <row r="33">
          <cell r="C33">
            <v>1</v>
          </cell>
        </row>
        <row r="34">
          <cell r="C34">
            <v>10</v>
          </cell>
        </row>
        <row r="35">
          <cell r="C35">
            <v>32</v>
          </cell>
        </row>
        <row r="36">
          <cell r="C36">
            <v>0</v>
          </cell>
        </row>
        <row r="37">
          <cell r="C37">
            <v>24</v>
          </cell>
        </row>
        <row r="38">
          <cell r="C38">
            <v>309</v>
          </cell>
        </row>
        <row r="39">
          <cell r="C39">
            <v>3</v>
          </cell>
        </row>
        <row r="40">
          <cell r="C40">
            <v>1</v>
          </cell>
        </row>
        <row r="41">
          <cell r="C41">
            <v>5</v>
          </cell>
        </row>
        <row r="42">
          <cell r="C42">
            <v>1</v>
          </cell>
        </row>
        <row r="43">
          <cell r="C43">
            <v>0</v>
          </cell>
        </row>
        <row r="44">
          <cell r="C44">
            <v>2</v>
          </cell>
        </row>
        <row r="45">
          <cell r="C45">
            <v>4</v>
          </cell>
        </row>
        <row r="46">
          <cell r="C46">
            <v>60</v>
          </cell>
        </row>
        <row r="47">
          <cell r="C47">
            <v>10</v>
          </cell>
        </row>
        <row r="48">
          <cell r="C48">
            <v>0</v>
          </cell>
        </row>
        <row r="49">
          <cell r="C49">
            <v>147</v>
          </cell>
        </row>
      </sheetData>
      <sheetData sheetId="7"/>
      <sheetData sheetId="8"/>
      <sheetData sheetId="9"/>
      <sheetData sheetId="10"/>
      <sheetData sheetId="11"/>
      <sheetData sheetId="12"/>
      <sheetData sheetId="1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2</v>
          </cell>
        </row>
      </sheetData>
      <sheetData sheetId="3">
        <row r="12">
          <cell r="F12">
            <v>0</v>
          </cell>
        </row>
      </sheetData>
      <sheetData sheetId="4">
        <row r="13">
          <cell r="F13">
            <v>0</v>
          </cell>
        </row>
      </sheetData>
      <sheetData sheetId="5">
        <row r="12">
          <cell r="G12">
            <v>0</v>
          </cell>
        </row>
      </sheetData>
      <sheetData sheetId="6">
        <row r="13">
          <cell r="C13">
            <v>173</v>
          </cell>
        </row>
        <row r="15">
          <cell r="C15">
            <v>10</v>
          </cell>
        </row>
        <row r="16">
          <cell r="C16">
            <v>2</v>
          </cell>
        </row>
        <row r="17">
          <cell r="C17">
            <v>0</v>
          </cell>
        </row>
        <row r="18">
          <cell r="C18">
            <v>4</v>
          </cell>
        </row>
        <row r="19">
          <cell r="C19">
            <v>6</v>
          </cell>
        </row>
        <row r="20">
          <cell r="C20">
            <v>173</v>
          </cell>
        </row>
        <row r="21">
          <cell r="C21">
            <v>17</v>
          </cell>
        </row>
        <row r="22">
          <cell r="C22">
            <v>27</v>
          </cell>
        </row>
        <row r="23">
          <cell r="C23">
            <v>8</v>
          </cell>
        </row>
        <row r="24">
          <cell r="C24">
            <v>1</v>
          </cell>
        </row>
        <row r="25">
          <cell r="C25">
            <v>0</v>
          </cell>
        </row>
        <row r="26">
          <cell r="C26">
            <v>2</v>
          </cell>
        </row>
        <row r="27">
          <cell r="C27">
            <v>1</v>
          </cell>
        </row>
        <row r="28">
          <cell r="C28">
            <v>3</v>
          </cell>
        </row>
        <row r="29">
          <cell r="C29">
            <v>24</v>
          </cell>
        </row>
        <row r="30">
          <cell r="C30">
            <v>1</v>
          </cell>
        </row>
        <row r="31">
          <cell r="C31">
            <v>0</v>
          </cell>
        </row>
        <row r="32">
          <cell r="C32">
            <v>27</v>
          </cell>
        </row>
        <row r="33">
          <cell r="C33">
            <v>0</v>
          </cell>
        </row>
        <row r="34">
          <cell r="C34">
            <v>12</v>
          </cell>
        </row>
        <row r="35">
          <cell r="C35">
            <v>10</v>
          </cell>
        </row>
        <row r="36">
          <cell r="C36">
            <v>1</v>
          </cell>
        </row>
        <row r="37">
          <cell r="C37">
            <v>15</v>
          </cell>
        </row>
        <row r="38">
          <cell r="C38">
            <v>45</v>
          </cell>
        </row>
        <row r="39">
          <cell r="C39">
            <v>3</v>
          </cell>
        </row>
        <row r="40">
          <cell r="C40">
            <v>0</v>
          </cell>
        </row>
        <row r="41">
          <cell r="C41">
            <v>0</v>
          </cell>
        </row>
        <row r="42">
          <cell r="C42">
            <v>1</v>
          </cell>
        </row>
        <row r="43">
          <cell r="C43">
            <v>0</v>
          </cell>
        </row>
        <row r="44">
          <cell r="C44">
            <v>1</v>
          </cell>
        </row>
        <row r="45">
          <cell r="C45">
            <v>2</v>
          </cell>
        </row>
        <row r="46">
          <cell r="C46">
            <v>9</v>
          </cell>
        </row>
        <row r="47">
          <cell r="C47">
            <v>3</v>
          </cell>
        </row>
        <row r="48">
          <cell r="C48">
            <v>0</v>
          </cell>
        </row>
        <row r="49">
          <cell r="C49">
            <v>6</v>
          </cell>
        </row>
      </sheetData>
      <sheetData sheetId="7">
        <row r="10">
          <cell r="C10">
            <v>0</v>
          </cell>
        </row>
      </sheetData>
      <sheetData sheetId="8">
        <row r="12">
          <cell r="G12">
            <v>22</v>
          </cell>
        </row>
      </sheetData>
      <sheetData sheetId="9">
        <row r="12">
          <cell r="P12">
            <v>0</v>
          </cell>
        </row>
      </sheetData>
      <sheetData sheetId="10">
        <row r="10">
          <cell r="B10">
            <v>74</v>
          </cell>
        </row>
      </sheetData>
      <sheetData sheetId="11">
        <row r="12">
          <cell r="E12">
            <v>7</v>
          </cell>
        </row>
      </sheetData>
      <sheetData sheetId="12"/>
      <sheetData sheetId="1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5</v>
          </cell>
        </row>
      </sheetData>
      <sheetData sheetId="3">
        <row r="12">
          <cell r="F12">
            <v>17</v>
          </cell>
        </row>
      </sheetData>
      <sheetData sheetId="4">
        <row r="13">
          <cell r="F13">
            <v>0</v>
          </cell>
        </row>
      </sheetData>
      <sheetData sheetId="5">
        <row r="12">
          <cell r="G12">
            <v>15</v>
          </cell>
        </row>
      </sheetData>
      <sheetData sheetId="6">
        <row r="13">
          <cell r="C13">
            <v>990</v>
          </cell>
        </row>
        <row r="15">
          <cell r="C15">
            <v>70</v>
          </cell>
        </row>
        <row r="16">
          <cell r="C16">
            <v>17</v>
          </cell>
        </row>
        <row r="17">
          <cell r="C17">
            <v>5</v>
          </cell>
        </row>
        <row r="18">
          <cell r="C18">
            <v>41</v>
          </cell>
        </row>
        <row r="19">
          <cell r="C19">
            <v>6</v>
          </cell>
        </row>
        <row r="20">
          <cell r="C20">
            <v>990</v>
          </cell>
        </row>
        <row r="21">
          <cell r="C21">
            <v>127</v>
          </cell>
        </row>
        <row r="22">
          <cell r="C22">
            <v>77</v>
          </cell>
        </row>
        <row r="23">
          <cell r="C23">
            <v>31</v>
          </cell>
        </row>
        <row r="24">
          <cell r="C24">
            <v>4</v>
          </cell>
        </row>
        <row r="25">
          <cell r="C25">
            <v>4</v>
          </cell>
        </row>
        <row r="26">
          <cell r="C26">
            <v>28</v>
          </cell>
        </row>
        <row r="27">
          <cell r="C27">
            <v>23</v>
          </cell>
        </row>
        <row r="28">
          <cell r="C28">
            <v>38</v>
          </cell>
        </row>
        <row r="29">
          <cell r="C29">
            <v>39</v>
          </cell>
        </row>
        <row r="30">
          <cell r="C30">
            <v>2</v>
          </cell>
        </row>
        <row r="31">
          <cell r="C31">
            <v>3</v>
          </cell>
        </row>
        <row r="32">
          <cell r="C32">
            <v>135</v>
          </cell>
        </row>
        <row r="33">
          <cell r="C33">
            <v>5</v>
          </cell>
        </row>
        <row r="34">
          <cell r="C34">
            <v>6</v>
          </cell>
        </row>
        <row r="35">
          <cell r="C35">
            <v>23</v>
          </cell>
        </row>
        <row r="36">
          <cell r="C36">
            <v>0</v>
          </cell>
        </row>
        <row r="37">
          <cell r="C37">
            <v>41</v>
          </cell>
        </row>
        <row r="38">
          <cell r="C38">
            <v>581</v>
          </cell>
        </row>
        <row r="39">
          <cell r="C39">
            <v>2</v>
          </cell>
        </row>
        <row r="40">
          <cell r="C40">
            <v>5</v>
          </cell>
        </row>
        <row r="41">
          <cell r="C41">
            <v>1</v>
          </cell>
        </row>
        <row r="42">
          <cell r="C42">
            <v>0</v>
          </cell>
        </row>
        <row r="43">
          <cell r="C43">
            <v>1</v>
          </cell>
        </row>
        <row r="44">
          <cell r="C44">
            <v>6</v>
          </cell>
        </row>
        <row r="45">
          <cell r="C45">
            <v>23</v>
          </cell>
        </row>
        <row r="46">
          <cell r="C46">
            <v>65</v>
          </cell>
        </row>
        <row r="47">
          <cell r="C47">
            <v>9</v>
          </cell>
        </row>
        <row r="48">
          <cell r="C48">
            <v>2</v>
          </cell>
        </row>
        <row r="49">
          <cell r="C49">
            <v>23</v>
          </cell>
        </row>
      </sheetData>
      <sheetData sheetId="7">
        <row r="10">
          <cell r="C10">
            <v>0</v>
          </cell>
        </row>
      </sheetData>
      <sheetData sheetId="8">
        <row r="12">
          <cell r="G12">
            <v>86</v>
          </cell>
        </row>
      </sheetData>
      <sheetData sheetId="9">
        <row r="12">
          <cell r="P12">
            <v>0</v>
          </cell>
        </row>
      </sheetData>
      <sheetData sheetId="10">
        <row r="10">
          <cell r="B10">
            <v>187</v>
          </cell>
        </row>
      </sheetData>
      <sheetData sheetId="11">
        <row r="12">
          <cell r="E12">
            <v>1</v>
          </cell>
        </row>
      </sheetData>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6</v>
          </cell>
        </row>
      </sheetData>
      <sheetData sheetId="3">
        <row r="12">
          <cell r="F12">
            <v>44</v>
          </cell>
        </row>
      </sheetData>
      <sheetData sheetId="4">
        <row r="13">
          <cell r="F13">
            <v>0</v>
          </cell>
        </row>
      </sheetData>
      <sheetData sheetId="5">
        <row r="12">
          <cell r="G12">
            <v>54</v>
          </cell>
        </row>
      </sheetData>
      <sheetData sheetId="6">
        <row r="13">
          <cell r="C13">
            <v>954</v>
          </cell>
        </row>
        <row r="15">
          <cell r="C15">
            <v>6</v>
          </cell>
        </row>
        <row r="16">
          <cell r="C16">
            <v>0</v>
          </cell>
        </row>
        <row r="17">
          <cell r="C17">
            <v>0</v>
          </cell>
        </row>
        <row r="18">
          <cell r="C18">
            <v>0</v>
          </cell>
        </row>
        <row r="19">
          <cell r="C19">
            <v>0</v>
          </cell>
        </row>
        <row r="20">
          <cell r="C20">
            <v>1129</v>
          </cell>
        </row>
        <row r="21">
          <cell r="C21">
            <v>36</v>
          </cell>
        </row>
        <row r="22">
          <cell r="C22">
            <v>283</v>
          </cell>
        </row>
        <row r="23">
          <cell r="C23">
            <v>13</v>
          </cell>
        </row>
        <row r="24">
          <cell r="C24">
            <v>0</v>
          </cell>
        </row>
        <row r="25">
          <cell r="C25">
            <v>3</v>
          </cell>
        </row>
        <row r="26">
          <cell r="C26">
            <v>39</v>
          </cell>
        </row>
        <row r="27">
          <cell r="C27">
            <v>18</v>
          </cell>
        </row>
        <row r="28">
          <cell r="C28">
            <v>4</v>
          </cell>
        </row>
        <row r="29">
          <cell r="C29">
            <v>81</v>
          </cell>
        </row>
        <row r="30">
          <cell r="C30">
            <v>5</v>
          </cell>
        </row>
        <row r="31">
          <cell r="C31">
            <v>0</v>
          </cell>
        </row>
        <row r="32">
          <cell r="C32">
            <v>15</v>
          </cell>
        </row>
        <row r="33">
          <cell r="C33">
            <v>3</v>
          </cell>
        </row>
        <row r="34">
          <cell r="C34">
            <v>0</v>
          </cell>
        </row>
        <row r="35">
          <cell r="C35">
            <v>62</v>
          </cell>
        </row>
        <row r="36">
          <cell r="C36">
            <v>2</v>
          </cell>
        </row>
        <row r="37">
          <cell r="C37">
            <v>30</v>
          </cell>
        </row>
        <row r="38">
          <cell r="C38">
            <v>322</v>
          </cell>
        </row>
        <row r="39">
          <cell r="C39">
            <v>0</v>
          </cell>
        </row>
        <row r="40">
          <cell r="C40">
            <v>13</v>
          </cell>
        </row>
        <row r="41">
          <cell r="C41">
            <v>0</v>
          </cell>
        </row>
        <row r="42">
          <cell r="C42">
            <v>2</v>
          </cell>
        </row>
        <row r="43">
          <cell r="C43">
            <v>0</v>
          </cell>
        </row>
        <row r="44">
          <cell r="C44">
            <v>2</v>
          </cell>
        </row>
        <row r="45">
          <cell r="C45">
            <v>8</v>
          </cell>
        </row>
        <row r="46">
          <cell r="C46">
            <v>13</v>
          </cell>
        </row>
        <row r="47">
          <cell r="C47">
            <v>1</v>
          </cell>
        </row>
        <row r="48">
          <cell r="C48">
            <v>27</v>
          </cell>
        </row>
        <row r="49">
          <cell r="C49">
            <v>147</v>
          </cell>
        </row>
      </sheetData>
      <sheetData sheetId="7">
        <row r="10">
          <cell r="C10">
            <v>1828</v>
          </cell>
        </row>
      </sheetData>
      <sheetData sheetId="8">
        <row r="12">
          <cell r="G12">
            <v>40</v>
          </cell>
        </row>
      </sheetData>
      <sheetData sheetId="9">
        <row r="12">
          <cell r="P12">
            <v>0</v>
          </cell>
        </row>
      </sheetData>
      <sheetData sheetId="10">
        <row r="10">
          <cell r="B10">
            <v>78</v>
          </cell>
        </row>
      </sheetData>
      <sheetData sheetId="11">
        <row r="12">
          <cell r="E12">
            <v>17</v>
          </cell>
        </row>
      </sheetData>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0</v>
          </cell>
        </row>
      </sheetData>
      <sheetData sheetId="4">
        <row r="13">
          <cell r="F13">
            <v>0</v>
          </cell>
        </row>
      </sheetData>
      <sheetData sheetId="5">
        <row r="12">
          <cell r="G12">
            <v>15</v>
          </cell>
        </row>
      </sheetData>
      <sheetData sheetId="6">
        <row r="13">
          <cell r="C13">
            <v>34</v>
          </cell>
        </row>
        <row r="15">
          <cell r="C15">
            <v>0</v>
          </cell>
        </row>
        <row r="16">
          <cell r="C16">
            <v>0</v>
          </cell>
        </row>
        <row r="17">
          <cell r="C17">
            <v>0</v>
          </cell>
        </row>
        <row r="18">
          <cell r="C18">
            <v>0</v>
          </cell>
        </row>
        <row r="19">
          <cell r="C19">
            <v>0</v>
          </cell>
        </row>
        <row r="20">
          <cell r="C20">
            <v>38</v>
          </cell>
        </row>
        <row r="21">
          <cell r="C21">
            <v>4</v>
          </cell>
        </row>
        <row r="22">
          <cell r="C22">
            <v>12</v>
          </cell>
        </row>
        <row r="23">
          <cell r="C23">
            <v>0</v>
          </cell>
        </row>
        <row r="24">
          <cell r="C24">
            <v>0</v>
          </cell>
        </row>
        <row r="25">
          <cell r="C25">
            <v>0</v>
          </cell>
        </row>
        <row r="26">
          <cell r="C26">
            <v>0</v>
          </cell>
        </row>
        <row r="27">
          <cell r="C27">
            <v>1</v>
          </cell>
        </row>
        <row r="28">
          <cell r="C28">
            <v>0</v>
          </cell>
        </row>
        <row r="29">
          <cell r="C29">
            <v>2</v>
          </cell>
        </row>
        <row r="30">
          <cell r="C30">
            <v>0</v>
          </cell>
        </row>
        <row r="31">
          <cell r="C31">
            <v>0</v>
          </cell>
        </row>
        <row r="32">
          <cell r="C32">
            <v>1</v>
          </cell>
        </row>
        <row r="33">
          <cell r="C33">
            <v>0</v>
          </cell>
        </row>
        <row r="34">
          <cell r="C34">
            <v>0</v>
          </cell>
        </row>
        <row r="35">
          <cell r="C35">
            <v>0</v>
          </cell>
        </row>
        <row r="36">
          <cell r="C36">
            <v>1</v>
          </cell>
        </row>
        <row r="37">
          <cell r="C37">
            <v>5</v>
          </cell>
        </row>
        <row r="38">
          <cell r="C38">
            <v>6</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6</v>
          </cell>
        </row>
      </sheetData>
      <sheetData sheetId="7">
        <row r="10">
          <cell r="C10">
            <v>0</v>
          </cell>
        </row>
      </sheetData>
      <sheetData sheetId="8">
        <row r="12">
          <cell r="G12">
            <v>26</v>
          </cell>
        </row>
      </sheetData>
      <sheetData sheetId="9">
        <row r="12">
          <cell r="P12">
            <v>0</v>
          </cell>
        </row>
      </sheetData>
      <sheetData sheetId="10">
        <row r="10">
          <cell r="B10">
            <v>14</v>
          </cell>
        </row>
      </sheetData>
      <sheetData sheetId="11">
        <row r="12">
          <cell r="E12">
            <v>0</v>
          </cell>
        </row>
      </sheetData>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6</v>
          </cell>
        </row>
      </sheetData>
      <sheetData sheetId="3">
        <row r="12">
          <cell r="F12">
            <v>12</v>
          </cell>
        </row>
      </sheetData>
      <sheetData sheetId="4">
        <row r="13">
          <cell r="F13">
            <v>0</v>
          </cell>
        </row>
      </sheetData>
      <sheetData sheetId="5">
        <row r="12">
          <cell r="G12">
            <v>45</v>
          </cell>
        </row>
      </sheetData>
      <sheetData sheetId="6">
        <row r="13">
          <cell r="C13">
            <v>444</v>
          </cell>
        </row>
        <row r="15">
          <cell r="C15">
            <v>4</v>
          </cell>
        </row>
        <row r="16">
          <cell r="C16">
            <v>0</v>
          </cell>
        </row>
        <row r="17">
          <cell r="C17">
            <v>0</v>
          </cell>
        </row>
        <row r="18">
          <cell r="C18">
            <v>0</v>
          </cell>
        </row>
        <row r="19">
          <cell r="C19">
            <v>1</v>
          </cell>
        </row>
        <row r="20">
          <cell r="C20">
            <v>439</v>
          </cell>
        </row>
        <row r="21">
          <cell r="C21">
            <v>6</v>
          </cell>
        </row>
        <row r="22">
          <cell r="C22">
            <v>103</v>
          </cell>
        </row>
        <row r="23">
          <cell r="C23">
            <v>6</v>
          </cell>
        </row>
        <row r="24">
          <cell r="C24">
            <v>1</v>
          </cell>
        </row>
        <row r="25">
          <cell r="C25">
            <v>0</v>
          </cell>
        </row>
        <row r="26">
          <cell r="C26">
            <v>7</v>
          </cell>
        </row>
        <row r="27">
          <cell r="C27">
            <v>4</v>
          </cell>
        </row>
        <row r="28">
          <cell r="C28">
            <v>6</v>
          </cell>
        </row>
        <row r="29">
          <cell r="C29">
            <v>12</v>
          </cell>
        </row>
        <row r="30">
          <cell r="C30">
            <v>0</v>
          </cell>
        </row>
        <row r="31">
          <cell r="C31">
            <v>0</v>
          </cell>
        </row>
        <row r="32">
          <cell r="C32">
            <v>8</v>
          </cell>
        </row>
        <row r="33">
          <cell r="C33">
            <v>4</v>
          </cell>
        </row>
        <row r="34">
          <cell r="C34">
            <v>2</v>
          </cell>
        </row>
        <row r="35">
          <cell r="C35">
            <v>29</v>
          </cell>
        </row>
        <row r="36">
          <cell r="C36">
            <v>0</v>
          </cell>
        </row>
        <row r="37">
          <cell r="C37">
            <v>12</v>
          </cell>
        </row>
        <row r="38">
          <cell r="C38">
            <v>144</v>
          </cell>
        </row>
        <row r="39">
          <cell r="C39">
            <v>4</v>
          </cell>
        </row>
        <row r="40">
          <cell r="C40">
            <v>8</v>
          </cell>
        </row>
        <row r="41">
          <cell r="C41">
            <v>0</v>
          </cell>
        </row>
        <row r="42">
          <cell r="C42">
            <v>0</v>
          </cell>
        </row>
        <row r="43">
          <cell r="C43">
            <v>0</v>
          </cell>
        </row>
        <row r="44">
          <cell r="C44">
            <v>1</v>
          </cell>
        </row>
        <row r="45">
          <cell r="C45">
            <v>1</v>
          </cell>
        </row>
        <row r="46">
          <cell r="C46">
            <v>10</v>
          </cell>
        </row>
        <row r="47">
          <cell r="C47">
            <v>3</v>
          </cell>
        </row>
        <row r="48">
          <cell r="C48">
            <v>3</v>
          </cell>
        </row>
        <row r="49">
          <cell r="C49">
            <v>65</v>
          </cell>
        </row>
      </sheetData>
      <sheetData sheetId="7">
        <row r="10">
          <cell r="C10">
            <v>1936</v>
          </cell>
        </row>
      </sheetData>
      <sheetData sheetId="8">
        <row r="12">
          <cell r="G12">
            <v>116</v>
          </cell>
        </row>
      </sheetData>
      <sheetData sheetId="9">
        <row r="12">
          <cell r="P12">
            <v>0</v>
          </cell>
        </row>
      </sheetData>
      <sheetData sheetId="10">
        <row r="10">
          <cell r="B10">
            <v>80</v>
          </cell>
        </row>
      </sheetData>
      <sheetData sheetId="11">
        <row r="12">
          <cell r="E12">
            <v>30</v>
          </cell>
        </row>
      </sheetData>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3</v>
          </cell>
        </row>
      </sheetData>
      <sheetData sheetId="3">
        <row r="12">
          <cell r="F12">
            <v>26</v>
          </cell>
        </row>
      </sheetData>
      <sheetData sheetId="4">
        <row r="13">
          <cell r="F13">
            <v>0</v>
          </cell>
        </row>
      </sheetData>
      <sheetData sheetId="5">
        <row r="12">
          <cell r="G12">
            <v>57</v>
          </cell>
        </row>
      </sheetData>
      <sheetData sheetId="6">
        <row r="13">
          <cell r="C13">
            <v>395</v>
          </cell>
        </row>
        <row r="15">
          <cell r="C15">
            <v>0</v>
          </cell>
        </row>
        <row r="16">
          <cell r="C16">
            <v>2</v>
          </cell>
        </row>
        <row r="17">
          <cell r="C17">
            <v>3</v>
          </cell>
        </row>
        <row r="18">
          <cell r="C18">
            <v>0</v>
          </cell>
        </row>
        <row r="19">
          <cell r="C19">
            <v>0</v>
          </cell>
        </row>
        <row r="20">
          <cell r="C20">
            <v>390</v>
          </cell>
        </row>
        <row r="21">
          <cell r="C21">
            <v>3</v>
          </cell>
        </row>
        <row r="22">
          <cell r="C22">
            <v>62</v>
          </cell>
        </row>
        <row r="23">
          <cell r="C23">
            <v>20</v>
          </cell>
        </row>
        <row r="24">
          <cell r="C24">
            <v>0</v>
          </cell>
        </row>
        <row r="25">
          <cell r="C25">
            <v>4</v>
          </cell>
        </row>
        <row r="26">
          <cell r="C26">
            <v>4</v>
          </cell>
        </row>
        <row r="27">
          <cell r="C27">
            <v>8</v>
          </cell>
        </row>
        <row r="28">
          <cell r="C28">
            <v>0</v>
          </cell>
        </row>
        <row r="29">
          <cell r="C29">
            <v>18</v>
          </cell>
        </row>
        <row r="30">
          <cell r="C30">
            <v>4</v>
          </cell>
        </row>
        <row r="31">
          <cell r="C31">
            <v>1</v>
          </cell>
        </row>
        <row r="32">
          <cell r="C32">
            <v>38</v>
          </cell>
        </row>
        <row r="33">
          <cell r="C33">
            <v>1</v>
          </cell>
        </row>
        <row r="34">
          <cell r="C34">
            <v>1</v>
          </cell>
        </row>
        <row r="35">
          <cell r="C35">
            <v>10</v>
          </cell>
        </row>
        <row r="36">
          <cell r="C36">
            <v>0</v>
          </cell>
        </row>
        <row r="37">
          <cell r="C37">
            <v>8</v>
          </cell>
        </row>
        <row r="38">
          <cell r="C38">
            <v>186</v>
          </cell>
        </row>
        <row r="39">
          <cell r="C39">
            <v>0</v>
          </cell>
        </row>
        <row r="40">
          <cell r="C40">
            <v>3</v>
          </cell>
        </row>
        <row r="41">
          <cell r="C41">
            <v>0</v>
          </cell>
        </row>
        <row r="42">
          <cell r="C42">
            <v>1</v>
          </cell>
        </row>
        <row r="43">
          <cell r="C43">
            <v>0</v>
          </cell>
        </row>
        <row r="44">
          <cell r="C44">
            <v>0</v>
          </cell>
        </row>
        <row r="45">
          <cell r="C45">
            <v>8</v>
          </cell>
        </row>
        <row r="46">
          <cell r="C46">
            <v>14</v>
          </cell>
        </row>
        <row r="47">
          <cell r="C47">
            <v>0</v>
          </cell>
        </row>
        <row r="48">
          <cell r="C48">
            <v>0</v>
          </cell>
        </row>
        <row r="49">
          <cell r="C49">
            <v>8</v>
          </cell>
        </row>
      </sheetData>
      <sheetData sheetId="7">
        <row r="10">
          <cell r="C10">
            <v>0</v>
          </cell>
        </row>
      </sheetData>
      <sheetData sheetId="8">
        <row r="12">
          <cell r="G12">
            <v>115</v>
          </cell>
        </row>
      </sheetData>
      <sheetData sheetId="9">
        <row r="12">
          <cell r="P12">
            <v>0</v>
          </cell>
        </row>
      </sheetData>
      <sheetData sheetId="10">
        <row r="10">
          <cell r="B10">
            <v>48</v>
          </cell>
        </row>
      </sheetData>
      <sheetData sheetId="11">
        <row r="12">
          <cell r="E12">
            <v>79</v>
          </cell>
        </row>
      </sheetData>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7</v>
          </cell>
        </row>
      </sheetData>
      <sheetData sheetId="3">
        <row r="12">
          <cell r="F12">
            <v>29</v>
          </cell>
        </row>
      </sheetData>
      <sheetData sheetId="4">
        <row r="13">
          <cell r="F13">
            <v>0</v>
          </cell>
        </row>
      </sheetData>
      <sheetData sheetId="5">
        <row r="12">
          <cell r="G12">
            <v>28</v>
          </cell>
        </row>
      </sheetData>
      <sheetData sheetId="6">
        <row r="13">
          <cell r="C13">
            <v>1340</v>
          </cell>
        </row>
        <row r="15">
          <cell r="C15">
            <v>8</v>
          </cell>
        </row>
        <row r="16">
          <cell r="C16">
            <v>3</v>
          </cell>
        </row>
        <row r="17">
          <cell r="C17">
            <v>3</v>
          </cell>
        </row>
        <row r="18">
          <cell r="C18">
            <v>0</v>
          </cell>
        </row>
        <row r="19">
          <cell r="C19">
            <v>0</v>
          </cell>
        </row>
        <row r="20">
          <cell r="C20">
            <v>1329</v>
          </cell>
        </row>
        <row r="21">
          <cell r="C21">
            <v>72</v>
          </cell>
        </row>
        <row r="22">
          <cell r="C22">
            <v>285</v>
          </cell>
        </row>
        <row r="23">
          <cell r="C23">
            <v>38</v>
          </cell>
        </row>
        <row r="24">
          <cell r="C24">
            <v>2</v>
          </cell>
        </row>
        <row r="25">
          <cell r="C25">
            <v>2</v>
          </cell>
        </row>
        <row r="26">
          <cell r="C26">
            <v>29</v>
          </cell>
        </row>
        <row r="27">
          <cell r="C27">
            <v>24</v>
          </cell>
        </row>
        <row r="28">
          <cell r="C28">
            <v>13</v>
          </cell>
        </row>
        <row r="29">
          <cell r="C29">
            <v>28</v>
          </cell>
        </row>
        <row r="30">
          <cell r="C30">
            <v>2</v>
          </cell>
        </row>
        <row r="31">
          <cell r="C31">
            <v>3</v>
          </cell>
        </row>
        <row r="32">
          <cell r="C32">
            <v>72</v>
          </cell>
        </row>
        <row r="33">
          <cell r="C33">
            <v>4</v>
          </cell>
        </row>
        <row r="34">
          <cell r="C34">
            <v>4</v>
          </cell>
        </row>
        <row r="35">
          <cell r="C35">
            <v>42</v>
          </cell>
        </row>
        <row r="36">
          <cell r="C36">
            <v>0</v>
          </cell>
        </row>
        <row r="37">
          <cell r="C37">
            <v>39</v>
          </cell>
        </row>
        <row r="38">
          <cell r="C38">
            <v>518</v>
          </cell>
        </row>
        <row r="39">
          <cell r="C39">
            <v>20</v>
          </cell>
        </row>
        <row r="40">
          <cell r="C40">
            <v>34</v>
          </cell>
        </row>
        <row r="41">
          <cell r="C41">
            <v>6</v>
          </cell>
        </row>
        <row r="42">
          <cell r="C42">
            <v>0</v>
          </cell>
        </row>
        <row r="43">
          <cell r="C43">
            <v>0</v>
          </cell>
        </row>
        <row r="44">
          <cell r="C44">
            <v>6</v>
          </cell>
        </row>
        <row r="45">
          <cell r="C45">
            <v>9</v>
          </cell>
        </row>
        <row r="46">
          <cell r="C46">
            <v>28</v>
          </cell>
        </row>
        <row r="47">
          <cell r="C47">
            <v>4</v>
          </cell>
        </row>
        <row r="48">
          <cell r="C48">
            <v>0</v>
          </cell>
        </row>
        <row r="49">
          <cell r="C49">
            <v>196</v>
          </cell>
        </row>
      </sheetData>
      <sheetData sheetId="7">
        <row r="10">
          <cell r="C10">
            <v>2248</v>
          </cell>
        </row>
      </sheetData>
      <sheetData sheetId="8">
        <row r="12">
          <cell r="G12">
            <v>143</v>
          </cell>
        </row>
      </sheetData>
      <sheetData sheetId="9">
        <row r="12">
          <cell r="P12">
            <v>0</v>
          </cell>
        </row>
      </sheetData>
      <sheetData sheetId="10">
        <row r="10">
          <cell r="B10">
            <v>240</v>
          </cell>
        </row>
      </sheetData>
      <sheetData sheetId="11">
        <row r="12">
          <cell r="E12">
            <v>0</v>
          </cell>
        </row>
      </sheetData>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sheetData sheetId="1"/>
      <sheetData sheetId="2"/>
      <sheetData sheetId="3"/>
      <sheetData sheetId="4"/>
      <sheetData sheetId="5"/>
      <sheetData sheetId="6"/>
      <sheetData sheetId="7"/>
      <sheetData sheetId="8">
        <row r="12">
          <cell r="E12">
            <v>1476</v>
          </cell>
          <cell r="F12">
            <v>1165</v>
          </cell>
          <cell r="G12">
            <v>1390</v>
          </cell>
          <cell r="H12">
            <v>1176</v>
          </cell>
          <cell r="I12">
            <v>1057</v>
          </cell>
          <cell r="J12">
            <v>959</v>
          </cell>
          <cell r="K12">
            <v>1153</v>
          </cell>
          <cell r="L12">
            <v>1226</v>
          </cell>
          <cell r="M12">
            <v>1666</v>
          </cell>
          <cell r="N12">
            <v>1612</v>
          </cell>
          <cell r="O12">
            <v>1767</v>
          </cell>
          <cell r="P12">
            <v>1859</v>
          </cell>
          <cell r="Q12">
            <v>1653</v>
          </cell>
          <cell r="R12">
            <v>1540</v>
          </cell>
          <cell r="S12">
            <v>1454</v>
          </cell>
          <cell r="T12">
            <v>1444</v>
          </cell>
          <cell r="U12">
            <v>1262</v>
          </cell>
          <cell r="V12">
            <v>1288</v>
          </cell>
          <cell r="W12">
            <v>1188</v>
          </cell>
          <cell r="X12">
            <v>1398</v>
          </cell>
          <cell r="Y12">
            <v>1195</v>
          </cell>
          <cell r="Z12">
            <v>1555</v>
          </cell>
          <cell r="AA12">
            <v>1252</v>
          </cell>
          <cell r="AB12">
            <v>1580</v>
          </cell>
          <cell r="AC12">
            <v>1220</v>
          </cell>
          <cell r="AD12">
            <v>1309</v>
          </cell>
          <cell r="AE12">
            <v>1180</v>
          </cell>
          <cell r="AF12">
            <v>1107</v>
          </cell>
          <cell r="AG12">
            <v>994</v>
          </cell>
          <cell r="AH12">
            <v>1026</v>
          </cell>
          <cell r="AI12">
            <v>816</v>
          </cell>
          <cell r="AJ12">
            <v>895</v>
          </cell>
          <cell r="AK12">
            <v>1163</v>
          </cell>
          <cell r="AL12">
            <v>1734</v>
          </cell>
        </row>
        <row r="13">
          <cell r="B13">
            <v>4921</v>
          </cell>
        </row>
        <row r="57">
          <cell r="B57">
            <v>193</v>
          </cell>
        </row>
        <row r="58">
          <cell r="B58">
            <v>1498</v>
          </cell>
        </row>
        <row r="59">
          <cell r="B59">
            <v>20854</v>
          </cell>
        </row>
        <row r="60">
          <cell r="B60">
            <v>20216</v>
          </cell>
        </row>
        <row r="61">
          <cell r="B61">
            <v>1998</v>
          </cell>
        </row>
        <row r="62">
          <cell r="B62">
            <v>0</v>
          </cell>
        </row>
      </sheetData>
      <sheetData sheetId="9"/>
      <sheetData sheetId="10"/>
      <sheetData sheetId="11"/>
      <sheetData sheetId="12">
        <row r="11">
          <cell r="B11">
            <v>358</v>
          </cell>
          <cell r="E11">
            <v>219</v>
          </cell>
          <cell r="F11">
            <v>143</v>
          </cell>
        </row>
        <row r="25">
          <cell r="B25">
            <v>1444</v>
          </cell>
        </row>
        <row r="26">
          <cell r="B26">
            <v>16</v>
          </cell>
        </row>
        <row r="27">
          <cell r="B27">
            <v>230</v>
          </cell>
        </row>
        <row r="28">
          <cell r="B28">
            <v>87</v>
          </cell>
        </row>
        <row r="29">
          <cell r="B29">
            <v>97</v>
          </cell>
        </row>
      </sheetData>
      <sheetData sheetId="13"/>
      <sheetData sheetId="14"/>
      <sheetData sheetId="15">
        <row r="51">
          <cell r="B51">
            <v>5</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5</v>
          </cell>
        </row>
      </sheetData>
      <sheetData sheetId="2">
        <row r="11">
          <cell r="F11">
            <v>32</v>
          </cell>
        </row>
      </sheetData>
      <sheetData sheetId="3">
        <row r="12">
          <cell r="F12">
            <v>89</v>
          </cell>
        </row>
      </sheetData>
      <sheetData sheetId="4">
        <row r="13">
          <cell r="F13">
            <v>1</v>
          </cell>
        </row>
      </sheetData>
      <sheetData sheetId="5">
        <row r="12">
          <cell r="G12">
            <v>23</v>
          </cell>
        </row>
      </sheetData>
      <sheetData sheetId="6">
        <row r="13">
          <cell r="C13">
            <v>1406</v>
          </cell>
        </row>
        <row r="15">
          <cell r="C15">
            <v>56</v>
          </cell>
        </row>
        <row r="16">
          <cell r="C16">
            <v>15</v>
          </cell>
        </row>
        <row r="17">
          <cell r="C17">
            <v>18</v>
          </cell>
        </row>
        <row r="18">
          <cell r="C18">
            <v>40</v>
          </cell>
        </row>
        <row r="19">
          <cell r="C19">
            <v>20</v>
          </cell>
        </row>
        <row r="20">
          <cell r="C20">
            <v>1406</v>
          </cell>
        </row>
        <row r="21">
          <cell r="C21">
            <v>50</v>
          </cell>
        </row>
        <row r="22">
          <cell r="C22">
            <v>245</v>
          </cell>
        </row>
        <row r="23">
          <cell r="C23">
            <v>33</v>
          </cell>
        </row>
        <row r="24">
          <cell r="C24">
            <v>2</v>
          </cell>
        </row>
        <row r="25">
          <cell r="C25">
            <v>3</v>
          </cell>
        </row>
        <row r="26">
          <cell r="C26">
            <v>33</v>
          </cell>
        </row>
        <row r="27">
          <cell r="C27">
            <v>39</v>
          </cell>
        </row>
        <row r="28">
          <cell r="C28">
            <v>20</v>
          </cell>
        </row>
        <row r="29">
          <cell r="C29">
            <v>93</v>
          </cell>
        </row>
        <row r="30">
          <cell r="C30">
            <v>11</v>
          </cell>
        </row>
        <row r="31">
          <cell r="C31">
            <v>2</v>
          </cell>
        </row>
        <row r="32">
          <cell r="C32">
            <v>234</v>
          </cell>
        </row>
        <row r="33">
          <cell r="C33">
            <v>8</v>
          </cell>
        </row>
        <row r="34">
          <cell r="C34">
            <v>20</v>
          </cell>
        </row>
        <row r="35">
          <cell r="C35">
            <v>55</v>
          </cell>
        </row>
        <row r="36">
          <cell r="C36">
            <v>2</v>
          </cell>
        </row>
        <row r="37">
          <cell r="C37">
            <v>20</v>
          </cell>
        </row>
        <row r="38">
          <cell r="C38">
            <v>530</v>
          </cell>
        </row>
        <row r="39">
          <cell r="C39">
            <v>8</v>
          </cell>
        </row>
        <row r="40">
          <cell r="C40">
            <v>5</v>
          </cell>
        </row>
        <row r="41">
          <cell r="C41">
            <v>0</v>
          </cell>
        </row>
        <row r="42">
          <cell r="C42">
            <v>0</v>
          </cell>
        </row>
        <row r="43">
          <cell r="C43">
            <v>0</v>
          </cell>
        </row>
        <row r="44">
          <cell r="C44">
            <v>8</v>
          </cell>
        </row>
        <row r="45">
          <cell r="C45">
            <v>12</v>
          </cell>
        </row>
        <row r="46">
          <cell r="C46">
            <v>60</v>
          </cell>
        </row>
        <row r="47">
          <cell r="C47">
            <v>12</v>
          </cell>
        </row>
        <row r="48">
          <cell r="C48">
            <v>10</v>
          </cell>
        </row>
        <row r="49">
          <cell r="C49">
            <v>46</v>
          </cell>
        </row>
      </sheetData>
      <sheetData sheetId="7">
        <row r="10">
          <cell r="C10">
            <v>3765</v>
          </cell>
        </row>
      </sheetData>
      <sheetData sheetId="8">
        <row r="12">
          <cell r="G12">
            <v>106</v>
          </cell>
        </row>
      </sheetData>
      <sheetData sheetId="9">
        <row r="12">
          <cell r="P12">
            <v>0</v>
          </cell>
        </row>
      </sheetData>
      <sheetData sheetId="10">
        <row r="10">
          <cell r="B10">
            <v>269</v>
          </cell>
        </row>
      </sheetData>
      <sheetData sheetId="11">
        <row r="12">
          <cell r="E12">
            <v>36</v>
          </cell>
        </row>
      </sheetData>
      <sheetData sheetId="12"/>
      <sheetData sheetId="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3</v>
          </cell>
        </row>
      </sheetData>
      <sheetData sheetId="3">
        <row r="12">
          <cell r="F12">
            <v>0</v>
          </cell>
        </row>
      </sheetData>
      <sheetData sheetId="4">
        <row r="13">
          <cell r="F13">
            <v>0</v>
          </cell>
        </row>
      </sheetData>
      <sheetData sheetId="5">
        <row r="12">
          <cell r="G12">
            <v>3</v>
          </cell>
        </row>
      </sheetData>
      <sheetData sheetId="6">
        <row r="13">
          <cell r="C13">
            <v>217</v>
          </cell>
        </row>
        <row r="15">
          <cell r="C15">
            <v>75</v>
          </cell>
        </row>
        <row r="16">
          <cell r="C16">
            <v>9</v>
          </cell>
        </row>
        <row r="17">
          <cell r="C17">
            <v>0</v>
          </cell>
        </row>
        <row r="18">
          <cell r="C18">
            <v>4</v>
          </cell>
        </row>
        <row r="19">
          <cell r="C19">
            <v>3</v>
          </cell>
        </row>
        <row r="20">
          <cell r="C20">
            <v>217</v>
          </cell>
        </row>
        <row r="21">
          <cell r="C21">
            <v>1</v>
          </cell>
        </row>
        <row r="22">
          <cell r="C22">
            <v>17</v>
          </cell>
        </row>
        <row r="23">
          <cell r="C23">
            <v>0</v>
          </cell>
        </row>
        <row r="24">
          <cell r="C24">
            <v>0</v>
          </cell>
        </row>
        <row r="25">
          <cell r="C25">
            <v>0</v>
          </cell>
        </row>
        <row r="26">
          <cell r="C26">
            <v>5</v>
          </cell>
        </row>
        <row r="27">
          <cell r="C27">
            <v>1</v>
          </cell>
        </row>
        <row r="28">
          <cell r="C28">
            <v>7</v>
          </cell>
        </row>
        <row r="29">
          <cell r="C29">
            <v>4</v>
          </cell>
        </row>
        <row r="30">
          <cell r="C30">
            <v>7</v>
          </cell>
        </row>
        <row r="31">
          <cell r="C31">
            <v>0</v>
          </cell>
        </row>
        <row r="32">
          <cell r="C32">
            <v>40</v>
          </cell>
        </row>
        <row r="33">
          <cell r="C33">
            <v>0</v>
          </cell>
        </row>
        <row r="34">
          <cell r="C34">
            <v>0</v>
          </cell>
        </row>
        <row r="35">
          <cell r="C35">
            <v>9</v>
          </cell>
        </row>
        <row r="36">
          <cell r="C36">
            <v>0</v>
          </cell>
        </row>
        <row r="37">
          <cell r="C37">
            <v>0</v>
          </cell>
        </row>
        <row r="38">
          <cell r="C38">
            <v>106</v>
          </cell>
        </row>
        <row r="39">
          <cell r="C39">
            <v>9</v>
          </cell>
        </row>
        <row r="40">
          <cell r="C40">
            <v>0</v>
          </cell>
        </row>
        <row r="41">
          <cell r="C41">
            <v>0</v>
          </cell>
        </row>
        <row r="42">
          <cell r="C42">
            <v>0</v>
          </cell>
        </row>
        <row r="43">
          <cell r="C43">
            <v>0</v>
          </cell>
        </row>
        <row r="44">
          <cell r="C44">
            <v>6</v>
          </cell>
        </row>
        <row r="45">
          <cell r="C45">
            <v>1</v>
          </cell>
        </row>
        <row r="46">
          <cell r="C46">
            <v>12</v>
          </cell>
        </row>
        <row r="47">
          <cell r="C47">
            <v>0</v>
          </cell>
        </row>
        <row r="48">
          <cell r="C48">
            <v>0</v>
          </cell>
        </row>
        <row r="49">
          <cell r="C49">
            <v>7</v>
          </cell>
        </row>
      </sheetData>
      <sheetData sheetId="7">
        <row r="10">
          <cell r="C10">
            <v>0</v>
          </cell>
        </row>
      </sheetData>
      <sheetData sheetId="8">
        <row r="12">
          <cell r="G12">
            <v>0</v>
          </cell>
        </row>
      </sheetData>
      <sheetData sheetId="9">
        <row r="12">
          <cell r="P12">
            <v>0</v>
          </cell>
        </row>
      </sheetData>
      <sheetData sheetId="10">
        <row r="10">
          <cell r="B10">
            <v>41</v>
          </cell>
        </row>
      </sheetData>
      <sheetData sheetId="11">
        <row r="12">
          <cell r="E12">
            <v>2</v>
          </cell>
        </row>
      </sheetData>
      <sheetData sheetId="12"/>
      <sheetData sheetId="1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2</v>
          </cell>
        </row>
      </sheetData>
      <sheetData sheetId="3">
        <row r="12">
          <cell r="F12">
            <v>0</v>
          </cell>
        </row>
      </sheetData>
      <sheetData sheetId="4">
        <row r="13">
          <cell r="F13">
            <v>0</v>
          </cell>
        </row>
      </sheetData>
      <sheetData sheetId="5">
        <row r="12">
          <cell r="G12">
            <v>23</v>
          </cell>
        </row>
      </sheetData>
      <sheetData sheetId="6">
        <row r="13">
          <cell r="C13">
            <v>349</v>
          </cell>
        </row>
        <row r="15">
          <cell r="C15">
            <v>3</v>
          </cell>
        </row>
        <row r="16">
          <cell r="C16">
            <v>1</v>
          </cell>
        </row>
        <row r="17">
          <cell r="C17">
            <v>0</v>
          </cell>
        </row>
        <row r="18">
          <cell r="C18">
            <v>1</v>
          </cell>
        </row>
        <row r="19">
          <cell r="C19">
            <v>0</v>
          </cell>
        </row>
        <row r="20">
          <cell r="C20">
            <v>348</v>
          </cell>
        </row>
        <row r="21">
          <cell r="C21">
            <v>42</v>
          </cell>
        </row>
        <row r="22">
          <cell r="C22">
            <v>30</v>
          </cell>
        </row>
        <row r="23">
          <cell r="C23">
            <v>3</v>
          </cell>
        </row>
        <row r="24">
          <cell r="C24">
            <v>0</v>
          </cell>
        </row>
        <row r="25">
          <cell r="C25">
            <v>0</v>
          </cell>
        </row>
        <row r="26">
          <cell r="C26">
            <v>4</v>
          </cell>
        </row>
        <row r="27">
          <cell r="C27">
            <v>1</v>
          </cell>
        </row>
        <row r="28">
          <cell r="C28">
            <v>2</v>
          </cell>
        </row>
        <row r="29">
          <cell r="C29">
            <v>14</v>
          </cell>
        </row>
        <row r="30">
          <cell r="C30">
            <v>2</v>
          </cell>
        </row>
        <row r="31">
          <cell r="C31">
            <v>0</v>
          </cell>
        </row>
        <row r="32">
          <cell r="C32">
            <v>30</v>
          </cell>
        </row>
        <row r="33">
          <cell r="C33">
            <v>0</v>
          </cell>
        </row>
        <row r="34">
          <cell r="C34">
            <v>0</v>
          </cell>
        </row>
        <row r="35">
          <cell r="C35">
            <v>18</v>
          </cell>
        </row>
        <row r="36">
          <cell r="C36">
            <v>0</v>
          </cell>
        </row>
        <row r="37">
          <cell r="C37">
            <v>50</v>
          </cell>
        </row>
        <row r="38">
          <cell r="C38">
            <v>32</v>
          </cell>
        </row>
        <row r="39">
          <cell r="C39">
            <v>6</v>
          </cell>
        </row>
        <row r="40">
          <cell r="C40">
            <v>1</v>
          </cell>
        </row>
        <row r="41">
          <cell r="C41">
            <v>0</v>
          </cell>
        </row>
        <row r="42">
          <cell r="C42">
            <v>1</v>
          </cell>
        </row>
        <row r="43">
          <cell r="C43">
            <v>0</v>
          </cell>
        </row>
        <row r="44">
          <cell r="C44">
            <v>0</v>
          </cell>
        </row>
        <row r="45">
          <cell r="C45">
            <v>12</v>
          </cell>
        </row>
        <row r="46">
          <cell r="C46">
            <v>8</v>
          </cell>
        </row>
        <row r="47">
          <cell r="C47">
            <v>3</v>
          </cell>
        </row>
        <row r="48">
          <cell r="C48">
            <v>0</v>
          </cell>
        </row>
        <row r="49">
          <cell r="C49">
            <v>138</v>
          </cell>
        </row>
      </sheetData>
      <sheetData sheetId="7">
        <row r="10">
          <cell r="C10">
            <v>2074</v>
          </cell>
        </row>
      </sheetData>
      <sheetData sheetId="8">
        <row r="12">
          <cell r="G12">
            <v>5</v>
          </cell>
        </row>
      </sheetData>
      <sheetData sheetId="9">
        <row r="12">
          <cell r="P12">
            <v>0</v>
          </cell>
        </row>
      </sheetData>
      <sheetData sheetId="10">
        <row r="10">
          <cell r="B10">
            <v>42</v>
          </cell>
        </row>
      </sheetData>
      <sheetData sheetId="11">
        <row r="12">
          <cell r="E12">
            <v>18</v>
          </cell>
        </row>
      </sheetData>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2</v>
          </cell>
        </row>
      </sheetData>
      <sheetData sheetId="3">
        <row r="12">
          <cell r="F12">
            <v>0</v>
          </cell>
        </row>
      </sheetData>
      <sheetData sheetId="4">
        <row r="13">
          <cell r="F13">
            <v>1</v>
          </cell>
        </row>
      </sheetData>
      <sheetData sheetId="5">
        <row r="12">
          <cell r="G12">
            <v>12</v>
          </cell>
        </row>
      </sheetData>
      <sheetData sheetId="6">
        <row r="13">
          <cell r="C13">
            <v>627</v>
          </cell>
        </row>
        <row r="15">
          <cell r="C15">
            <v>6</v>
          </cell>
        </row>
        <row r="16">
          <cell r="C16">
            <v>1</v>
          </cell>
        </row>
        <row r="17">
          <cell r="C17">
            <v>4</v>
          </cell>
        </row>
        <row r="18">
          <cell r="C18">
            <v>13</v>
          </cell>
        </row>
        <row r="19">
          <cell r="C19">
            <v>8</v>
          </cell>
        </row>
        <row r="20">
          <cell r="C20">
            <v>624</v>
          </cell>
        </row>
        <row r="21">
          <cell r="C21">
            <v>44</v>
          </cell>
        </row>
        <row r="22">
          <cell r="C22">
            <v>110</v>
          </cell>
        </row>
        <row r="23">
          <cell r="C23">
            <v>13</v>
          </cell>
        </row>
        <row r="24">
          <cell r="C24">
            <v>2</v>
          </cell>
        </row>
        <row r="25">
          <cell r="C25">
            <v>2</v>
          </cell>
        </row>
        <row r="26">
          <cell r="C26">
            <v>15</v>
          </cell>
        </row>
        <row r="27">
          <cell r="C27">
            <v>7</v>
          </cell>
        </row>
        <row r="28">
          <cell r="C28">
            <v>3</v>
          </cell>
        </row>
        <row r="29">
          <cell r="C29">
            <v>4</v>
          </cell>
        </row>
        <row r="30">
          <cell r="C30">
            <v>0</v>
          </cell>
        </row>
        <row r="31">
          <cell r="C31">
            <v>1</v>
          </cell>
        </row>
        <row r="32">
          <cell r="C32">
            <v>24</v>
          </cell>
        </row>
        <row r="33">
          <cell r="C33">
            <v>4</v>
          </cell>
        </row>
        <row r="34">
          <cell r="C34">
            <v>3</v>
          </cell>
        </row>
        <row r="35">
          <cell r="C35">
            <v>18</v>
          </cell>
        </row>
        <row r="36">
          <cell r="C36">
            <v>0</v>
          </cell>
        </row>
        <row r="37">
          <cell r="C37">
            <v>46</v>
          </cell>
        </row>
        <row r="38">
          <cell r="C38">
            <v>191</v>
          </cell>
        </row>
        <row r="39">
          <cell r="C39">
            <v>9</v>
          </cell>
        </row>
        <row r="40">
          <cell r="C40">
            <v>4</v>
          </cell>
        </row>
        <row r="41">
          <cell r="C41">
            <v>3</v>
          </cell>
        </row>
        <row r="42">
          <cell r="C42">
            <v>1</v>
          </cell>
        </row>
        <row r="43">
          <cell r="C43">
            <v>0</v>
          </cell>
        </row>
        <row r="44">
          <cell r="C44">
            <v>0</v>
          </cell>
        </row>
        <row r="45">
          <cell r="C45">
            <v>9</v>
          </cell>
        </row>
        <row r="46">
          <cell r="C46">
            <v>29</v>
          </cell>
        </row>
        <row r="47">
          <cell r="C47">
            <v>3</v>
          </cell>
        </row>
        <row r="48">
          <cell r="C48">
            <v>1</v>
          </cell>
        </row>
        <row r="49">
          <cell r="C49">
            <v>118</v>
          </cell>
        </row>
      </sheetData>
      <sheetData sheetId="7">
        <row r="10">
          <cell r="C10">
            <v>2752</v>
          </cell>
        </row>
      </sheetData>
      <sheetData sheetId="8">
        <row r="12">
          <cell r="G12">
            <v>115</v>
          </cell>
        </row>
      </sheetData>
      <sheetData sheetId="9">
        <row r="12">
          <cell r="P12">
            <v>0</v>
          </cell>
        </row>
      </sheetData>
      <sheetData sheetId="10">
        <row r="10">
          <cell r="B10">
            <v>48</v>
          </cell>
        </row>
      </sheetData>
      <sheetData sheetId="11">
        <row r="12">
          <cell r="E12">
            <v>48</v>
          </cell>
        </row>
      </sheetData>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v>
          </cell>
        </row>
      </sheetData>
      <sheetData sheetId="3">
        <row r="12">
          <cell r="F12">
            <v>0</v>
          </cell>
        </row>
      </sheetData>
      <sheetData sheetId="4">
        <row r="13">
          <cell r="F13">
            <v>0</v>
          </cell>
        </row>
      </sheetData>
      <sheetData sheetId="5">
        <row r="12">
          <cell r="G12">
            <v>0</v>
          </cell>
        </row>
      </sheetData>
      <sheetData sheetId="6">
        <row r="13">
          <cell r="C13">
            <v>66</v>
          </cell>
        </row>
        <row r="15">
          <cell r="C15">
            <v>1</v>
          </cell>
        </row>
        <row r="16">
          <cell r="C16">
            <v>0</v>
          </cell>
        </row>
        <row r="17">
          <cell r="C17">
            <v>0</v>
          </cell>
        </row>
        <row r="18">
          <cell r="C18">
            <v>0</v>
          </cell>
        </row>
        <row r="19">
          <cell r="C19">
            <v>0</v>
          </cell>
        </row>
        <row r="20">
          <cell r="C20">
            <v>65</v>
          </cell>
        </row>
        <row r="21">
          <cell r="C21">
            <v>5</v>
          </cell>
        </row>
        <row r="22">
          <cell r="C22">
            <v>14</v>
          </cell>
        </row>
        <row r="23">
          <cell r="C23">
            <v>2</v>
          </cell>
        </row>
        <row r="24">
          <cell r="C24">
            <v>1</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1</v>
          </cell>
        </row>
        <row r="38">
          <cell r="C38">
            <v>45</v>
          </cell>
        </row>
        <row r="39">
          <cell r="C39">
            <v>0</v>
          </cell>
        </row>
        <row r="40">
          <cell r="C40">
            <v>1</v>
          </cell>
        </row>
        <row r="41">
          <cell r="C41">
            <v>1</v>
          </cell>
        </row>
        <row r="42">
          <cell r="C42">
            <v>0</v>
          </cell>
        </row>
        <row r="43">
          <cell r="C43">
            <v>0</v>
          </cell>
        </row>
        <row r="44">
          <cell r="C44">
            <v>0</v>
          </cell>
        </row>
        <row r="45">
          <cell r="C45">
            <v>0</v>
          </cell>
        </row>
        <row r="46">
          <cell r="C46">
            <v>0</v>
          </cell>
        </row>
        <row r="47">
          <cell r="C47">
            <v>0</v>
          </cell>
        </row>
        <row r="48">
          <cell r="C48">
            <v>0</v>
          </cell>
        </row>
        <row r="49">
          <cell r="C49">
            <v>4</v>
          </cell>
        </row>
      </sheetData>
      <sheetData sheetId="7">
        <row r="10">
          <cell r="C10">
            <v>0</v>
          </cell>
        </row>
      </sheetData>
      <sheetData sheetId="8">
        <row r="12">
          <cell r="G12">
            <v>0</v>
          </cell>
        </row>
      </sheetData>
      <sheetData sheetId="9">
        <row r="12">
          <cell r="P12">
            <v>0</v>
          </cell>
        </row>
      </sheetData>
      <sheetData sheetId="10">
        <row r="10">
          <cell r="B10">
            <v>5</v>
          </cell>
        </row>
      </sheetData>
      <sheetData sheetId="11">
        <row r="12">
          <cell r="E12">
            <v>4</v>
          </cell>
        </row>
      </sheetData>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5</v>
          </cell>
        </row>
      </sheetData>
      <sheetData sheetId="3">
        <row r="12">
          <cell r="F12">
            <v>18</v>
          </cell>
        </row>
      </sheetData>
      <sheetData sheetId="4">
        <row r="13">
          <cell r="F13">
            <v>0</v>
          </cell>
        </row>
      </sheetData>
      <sheetData sheetId="5">
        <row r="12">
          <cell r="G12">
            <v>21</v>
          </cell>
        </row>
      </sheetData>
      <sheetData sheetId="6">
        <row r="13">
          <cell r="C13">
            <v>248</v>
          </cell>
        </row>
        <row r="15">
          <cell r="C15">
            <v>1</v>
          </cell>
        </row>
        <row r="16">
          <cell r="C16">
            <v>3</v>
          </cell>
        </row>
        <row r="17">
          <cell r="C17">
            <v>0</v>
          </cell>
        </row>
        <row r="18">
          <cell r="C18">
            <v>0</v>
          </cell>
        </row>
        <row r="19">
          <cell r="C19">
            <v>0</v>
          </cell>
        </row>
        <row r="20">
          <cell r="C20">
            <v>244</v>
          </cell>
        </row>
        <row r="21">
          <cell r="C21">
            <v>9</v>
          </cell>
        </row>
        <row r="22">
          <cell r="C22">
            <v>13</v>
          </cell>
        </row>
        <row r="23">
          <cell r="C23">
            <v>4</v>
          </cell>
        </row>
        <row r="24">
          <cell r="C24">
            <v>0</v>
          </cell>
        </row>
        <row r="25">
          <cell r="C25">
            <v>1</v>
          </cell>
        </row>
        <row r="26">
          <cell r="C26">
            <v>3</v>
          </cell>
        </row>
        <row r="27">
          <cell r="C27">
            <v>2</v>
          </cell>
        </row>
        <row r="28">
          <cell r="C28">
            <v>3</v>
          </cell>
        </row>
        <row r="29">
          <cell r="C29">
            <v>1</v>
          </cell>
        </row>
        <row r="30">
          <cell r="C30">
            <v>0</v>
          </cell>
        </row>
        <row r="31">
          <cell r="C31">
            <v>0</v>
          </cell>
        </row>
        <row r="32">
          <cell r="C32">
            <v>12</v>
          </cell>
        </row>
        <row r="33">
          <cell r="C33">
            <v>2</v>
          </cell>
        </row>
        <row r="34">
          <cell r="C34">
            <v>0</v>
          </cell>
        </row>
        <row r="35">
          <cell r="C35">
            <v>9</v>
          </cell>
        </row>
        <row r="36">
          <cell r="C36">
            <v>0</v>
          </cell>
        </row>
        <row r="37">
          <cell r="C37">
            <v>11</v>
          </cell>
        </row>
        <row r="38">
          <cell r="C38">
            <v>85</v>
          </cell>
        </row>
        <row r="39">
          <cell r="C39">
            <v>1</v>
          </cell>
        </row>
        <row r="40">
          <cell r="C40">
            <v>2</v>
          </cell>
        </row>
        <row r="41">
          <cell r="C41">
            <v>0</v>
          </cell>
        </row>
        <row r="42">
          <cell r="C42">
            <v>1</v>
          </cell>
        </row>
        <row r="43">
          <cell r="C43">
            <v>0</v>
          </cell>
        </row>
        <row r="44">
          <cell r="C44">
            <v>1</v>
          </cell>
        </row>
        <row r="45">
          <cell r="C45">
            <v>1</v>
          </cell>
        </row>
        <row r="46">
          <cell r="C46">
            <v>5</v>
          </cell>
        </row>
        <row r="47">
          <cell r="C47">
            <v>0</v>
          </cell>
        </row>
        <row r="48">
          <cell r="C48">
            <v>0</v>
          </cell>
        </row>
        <row r="49">
          <cell r="C49">
            <v>78</v>
          </cell>
        </row>
      </sheetData>
      <sheetData sheetId="7">
        <row r="10">
          <cell r="C10">
            <v>0</v>
          </cell>
        </row>
      </sheetData>
      <sheetData sheetId="8">
        <row r="12">
          <cell r="G12">
            <v>0</v>
          </cell>
        </row>
      </sheetData>
      <sheetData sheetId="9">
        <row r="12">
          <cell r="P12">
            <v>0</v>
          </cell>
        </row>
      </sheetData>
      <sheetData sheetId="10">
        <row r="10">
          <cell r="B10">
            <v>177</v>
          </cell>
        </row>
      </sheetData>
      <sheetData sheetId="11">
        <row r="12">
          <cell r="E12">
            <v>89</v>
          </cell>
        </row>
      </sheetData>
      <sheetData sheetId="12"/>
      <sheetData sheetId="1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v>
          </cell>
        </row>
      </sheetData>
      <sheetData sheetId="3">
        <row r="12">
          <cell r="F12">
            <v>0</v>
          </cell>
        </row>
      </sheetData>
      <sheetData sheetId="4">
        <row r="13">
          <cell r="F13">
            <v>0</v>
          </cell>
        </row>
      </sheetData>
      <sheetData sheetId="5">
        <row r="12">
          <cell r="G12">
            <v>1</v>
          </cell>
        </row>
      </sheetData>
      <sheetData sheetId="6">
        <row r="13">
          <cell r="C13">
            <v>39</v>
          </cell>
        </row>
        <row r="15">
          <cell r="C15">
            <v>2</v>
          </cell>
        </row>
        <row r="16">
          <cell r="C16">
            <v>1</v>
          </cell>
        </row>
        <row r="17">
          <cell r="C17">
            <v>0</v>
          </cell>
        </row>
        <row r="18">
          <cell r="C18">
            <v>0</v>
          </cell>
        </row>
        <row r="19">
          <cell r="C19">
            <v>0</v>
          </cell>
        </row>
        <row r="20">
          <cell r="C20">
            <v>36</v>
          </cell>
        </row>
        <row r="21">
          <cell r="C21">
            <v>2</v>
          </cell>
        </row>
        <row r="22">
          <cell r="C22">
            <v>0</v>
          </cell>
        </row>
        <row r="23">
          <cell r="C23">
            <v>0</v>
          </cell>
        </row>
        <row r="24">
          <cell r="C24">
            <v>0</v>
          </cell>
        </row>
        <row r="25">
          <cell r="C25">
            <v>0</v>
          </cell>
        </row>
        <row r="26">
          <cell r="C26">
            <v>1</v>
          </cell>
        </row>
        <row r="27">
          <cell r="C27">
            <v>0</v>
          </cell>
        </row>
        <row r="28">
          <cell r="C28">
            <v>0</v>
          </cell>
        </row>
        <row r="29">
          <cell r="C29">
            <v>0</v>
          </cell>
        </row>
        <row r="30">
          <cell r="C30">
            <v>0</v>
          </cell>
        </row>
        <row r="31">
          <cell r="C31">
            <v>1</v>
          </cell>
        </row>
        <row r="32">
          <cell r="C32">
            <v>2</v>
          </cell>
        </row>
        <row r="33">
          <cell r="C33">
            <v>0</v>
          </cell>
        </row>
        <row r="34">
          <cell r="C34">
            <v>0</v>
          </cell>
        </row>
        <row r="35">
          <cell r="C35">
            <v>2</v>
          </cell>
        </row>
        <row r="36">
          <cell r="C36">
            <v>0</v>
          </cell>
        </row>
        <row r="37">
          <cell r="C37">
            <v>2</v>
          </cell>
        </row>
        <row r="38">
          <cell r="C38">
            <v>19</v>
          </cell>
        </row>
        <row r="39">
          <cell r="C39">
            <v>0</v>
          </cell>
        </row>
        <row r="40">
          <cell r="C40">
            <v>0</v>
          </cell>
        </row>
        <row r="41">
          <cell r="C41">
            <v>0</v>
          </cell>
        </row>
        <row r="42">
          <cell r="C42">
            <v>0</v>
          </cell>
        </row>
        <row r="43">
          <cell r="C43">
            <v>0</v>
          </cell>
        </row>
        <row r="44">
          <cell r="C44">
            <v>0</v>
          </cell>
        </row>
        <row r="45">
          <cell r="C45">
            <v>0</v>
          </cell>
        </row>
        <row r="46">
          <cell r="C46">
            <v>5</v>
          </cell>
        </row>
        <row r="47">
          <cell r="C47">
            <v>0</v>
          </cell>
        </row>
        <row r="48">
          <cell r="C48">
            <v>0</v>
          </cell>
        </row>
        <row r="49">
          <cell r="C49">
            <v>2</v>
          </cell>
        </row>
      </sheetData>
      <sheetData sheetId="7">
        <row r="10">
          <cell r="C10">
            <v>0</v>
          </cell>
        </row>
      </sheetData>
      <sheetData sheetId="8">
        <row r="12">
          <cell r="G12">
            <v>0</v>
          </cell>
        </row>
      </sheetData>
      <sheetData sheetId="9">
        <row r="12">
          <cell r="P12">
            <v>0</v>
          </cell>
        </row>
      </sheetData>
      <sheetData sheetId="10">
        <row r="10">
          <cell r="B10">
            <v>32</v>
          </cell>
        </row>
      </sheetData>
      <sheetData sheetId="11">
        <row r="12">
          <cell r="E12">
            <v>0</v>
          </cell>
        </row>
      </sheetData>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5</v>
          </cell>
        </row>
      </sheetData>
      <sheetData sheetId="3">
        <row r="12">
          <cell r="F12">
            <v>11</v>
          </cell>
        </row>
      </sheetData>
      <sheetData sheetId="4">
        <row r="13">
          <cell r="F13">
            <v>0</v>
          </cell>
        </row>
      </sheetData>
      <sheetData sheetId="5">
        <row r="12">
          <cell r="G12">
            <v>8</v>
          </cell>
        </row>
      </sheetData>
      <sheetData sheetId="6">
        <row r="13">
          <cell r="C13">
            <v>386</v>
          </cell>
        </row>
        <row r="15">
          <cell r="C15">
            <v>1</v>
          </cell>
        </row>
        <row r="16">
          <cell r="C16">
            <v>1</v>
          </cell>
        </row>
        <row r="17">
          <cell r="C17">
            <v>0</v>
          </cell>
        </row>
        <row r="18">
          <cell r="C18">
            <v>0</v>
          </cell>
        </row>
        <row r="19">
          <cell r="C19">
            <v>0</v>
          </cell>
        </row>
        <row r="20">
          <cell r="C20">
            <v>384</v>
          </cell>
        </row>
        <row r="21">
          <cell r="C21">
            <v>4</v>
          </cell>
        </row>
        <row r="22">
          <cell r="C22">
            <v>64</v>
          </cell>
        </row>
        <row r="23">
          <cell r="C23">
            <v>14</v>
          </cell>
        </row>
        <row r="24">
          <cell r="C24">
            <v>0</v>
          </cell>
        </row>
        <row r="25">
          <cell r="C25">
            <v>0</v>
          </cell>
        </row>
        <row r="26">
          <cell r="C26">
            <v>9</v>
          </cell>
        </row>
        <row r="27">
          <cell r="C27">
            <v>3</v>
          </cell>
        </row>
        <row r="28">
          <cell r="C28">
            <v>0</v>
          </cell>
        </row>
        <row r="29">
          <cell r="C29">
            <v>6</v>
          </cell>
        </row>
        <row r="30">
          <cell r="C30">
            <v>0</v>
          </cell>
        </row>
        <row r="31">
          <cell r="C31">
            <v>0</v>
          </cell>
        </row>
        <row r="32">
          <cell r="C32">
            <v>33</v>
          </cell>
        </row>
        <row r="33">
          <cell r="C33">
            <v>3</v>
          </cell>
        </row>
        <row r="34">
          <cell r="C34">
            <v>0</v>
          </cell>
        </row>
        <row r="35">
          <cell r="C35">
            <v>3</v>
          </cell>
        </row>
        <row r="36">
          <cell r="C36">
            <v>1</v>
          </cell>
        </row>
        <row r="37">
          <cell r="C37">
            <v>0</v>
          </cell>
        </row>
        <row r="38">
          <cell r="C38">
            <v>125</v>
          </cell>
        </row>
        <row r="39">
          <cell r="C39">
            <v>3</v>
          </cell>
        </row>
        <row r="40">
          <cell r="C40">
            <v>0</v>
          </cell>
        </row>
        <row r="41">
          <cell r="C41">
            <v>0</v>
          </cell>
        </row>
        <row r="42">
          <cell r="C42">
            <v>0</v>
          </cell>
        </row>
        <row r="43">
          <cell r="C43">
            <v>0</v>
          </cell>
        </row>
        <row r="44">
          <cell r="C44">
            <v>0</v>
          </cell>
        </row>
        <row r="45">
          <cell r="C45">
            <v>3</v>
          </cell>
        </row>
        <row r="46">
          <cell r="C46">
            <v>18</v>
          </cell>
        </row>
        <row r="47">
          <cell r="C47">
            <v>1</v>
          </cell>
        </row>
        <row r="48">
          <cell r="C48">
            <v>0</v>
          </cell>
        </row>
        <row r="49">
          <cell r="C49">
            <v>94</v>
          </cell>
        </row>
      </sheetData>
      <sheetData sheetId="7">
        <row r="10">
          <cell r="C10">
            <v>0</v>
          </cell>
        </row>
      </sheetData>
      <sheetData sheetId="8">
        <row r="12">
          <cell r="G12">
            <v>3</v>
          </cell>
        </row>
      </sheetData>
      <sheetData sheetId="9">
        <row r="12">
          <cell r="P12">
            <v>0</v>
          </cell>
        </row>
      </sheetData>
      <sheetData sheetId="10">
        <row r="10">
          <cell r="B10">
            <v>47</v>
          </cell>
        </row>
      </sheetData>
      <sheetData sheetId="11">
        <row r="12">
          <cell r="E12">
            <v>17</v>
          </cell>
        </row>
      </sheetData>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0</v>
          </cell>
        </row>
      </sheetData>
      <sheetData sheetId="3">
        <row r="12">
          <cell r="F12">
            <v>5</v>
          </cell>
        </row>
      </sheetData>
      <sheetData sheetId="4">
        <row r="13">
          <cell r="F13">
            <v>0</v>
          </cell>
        </row>
      </sheetData>
      <sheetData sheetId="5">
        <row r="12">
          <cell r="G12">
            <v>12</v>
          </cell>
        </row>
      </sheetData>
      <sheetData sheetId="6">
        <row r="13">
          <cell r="C13">
            <v>914</v>
          </cell>
        </row>
        <row r="15">
          <cell r="C15">
            <v>6</v>
          </cell>
        </row>
        <row r="16">
          <cell r="C16">
            <v>1</v>
          </cell>
        </row>
        <row r="17">
          <cell r="C17">
            <v>5</v>
          </cell>
        </row>
        <row r="18">
          <cell r="C18">
            <v>2</v>
          </cell>
        </row>
        <row r="19">
          <cell r="C19">
            <v>1</v>
          </cell>
        </row>
        <row r="20">
          <cell r="C20">
            <v>914</v>
          </cell>
        </row>
        <row r="21">
          <cell r="C21">
            <v>83</v>
          </cell>
        </row>
        <row r="22">
          <cell r="C22">
            <v>222</v>
          </cell>
        </row>
        <row r="23">
          <cell r="C23">
            <v>28</v>
          </cell>
        </row>
        <row r="24">
          <cell r="C24">
            <v>5</v>
          </cell>
        </row>
        <row r="25">
          <cell r="C25">
            <v>4</v>
          </cell>
        </row>
        <row r="26">
          <cell r="C26">
            <v>2</v>
          </cell>
        </row>
        <row r="27">
          <cell r="C27">
            <v>5</v>
          </cell>
        </row>
        <row r="28">
          <cell r="C28">
            <v>9</v>
          </cell>
        </row>
        <row r="29">
          <cell r="C29">
            <v>73</v>
          </cell>
        </row>
        <row r="30">
          <cell r="C30">
            <v>3</v>
          </cell>
        </row>
        <row r="31">
          <cell r="C31">
            <v>2</v>
          </cell>
        </row>
        <row r="32">
          <cell r="C32">
            <v>21</v>
          </cell>
        </row>
        <row r="33">
          <cell r="C33">
            <v>9</v>
          </cell>
        </row>
        <row r="34">
          <cell r="C34">
            <v>14</v>
          </cell>
        </row>
        <row r="35">
          <cell r="C35">
            <v>46</v>
          </cell>
        </row>
        <row r="36">
          <cell r="C36">
            <v>2</v>
          </cell>
        </row>
        <row r="37">
          <cell r="C37">
            <v>110</v>
          </cell>
        </row>
        <row r="38">
          <cell r="C38">
            <v>138</v>
          </cell>
        </row>
        <row r="39">
          <cell r="C39">
            <v>3</v>
          </cell>
        </row>
        <row r="40">
          <cell r="C40">
            <v>2</v>
          </cell>
        </row>
        <row r="41">
          <cell r="C41">
            <v>0</v>
          </cell>
        </row>
        <row r="42">
          <cell r="C42">
            <v>5</v>
          </cell>
        </row>
        <row r="43">
          <cell r="C43">
            <v>0</v>
          </cell>
        </row>
        <row r="44">
          <cell r="C44">
            <v>2</v>
          </cell>
        </row>
        <row r="45">
          <cell r="C45">
            <v>7</v>
          </cell>
        </row>
        <row r="46">
          <cell r="C46">
            <v>28</v>
          </cell>
        </row>
        <row r="47">
          <cell r="C47">
            <v>3</v>
          </cell>
        </row>
        <row r="48">
          <cell r="C48">
            <v>1</v>
          </cell>
        </row>
        <row r="49">
          <cell r="C49">
            <v>87</v>
          </cell>
        </row>
      </sheetData>
      <sheetData sheetId="7">
        <row r="10">
          <cell r="C10">
            <v>8561</v>
          </cell>
        </row>
      </sheetData>
      <sheetData sheetId="8">
        <row r="12">
          <cell r="G12">
            <v>12</v>
          </cell>
        </row>
      </sheetData>
      <sheetData sheetId="9">
        <row r="12">
          <cell r="P12">
            <v>0</v>
          </cell>
        </row>
      </sheetData>
      <sheetData sheetId="10">
        <row r="10">
          <cell r="B10">
            <v>116</v>
          </cell>
        </row>
      </sheetData>
      <sheetData sheetId="11">
        <row r="12">
          <cell r="E12">
            <v>83</v>
          </cell>
        </row>
      </sheetData>
      <sheetData sheetId="12"/>
      <sheetData sheetId="1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v>
          </cell>
        </row>
      </sheetData>
      <sheetData sheetId="3">
        <row r="12">
          <cell r="F12">
            <v>44</v>
          </cell>
        </row>
      </sheetData>
      <sheetData sheetId="4">
        <row r="13">
          <cell r="F13">
            <v>1</v>
          </cell>
        </row>
      </sheetData>
      <sheetData sheetId="5">
        <row r="12">
          <cell r="G12">
            <v>16</v>
          </cell>
        </row>
      </sheetData>
      <sheetData sheetId="6">
        <row r="13">
          <cell r="C13">
            <v>463</v>
          </cell>
        </row>
        <row r="15">
          <cell r="C15">
            <v>16</v>
          </cell>
        </row>
        <row r="16">
          <cell r="C16">
            <v>0</v>
          </cell>
        </row>
        <row r="17">
          <cell r="C17">
            <v>2</v>
          </cell>
        </row>
        <row r="18">
          <cell r="C18">
            <v>0</v>
          </cell>
        </row>
        <row r="19">
          <cell r="C19">
            <v>0</v>
          </cell>
        </row>
        <row r="20">
          <cell r="C20">
            <v>455</v>
          </cell>
        </row>
        <row r="21">
          <cell r="C21">
            <v>25</v>
          </cell>
        </row>
        <row r="22">
          <cell r="C22">
            <v>50</v>
          </cell>
        </row>
        <row r="23">
          <cell r="C23">
            <v>5</v>
          </cell>
        </row>
        <row r="24">
          <cell r="C24">
            <v>0</v>
          </cell>
        </row>
        <row r="25">
          <cell r="C25">
            <v>8</v>
          </cell>
        </row>
        <row r="26">
          <cell r="C26">
            <v>3</v>
          </cell>
        </row>
        <row r="27">
          <cell r="C27">
            <v>1</v>
          </cell>
        </row>
        <row r="28">
          <cell r="C28">
            <v>5</v>
          </cell>
        </row>
        <row r="29">
          <cell r="C29">
            <v>15</v>
          </cell>
        </row>
        <row r="30">
          <cell r="C30">
            <v>3</v>
          </cell>
        </row>
        <row r="31">
          <cell r="C31">
            <v>1</v>
          </cell>
        </row>
        <row r="32">
          <cell r="C32">
            <v>32</v>
          </cell>
        </row>
        <row r="33">
          <cell r="C33">
            <v>0</v>
          </cell>
        </row>
        <row r="34">
          <cell r="C34">
            <v>1</v>
          </cell>
        </row>
        <row r="35">
          <cell r="C35">
            <v>24</v>
          </cell>
        </row>
        <row r="36">
          <cell r="C36">
            <v>0</v>
          </cell>
        </row>
        <row r="37">
          <cell r="C37">
            <v>17</v>
          </cell>
        </row>
        <row r="38">
          <cell r="C38">
            <v>172</v>
          </cell>
        </row>
        <row r="39">
          <cell r="C39">
            <v>6</v>
          </cell>
        </row>
        <row r="40">
          <cell r="C40">
            <v>1</v>
          </cell>
        </row>
        <row r="41">
          <cell r="C41">
            <v>2</v>
          </cell>
        </row>
        <row r="42">
          <cell r="C42">
            <v>14</v>
          </cell>
        </row>
        <row r="43">
          <cell r="C43">
            <v>0</v>
          </cell>
        </row>
        <row r="44">
          <cell r="C44">
            <v>0</v>
          </cell>
        </row>
        <row r="45">
          <cell r="C45">
            <v>21</v>
          </cell>
        </row>
        <row r="46">
          <cell r="C46">
            <v>46</v>
          </cell>
        </row>
        <row r="47">
          <cell r="C47">
            <v>0</v>
          </cell>
        </row>
        <row r="48">
          <cell r="C48">
            <v>0</v>
          </cell>
        </row>
        <row r="49">
          <cell r="C49">
            <v>43</v>
          </cell>
        </row>
      </sheetData>
      <sheetData sheetId="7">
        <row r="10">
          <cell r="C10">
            <v>1786</v>
          </cell>
        </row>
      </sheetData>
      <sheetData sheetId="8">
        <row r="12">
          <cell r="G12">
            <v>22</v>
          </cell>
        </row>
      </sheetData>
      <sheetData sheetId="9">
        <row r="12">
          <cell r="P12">
            <v>0</v>
          </cell>
        </row>
      </sheetData>
      <sheetData sheetId="10">
        <row r="10">
          <cell r="B10">
            <v>51</v>
          </cell>
        </row>
      </sheetData>
      <sheetData sheetId="11">
        <row r="12">
          <cell r="E12">
            <v>46</v>
          </cell>
        </row>
      </sheetData>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3">
          <cell r="E13">
            <v>1386</v>
          </cell>
          <cell r="F13">
            <v>1434</v>
          </cell>
          <cell r="G13">
            <v>0</v>
          </cell>
          <cell r="H13">
            <v>1087</v>
          </cell>
          <cell r="I13">
            <v>1172</v>
          </cell>
          <cell r="J13">
            <v>1486</v>
          </cell>
          <cell r="K13">
            <v>0</v>
          </cell>
          <cell r="L13">
            <v>0</v>
          </cell>
          <cell r="N13">
            <v>449</v>
          </cell>
          <cell r="O13">
            <v>1185</v>
          </cell>
          <cell r="P13">
            <v>2738</v>
          </cell>
          <cell r="Q13">
            <v>1556</v>
          </cell>
          <cell r="R13">
            <v>3</v>
          </cell>
          <cell r="S13">
            <v>1260</v>
          </cell>
          <cell r="T13">
            <v>1133</v>
          </cell>
          <cell r="V13">
            <v>0</v>
          </cell>
          <cell r="W13">
            <v>1447</v>
          </cell>
          <cell r="X13">
            <v>1323</v>
          </cell>
        </row>
        <row r="14">
          <cell r="E14">
            <v>1282</v>
          </cell>
          <cell r="F14">
            <v>957</v>
          </cell>
          <cell r="G14">
            <v>0</v>
          </cell>
          <cell r="H14">
            <v>825</v>
          </cell>
          <cell r="I14">
            <v>901</v>
          </cell>
          <cell r="J14">
            <v>1331</v>
          </cell>
          <cell r="K14">
            <v>0</v>
          </cell>
          <cell r="L14">
            <v>0</v>
          </cell>
          <cell r="N14">
            <v>329</v>
          </cell>
          <cell r="O14">
            <v>878</v>
          </cell>
          <cell r="P14">
            <v>1821</v>
          </cell>
          <cell r="Q14">
            <v>1337</v>
          </cell>
          <cell r="R14">
            <v>12</v>
          </cell>
          <cell r="S14">
            <v>892</v>
          </cell>
          <cell r="T14">
            <v>934</v>
          </cell>
          <cell r="V14">
            <v>0</v>
          </cell>
          <cell r="W14">
            <v>1061</v>
          </cell>
          <cell r="X14">
            <v>819</v>
          </cell>
        </row>
        <row r="15">
          <cell r="E15">
            <v>12117</v>
          </cell>
          <cell r="F15">
            <v>7601</v>
          </cell>
          <cell r="G15">
            <v>0</v>
          </cell>
          <cell r="H15">
            <v>7148</v>
          </cell>
          <cell r="I15">
            <v>7625</v>
          </cell>
          <cell r="J15">
            <v>12368</v>
          </cell>
          <cell r="K15">
            <v>229</v>
          </cell>
          <cell r="L15">
            <v>0</v>
          </cell>
          <cell r="N15">
            <v>2503</v>
          </cell>
          <cell r="O15">
            <v>6482</v>
          </cell>
          <cell r="P15">
            <v>13888</v>
          </cell>
          <cell r="Q15">
            <v>13336</v>
          </cell>
          <cell r="R15">
            <v>243</v>
          </cell>
          <cell r="S15">
            <v>9177</v>
          </cell>
          <cell r="T15">
            <v>7431</v>
          </cell>
          <cell r="U15">
            <v>29</v>
          </cell>
          <cell r="V15">
            <v>0</v>
          </cell>
          <cell r="W15">
            <v>10458</v>
          </cell>
          <cell r="X15">
            <v>6970</v>
          </cell>
        </row>
        <row r="16">
          <cell r="E16">
            <v>7452</v>
          </cell>
          <cell r="F16">
            <v>2569</v>
          </cell>
          <cell r="G16">
            <v>0</v>
          </cell>
          <cell r="H16">
            <v>2627</v>
          </cell>
          <cell r="I16">
            <v>2848</v>
          </cell>
          <cell r="J16">
            <v>4324</v>
          </cell>
          <cell r="K16">
            <v>1</v>
          </cell>
          <cell r="L16">
            <v>0</v>
          </cell>
          <cell r="N16">
            <v>855</v>
          </cell>
          <cell r="O16">
            <v>2786</v>
          </cell>
          <cell r="P16">
            <v>5847</v>
          </cell>
          <cell r="Q16">
            <v>4405</v>
          </cell>
          <cell r="R16">
            <v>217</v>
          </cell>
          <cell r="S16">
            <v>3539</v>
          </cell>
          <cell r="T16">
            <v>2165</v>
          </cell>
          <cell r="U16">
            <v>16</v>
          </cell>
          <cell r="V16">
            <v>0</v>
          </cell>
          <cell r="W16">
            <v>4404</v>
          </cell>
          <cell r="X16">
            <v>3295</v>
          </cell>
        </row>
        <row r="21">
          <cell r="E21">
            <v>319</v>
          </cell>
          <cell r="F21">
            <v>1160</v>
          </cell>
          <cell r="G21">
            <v>0</v>
          </cell>
          <cell r="H21">
            <v>463</v>
          </cell>
          <cell r="I21">
            <v>676</v>
          </cell>
          <cell r="J21">
            <v>337</v>
          </cell>
          <cell r="K21">
            <v>0</v>
          </cell>
          <cell r="L21">
            <v>0</v>
          </cell>
          <cell r="N21">
            <v>261</v>
          </cell>
          <cell r="O21">
            <v>405</v>
          </cell>
          <cell r="P21">
            <v>654</v>
          </cell>
          <cell r="Q21">
            <v>772</v>
          </cell>
          <cell r="R21">
            <v>0</v>
          </cell>
          <cell r="S21">
            <v>642</v>
          </cell>
          <cell r="T21">
            <v>250</v>
          </cell>
          <cell r="V21">
            <v>0</v>
          </cell>
          <cell r="W21">
            <v>677</v>
          </cell>
          <cell r="X21">
            <v>421</v>
          </cell>
        </row>
        <row r="22">
          <cell r="E22">
            <v>67</v>
          </cell>
          <cell r="F22">
            <v>10</v>
          </cell>
          <cell r="H22">
            <v>6</v>
          </cell>
          <cell r="I22">
            <v>1</v>
          </cell>
          <cell r="J22">
            <v>51</v>
          </cell>
          <cell r="O22">
            <v>106</v>
          </cell>
          <cell r="Q22">
            <v>3</v>
          </cell>
          <cell r="S22">
            <v>21</v>
          </cell>
          <cell r="W22">
            <v>13</v>
          </cell>
        </row>
        <row r="23">
          <cell r="E23">
            <v>31</v>
          </cell>
          <cell r="H23">
            <v>0</v>
          </cell>
          <cell r="J23">
            <v>52</v>
          </cell>
          <cell r="N23">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row r="11">
          <cell r="D11">
            <v>0</v>
          </cell>
        </row>
      </sheetData>
      <sheetData sheetId="2">
        <row r="11">
          <cell r="F11">
            <v>1</v>
          </cell>
        </row>
      </sheetData>
      <sheetData sheetId="3">
        <row r="12">
          <cell r="F12">
            <v>0</v>
          </cell>
        </row>
      </sheetData>
      <sheetData sheetId="4">
        <row r="13">
          <cell r="F13">
            <v>0</v>
          </cell>
        </row>
      </sheetData>
      <sheetData sheetId="5">
        <row r="12">
          <cell r="G12">
            <v>5</v>
          </cell>
        </row>
      </sheetData>
      <sheetData sheetId="6">
        <row r="13">
          <cell r="C13">
            <v>62</v>
          </cell>
        </row>
        <row r="15">
          <cell r="C15">
            <v>3</v>
          </cell>
        </row>
        <row r="16">
          <cell r="C16">
            <v>0</v>
          </cell>
        </row>
        <row r="17">
          <cell r="C17">
            <v>0</v>
          </cell>
        </row>
        <row r="18">
          <cell r="C18">
            <v>0</v>
          </cell>
        </row>
        <row r="19">
          <cell r="C19">
            <v>0</v>
          </cell>
        </row>
        <row r="20">
          <cell r="C20">
            <v>62</v>
          </cell>
        </row>
        <row r="21">
          <cell r="C21">
            <v>0</v>
          </cell>
        </row>
        <row r="22">
          <cell r="C22">
            <v>18</v>
          </cell>
        </row>
        <row r="23">
          <cell r="C23">
            <v>1</v>
          </cell>
        </row>
        <row r="24">
          <cell r="C24">
            <v>0</v>
          </cell>
        </row>
        <row r="25">
          <cell r="C25">
            <v>0</v>
          </cell>
        </row>
        <row r="26">
          <cell r="C26">
            <v>1</v>
          </cell>
        </row>
        <row r="27">
          <cell r="C27">
            <v>0</v>
          </cell>
        </row>
        <row r="28">
          <cell r="C28">
            <v>0</v>
          </cell>
        </row>
        <row r="29">
          <cell r="C29">
            <v>1</v>
          </cell>
        </row>
        <row r="30">
          <cell r="C30">
            <v>0</v>
          </cell>
        </row>
        <row r="31">
          <cell r="C31">
            <v>0</v>
          </cell>
        </row>
        <row r="32">
          <cell r="C32">
            <v>2</v>
          </cell>
        </row>
        <row r="33">
          <cell r="C33">
            <v>0</v>
          </cell>
        </row>
        <row r="34">
          <cell r="C34">
            <v>0</v>
          </cell>
        </row>
        <row r="35">
          <cell r="C35">
            <v>2</v>
          </cell>
        </row>
        <row r="36">
          <cell r="C36">
            <v>0</v>
          </cell>
        </row>
        <row r="37">
          <cell r="C37">
            <v>2</v>
          </cell>
        </row>
        <row r="38">
          <cell r="C38">
            <v>29</v>
          </cell>
        </row>
        <row r="39">
          <cell r="C39">
            <v>3</v>
          </cell>
        </row>
        <row r="40">
          <cell r="C40">
            <v>2</v>
          </cell>
        </row>
        <row r="41">
          <cell r="C41">
            <v>0</v>
          </cell>
        </row>
        <row r="42">
          <cell r="C42">
            <v>0</v>
          </cell>
        </row>
        <row r="43">
          <cell r="C43">
            <v>0</v>
          </cell>
        </row>
        <row r="44">
          <cell r="C44">
            <v>0</v>
          </cell>
        </row>
        <row r="45">
          <cell r="C45">
            <v>0</v>
          </cell>
        </row>
        <row r="46">
          <cell r="C46">
            <v>1</v>
          </cell>
        </row>
        <row r="47">
          <cell r="C47">
            <v>0</v>
          </cell>
        </row>
        <row r="48">
          <cell r="C48">
            <v>0</v>
          </cell>
        </row>
        <row r="49">
          <cell r="C49">
            <v>1</v>
          </cell>
        </row>
      </sheetData>
      <sheetData sheetId="7">
        <row r="10">
          <cell r="C10">
            <v>0</v>
          </cell>
        </row>
      </sheetData>
      <sheetData sheetId="8">
        <row r="12">
          <cell r="G12">
            <v>0</v>
          </cell>
        </row>
      </sheetData>
      <sheetData sheetId="9">
        <row r="12">
          <cell r="P12">
            <v>0</v>
          </cell>
        </row>
      </sheetData>
      <sheetData sheetId="10">
        <row r="10">
          <cell r="B10">
            <v>5</v>
          </cell>
        </row>
      </sheetData>
      <sheetData sheetId="11">
        <row r="12">
          <cell r="E12">
            <v>0</v>
          </cell>
        </row>
      </sheetData>
      <sheetData sheetId="12"/>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F13">
            <v>0</v>
          </cell>
        </row>
        <row r="65">
          <cell r="C65">
            <v>1252</v>
          </cell>
        </row>
        <row r="67">
          <cell r="C67">
            <v>0</v>
          </cell>
        </row>
        <row r="68">
          <cell r="C68">
            <v>0</v>
          </cell>
        </row>
        <row r="69">
          <cell r="C69">
            <v>0</v>
          </cell>
        </row>
        <row r="70">
          <cell r="C70">
            <v>0</v>
          </cell>
        </row>
        <row r="71">
          <cell r="C71">
            <v>0</v>
          </cell>
        </row>
        <row r="72">
          <cell r="C72">
            <v>1252</v>
          </cell>
        </row>
        <row r="73">
          <cell r="C73">
            <v>278</v>
          </cell>
        </row>
        <row r="74">
          <cell r="C74">
            <v>3</v>
          </cell>
        </row>
        <row r="75">
          <cell r="C75">
            <v>1</v>
          </cell>
        </row>
        <row r="76">
          <cell r="C76">
            <v>0</v>
          </cell>
        </row>
        <row r="77">
          <cell r="C77">
            <v>121</v>
          </cell>
        </row>
        <row r="78">
          <cell r="C78">
            <v>17</v>
          </cell>
        </row>
        <row r="79">
          <cell r="C79">
            <v>15</v>
          </cell>
        </row>
        <row r="80">
          <cell r="C80">
            <v>32</v>
          </cell>
        </row>
        <row r="81">
          <cell r="C81">
            <v>46</v>
          </cell>
        </row>
        <row r="82">
          <cell r="C82">
            <v>18</v>
          </cell>
        </row>
        <row r="83">
          <cell r="C83">
            <v>7</v>
          </cell>
        </row>
        <row r="84">
          <cell r="C84">
            <v>34</v>
          </cell>
        </row>
        <row r="85">
          <cell r="C85">
            <v>6</v>
          </cell>
        </row>
        <row r="86">
          <cell r="C86">
            <v>35</v>
          </cell>
        </row>
        <row r="87">
          <cell r="C87">
            <v>2</v>
          </cell>
        </row>
        <row r="88">
          <cell r="C88">
            <v>0</v>
          </cell>
        </row>
        <row r="89">
          <cell r="C89">
            <v>45</v>
          </cell>
        </row>
        <row r="90">
          <cell r="C90">
            <v>62</v>
          </cell>
        </row>
        <row r="91">
          <cell r="C91">
            <v>25</v>
          </cell>
        </row>
        <row r="92">
          <cell r="C92">
            <v>6</v>
          </cell>
        </row>
        <row r="93">
          <cell r="C93">
            <v>18</v>
          </cell>
        </row>
        <row r="94">
          <cell r="C94">
            <v>184</v>
          </cell>
        </row>
        <row r="95">
          <cell r="C95">
            <v>0</v>
          </cell>
        </row>
        <row r="96">
          <cell r="C96">
            <v>3</v>
          </cell>
        </row>
        <row r="97">
          <cell r="C97">
            <v>68</v>
          </cell>
        </row>
        <row r="98">
          <cell r="C98">
            <v>155</v>
          </cell>
        </row>
        <row r="99">
          <cell r="C99">
            <v>44</v>
          </cell>
        </row>
        <row r="100">
          <cell r="C100">
            <v>6</v>
          </cell>
        </row>
        <row r="101">
          <cell r="C101">
            <v>21</v>
          </cell>
        </row>
      </sheetData>
      <sheetData sheetId="7"/>
      <sheetData sheetId="8"/>
      <sheetData sheetId="9"/>
      <sheetData sheetId="10"/>
      <sheetData sheetId="11">
        <row r="12">
          <cell r="E12">
            <v>0</v>
          </cell>
        </row>
      </sheetData>
      <sheetData sheetId="12"/>
      <sheetData sheetId="1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F13">
            <v>0</v>
          </cell>
        </row>
        <row r="65">
          <cell r="C65">
            <v>1367</v>
          </cell>
        </row>
        <row r="67">
          <cell r="C67">
            <v>0</v>
          </cell>
        </row>
        <row r="68">
          <cell r="C68">
            <v>0</v>
          </cell>
        </row>
        <row r="69">
          <cell r="C69">
            <v>0</v>
          </cell>
        </row>
        <row r="70">
          <cell r="C70">
            <v>5</v>
          </cell>
        </row>
        <row r="71">
          <cell r="C71">
            <v>8</v>
          </cell>
        </row>
        <row r="72">
          <cell r="C72">
            <v>1367</v>
          </cell>
        </row>
        <row r="73">
          <cell r="C73">
            <v>219</v>
          </cell>
        </row>
        <row r="74">
          <cell r="C74">
            <v>46</v>
          </cell>
        </row>
        <row r="75">
          <cell r="C75">
            <v>0</v>
          </cell>
        </row>
        <row r="76">
          <cell r="C76">
            <v>0</v>
          </cell>
        </row>
        <row r="77">
          <cell r="C77">
            <v>125</v>
          </cell>
        </row>
        <row r="78">
          <cell r="C78">
            <v>11</v>
          </cell>
        </row>
        <row r="79">
          <cell r="C79">
            <v>38</v>
          </cell>
        </row>
        <row r="80">
          <cell r="C80">
            <v>0</v>
          </cell>
        </row>
        <row r="81">
          <cell r="C81">
            <v>5</v>
          </cell>
        </row>
        <row r="82">
          <cell r="C82">
            <v>50</v>
          </cell>
        </row>
        <row r="83">
          <cell r="C83">
            <v>0</v>
          </cell>
        </row>
        <row r="84">
          <cell r="C84">
            <v>66</v>
          </cell>
        </row>
        <row r="85">
          <cell r="C85">
            <v>0</v>
          </cell>
        </row>
        <row r="86">
          <cell r="C86">
            <v>0</v>
          </cell>
        </row>
        <row r="87">
          <cell r="C87">
            <v>0</v>
          </cell>
        </row>
        <row r="88">
          <cell r="C88">
            <v>2</v>
          </cell>
        </row>
        <row r="89">
          <cell r="C89">
            <v>0</v>
          </cell>
        </row>
        <row r="90">
          <cell r="C90">
            <v>113</v>
          </cell>
        </row>
        <row r="91">
          <cell r="C91">
            <v>155</v>
          </cell>
        </row>
        <row r="92">
          <cell r="C92">
            <v>41</v>
          </cell>
        </row>
        <row r="93">
          <cell r="C93">
            <v>37</v>
          </cell>
        </row>
        <row r="94">
          <cell r="C94">
            <v>124</v>
          </cell>
        </row>
        <row r="95">
          <cell r="C95">
            <v>0</v>
          </cell>
        </row>
        <row r="96">
          <cell r="C96">
            <v>0</v>
          </cell>
        </row>
        <row r="97">
          <cell r="C97">
            <v>69</v>
          </cell>
        </row>
        <row r="98">
          <cell r="C98">
            <v>200</v>
          </cell>
        </row>
        <row r="99">
          <cell r="C99">
            <v>39</v>
          </cell>
        </row>
        <row r="100">
          <cell r="C100">
            <v>0</v>
          </cell>
        </row>
        <row r="101">
          <cell r="C101">
            <v>27</v>
          </cell>
        </row>
      </sheetData>
      <sheetData sheetId="7"/>
      <sheetData sheetId="8"/>
      <sheetData sheetId="9"/>
      <sheetData sheetId="10"/>
      <sheetData sheetId="11">
        <row r="12">
          <cell r="E12">
            <v>0</v>
          </cell>
        </row>
      </sheetData>
      <sheetData sheetId="12"/>
      <sheetData sheetId="1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sheetData sheetId="1"/>
      <sheetData sheetId="2"/>
      <sheetData sheetId="3"/>
      <sheetData sheetId="4"/>
      <sheetData sheetId="5"/>
      <sheetData sheetId="6"/>
      <sheetData sheetId="7"/>
      <sheetData sheetId="8">
        <row r="19">
          <cell r="B19">
            <v>26371</v>
          </cell>
        </row>
        <row r="37">
          <cell r="E37">
            <v>9</v>
          </cell>
          <cell r="F37">
            <v>14</v>
          </cell>
          <cell r="G37">
            <v>15</v>
          </cell>
          <cell r="H37">
            <v>12</v>
          </cell>
          <cell r="I37">
            <v>21</v>
          </cell>
          <cell r="J37">
            <v>14</v>
          </cell>
          <cell r="K37">
            <v>14</v>
          </cell>
          <cell r="L37">
            <v>22</v>
          </cell>
          <cell r="M37">
            <v>21</v>
          </cell>
          <cell r="N37">
            <v>13</v>
          </cell>
          <cell r="O37">
            <v>21</v>
          </cell>
          <cell r="P37">
            <v>17</v>
          </cell>
          <cell r="Q37">
            <v>18</v>
          </cell>
          <cell r="R37">
            <v>12</v>
          </cell>
          <cell r="S37">
            <v>17</v>
          </cell>
          <cell r="T37">
            <v>19</v>
          </cell>
          <cell r="U37">
            <v>7</v>
          </cell>
          <cell r="V37">
            <v>18</v>
          </cell>
          <cell r="W37">
            <v>15</v>
          </cell>
          <cell r="X37">
            <v>16</v>
          </cell>
          <cell r="Y37">
            <v>16</v>
          </cell>
          <cell r="Z37">
            <v>11</v>
          </cell>
          <cell r="AA37">
            <v>12</v>
          </cell>
          <cell r="AB37">
            <v>11</v>
          </cell>
          <cell r="AC37">
            <v>12</v>
          </cell>
          <cell r="AD37">
            <v>15</v>
          </cell>
          <cell r="AE37">
            <v>9</v>
          </cell>
          <cell r="AF37">
            <v>12</v>
          </cell>
          <cell r="AG37">
            <v>9</v>
          </cell>
          <cell r="AH37">
            <v>19</v>
          </cell>
          <cell r="AI37">
            <v>6</v>
          </cell>
          <cell r="AJ37">
            <v>10</v>
          </cell>
          <cell r="AK37">
            <v>9</v>
          </cell>
          <cell r="AL37">
            <v>12</v>
          </cell>
        </row>
        <row r="38">
          <cell r="E38">
            <v>0</v>
          </cell>
          <cell r="F38">
            <v>0</v>
          </cell>
          <cell r="G38">
            <v>0</v>
          </cell>
          <cell r="H38">
            <v>0</v>
          </cell>
          <cell r="I38">
            <v>0</v>
          </cell>
          <cell r="J38">
            <v>0</v>
          </cell>
          <cell r="K38">
            <v>0</v>
          </cell>
          <cell r="L38">
            <v>2</v>
          </cell>
          <cell r="M38">
            <v>0</v>
          </cell>
          <cell r="N38">
            <v>1</v>
          </cell>
          <cell r="O38">
            <v>3</v>
          </cell>
          <cell r="P38">
            <v>1</v>
          </cell>
          <cell r="Q38">
            <v>0</v>
          </cell>
          <cell r="R38">
            <v>0</v>
          </cell>
          <cell r="S38">
            <v>0</v>
          </cell>
          <cell r="T38">
            <v>1</v>
          </cell>
          <cell r="U38">
            <v>0</v>
          </cell>
          <cell r="V38">
            <v>1</v>
          </cell>
          <cell r="W38">
            <v>4</v>
          </cell>
          <cell r="X38">
            <v>2</v>
          </cell>
          <cell r="Y38">
            <v>1</v>
          </cell>
          <cell r="Z38">
            <v>1</v>
          </cell>
          <cell r="AA38">
            <v>3</v>
          </cell>
          <cell r="AB38">
            <v>0</v>
          </cell>
          <cell r="AC38">
            <v>2</v>
          </cell>
          <cell r="AD38">
            <v>3</v>
          </cell>
          <cell r="AE38">
            <v>3</v>
          </cell>
          <cell r="AF38">
            <v>2</v>
          </cell>
          <cell r="AG38">
            <v>1</v>
          </cell>
          <cell r="AH38">
            <v>4</v>
          </cell>
          <cell r="AI38">
            <v>2</v>
          </cell>
          <cell r="AJ38">
            <v>1</v>
          </cell>
          <cell r="AK38">
            <v>1</v>
          </cell>
          <cell r="AL38">
            <v>1</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E41">
            <v>13</v>
          </cell>
          <cell r="F41">
            <v>15</v>
          </cell>
          <cell r="G41">
            <v>13</v>
          </cell>
          <cell r="H41">
            <v>19</v>
          </cell>
          <cell r="I41">
            <v>19</v>
          </cell>
          <cell r="J41">
            <v>27</v>
          </cell>
          <cell r="K41">
            <v>14</v>
          </cell>
          <cell r="L41">
            <v>67</v>
          </cell>
          <cell r="M41">
            <v>34</v>
          </cell>
          <cell r="N41">
            <v>65</v>
          </cell>
          <cell r="O41">
            <v>35</v>
          </cell>
          <cell r="P41">
            <v>61</v>
          </cell>
          <cell r="Q41">
            <v>36</v>
          </cell>
          <cell r="R41">
            <v>94</v>
          </cell>
          <cell r="S41">
            <v>52</v>
          </cell>
          <cell r="T41">
            <v>65</v>
          </cell>
          <cell r="U41">
            <v>29</v>
          </cell>
          <cell r="V41">
            <v>58</v>
          </cell>
          <cell r="W41">
            <v>74</v>
          </cell>
          <cell r="X41">
            <v>89</v>
          </cell>
          <cell r="Y41">
            <v>30</v>
          </cell>
          <cell r="Z41">
            <v>74</v>
          </cell>
          <cell r="AA41">
            <v>37</v>
          </cell>
          <cell r="AB41">
            <v>61</v>
          </cell>
          <cell r="AC41">
            <v>54</v>
          </cell>
          <cell r="AD41">
            <v>55</v>
          </cell>
          <cell r="AE41">
            <v>54</v>
          </cell>
          <cell r="AF41">
            <v>60</v>
          </cell>
          <cell r="AG41">
            <v>35</v>
          </cell>
          <cell r="AH41">
            <v>43</v>
          </cell>
          <cell r="AI41">
            <v>30</v>
          </cell>
          <cell r="AJ41">
            <v>27</v>
          </cell>
          <cell r="AK41">
            <v>25</v>
          </cell>
          <cell r="AL41">
            <v>27</v>
          </cell>
        </row>
        <row r="47">
          <cell r="E47">
            <v>961</v>
          </cell>
          <cell r="F47">
            <v>739</v>
          </cell>
          <cell r="G47">
            <v>589</v>
          </cell>
          <cell r="H47">
            <v>507</v>
          </cell>
          <cell r="I47">
            <v>343</v>
          </cell>
          <cell r="J47">
            <v>348</v>
          </cell>
          <cell r="K47">
            <v>336</v>
          </cell>
          <cell r="L47">
            <v>488</v>
          </cell>
          <cell r="M47">
            <v>487</v>
          </cell>
          <cell r="N47">
            <v>642</v>
          </cell>
          <cell r="O47">
            <v>462</v>
          </cell>
          <cell r="P47">
            <v>701</v>
          </cell>
          <cell r="Q47">
            <v>484</v>
          </cell>
          <cell r="R47">
            <v>623</v>
          </cell>
          <cell r="S47">
            <v>475</v>
          </cell>
          <cell r="T47">
            <v>634</v>
          </cell>
          <cell r="U47">
            <v>359</v>
          </cell>
          <cell r="V47">
            <v>596</v>
          </cell>
          <cell r="W47">
            <v>375</v>
          </cell>
          <cell r="X47">
            <v>654</v>
          </cell>
          <cell r="Y47">
            <v>411</v>
          </cell>
          <cell r="Z47">
            <v>682</v>
          </cell>
          <cell r="AA47">
            <v>450</v>
          </cell>
          <cell r="AB47">
            <v>631</v>
          </cell>
          <cell r="AC47">
            <v>331</v>
          </cell>
          <cell r="AD47">
            <v>453</v>
          </cell>
          <cell r="AE47">
            <v>310</v>
          </cell>
          <cell r="AF47">
            <v>398</v>
          </cell>
          <cell r="AG47">
            <v>241</v>
          </cell>
          <cell r="AH47">
            <v>272</v>
          </cell>
          <cell r="AI47">
            <v>207</v>
          </cell>
          <cell r="AJ47">
            <v>213</v>
          </cell>
          <cell r="AK47">
            <v>209</v>
          </cell>
          <cell r="AL47">
            <v>273</v>
          </cell>
        </row>
        <row r="48">
          <cell r="E48">
            <v>0</v>
          </cell>
          <cell r="F48">
            <v>0</v>
          </cell>
          <cell r="G48">
            <v>0</v>
          </cell>
          <cell r="H48">
            <v>0</v>
          </cell>
          <cell r="I48">
            <v>0</v>
          </cell>
          <cell r="J48">
            <v>0</v>
          </cell>
          <cell r="K48">
            <v>0</v>
          </cell>
          <cell r="L48">
            <v>1</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0</v>
          </cell>
        </row>
        <row r="252">
          <cell r="C252">
            <v>2639</v>
          </cell>
        </row>
        <row r="253">
          <cell r="C253">
            <v>855</v>
          </cell>
        </row>
        <row r="288">
          <cell r="C288">
            <v>210657</v>
          </cell>
        </row>
        <row r="289">
          <cell r="C289">
            <v>364229</v>
          </cell>
        </row>
        <row r="290">
          <cell r="C290">
            <v>15024</v>
          </cell>
        </row>
        <row r="291">
          <cell r="C291">
            <v>0</v>
          </cell>
        </row>
        <row r="292">
          <cell r="C292">
            <v>21937</v>
          </cell>
        </row>
        <row r="293">
          <cell r="C293">
            <v>108616</v>
          </cell>
        </row>
        <row r="294">
          <cell r="C294">
            <v>22780</v>
          </cell>
        </row>
        <row r="295">
          <cell r="C295">
            <v>2074</v>
          </cell>
        </row>
        <row r="296">
          <cell r="C296">
            <v>83762</v>
          </cell>
        </row>
        <row r="297">
          <cell r="C297">
            <v>45</v>
          </cell>
        </row>
        <row r="298">
          <cell r="C298">
            <v>1536</v>
          </cell>
        </row>
        <row r="299">
          <cell r="C299">
            <v>20638</v>
          </cell>
        </row>
        <row r="301">
          <cell r="C301">
            <v>15485</v>
          </cell>
        </row>
        <row r="302">
          <cell r="C302">
            <v>16</v>
          </cell>
        </row>
        <row r="303">
          <cell r="C303">
            <v>12415</v>
          </cell>
        </row>
        <row r="304">
          <cell r="C304">
            <v>8147</v>
          </cell>
        </row>
        <row r="305">
          <cell r="C305">
            <v>4945</v>
          </cell>
        </row>
        <row r="306">
          <cell r="C306">
            <v>2504</v>
          </cell>
        </row>
        <row r="307">
          <cell r="C307">
            <v>698</v>
          </cell>
        </row>
        <row r="311">
          <cell r="C311">
            <v>6260</v>
          </cell>
        </row>
        <row r="344">
          <cell r="C344">
            <v>262</v>
          </cell>
        </row>
        <row r="345">
          <cell r="C345">
            <v>953</v>
          </cell>
        </row>
        <row r="346">
          <cell r="C346">
            <v>288</v>
          </cell>
        </row>
        <row r="347">
          <cell r="C347">
            <v>17</v>
          </cell>
        </row>
        <row r="348">
          <cell r="C348">
            <v>329</v>
          </cell>
        </row>
        <row r="349">
          <cell r="C349">
            <v>1369</v>
          </cell>
        </row>
        <row r="350">
          <cell r="C350">
            <v>147</v>
          </cell>
        </row>
        <row r="351">
          <cell r="C351">
            <v>66</v>
          </cell>
        </row>
        <row r="352">
          <cell r="C352">
            <v>1318</v>
          </cell>
        </row>
        <row r="353">
          <cell r="C353">
            <v>103</v>
          </cell>
        </row>
        <row r="354">
          <cell r="C354">
            <v>171</v>
          </cell>
        </row>
        <row r="355">
          <cell r="C355">
            <v>82</v>
          </cell>
        </row>
        <row r="356">
          <cell r="C356">
            <v>267</v>
          </cell>
        </row>
        <row r="357">
          <cell r="C357">
            <v>1084</v>
          </cell>
        </row>
        <row r="361">
          <cell r="C361">
            <v>71</v>
          </cell>
        </row>
        <row r="362">
          <cell r="C362">
            <v>1052</v>
          </cell>
        </row>
        <row r="363">
          <cell r="C363">
            <v>0</v>
          </cell>
        </row>
        <row r="364">
          <cell r="K364">
            <v>3301</v>
          </cell>
        </row>
        <row r="368">
          <cell r="C368">
            <v>2189</v>
          </cell>
        </row>
        <row r="369">
          <cell r="C369">
            <v>1039</v>
          </cell>
        </row>
        <row r="370">
          <cell r="C370">
            <v>1038</v>
          </cell>
        </row>
        <row r="371">
          <cell r="C371">
            <v>12</v>
          </cell>
        </row>
        <row r="414">
          <cell r="C414">
            <v>451</v>
          </cell>
        </row>
        <row r="416">
          <cell r="C416">
            <v>6518</v>
          </cell>
        </row>
        <row r="417">
          <cell r="C417">
            <v>0</v>
          </cell>
        </row>
        <row r="418">
          <cell r="C418">
            <v>8582</v>
          </cell>
        </row>
        <row r="419">
          <cell r="C419">
            <v>266</v>
          </cell>
        </row>
      </sheetData>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230</v>
          </cell>
        </row>
        <row r="252">
          <cell r="C252">
            <v>0</v>
          </cell>
        </row>
        <row r="253">
          <cell r="C253">
            <v>0</v>
          </cell>
        </row>
        <row r="288">
          <cell r="C288">
            <v>136545</v>
          </cell>
        </row>
        <row r="289">
          <cell r="C289">
            <v>221190</v>
          </cell>
        </row>
        <row r="290">
          <cell r="C290">
            <v>12355</v>
          </cell>
        </row>
        <row r="291">
          <cell r="C291">
            <v>0</v>
          </cell>
        </row>
        <row r="292">
          <cell r="C292">
            <v>17130</v>
          </cell>
        </row>
        <row r="293">
          <cell r="C293">
            <v>25590</v>
          </cell>
        </row>
        <row r="294">
          <cell r="C294">
            <v>20263</v>
          </cell>
        </row>
        <row r="295">
          <cell r="C295">
            <v>557</v>
          </cell>
        </row>
        <row r="296">
          <cell r="C296">
            <v>4770</v>
          </cell>
        </row>
        <row r="297">
          <cell r="C297">
            <v>0</v>
          </cell>
        </row>
        <row r="298">
          <cell r="C298">
            <v>472</v>
          </cell>
        </row>
        <row r="299">
          <cell r="C299">
            <v>13520</v>
          </cell>
        </row>
        <row r="301">
          <cell r="C301">
            <v>27635</v>
          </cell>
        </row>
        <row r="302">
          <cell r="C302">
            <v>7</v>
          </cell>
        </row>
        <row r="303">
          <cell r="C303">
            <v>5836</v>
          </cell>
        </row>
        <row r="304">
          <cell r="C304">
            <v>5897</v>
          </cell>
        </row>
        <row r="305">
          <cell r="C305">
            <v>3186</v>
          </cell>
        </row>
        <row r="306">
          <cell r="C306">
            <v>1861</v>
          </cell>
        </row>
        <row r="307">
          <cell r="C307">
            <v>850</v>
          </cell>
        </row>
        <row r="311">
          <cell r="C311">
            <v>0</v>
          </cell>
        </row>
        <row r="344">
          <cell r="C344">
            <v>4</v>
          </cell>
        </row>
        <row r="345">
          <cell r="C345">
            <v>17</v>
          </cell>
        </row>
        <row r="346">
          <cell r="C346">
            <v>20</v>
          </cell>
        </row>
        <row r="347">
          <cell r="C347">
            <v>60</v>
          </cell>
        </row>
        <row r="348">
          <cell r="C348">
            <v>309</v>
          </cell>
        </row>
        <row r="349">
          <cell r="C349">
            <v>1101</v>
          </cell>
        </row>
        <row r="350">
          <cell r="C350">
            <v>181</v>
          </cell>
        </row>
        <row r="351">
          <cell r="C351">
            <v>43</v>
          </cell>
        </row>
        <row r="352">
          <cell r="C352">
            <v>971</v>
          </cell>
        </row>
        <row r="353">
          <cell r="C353">
            <v>66</v>
          </cell>
        </row>
        <row r="354">
          <cell r="C354">
            <v>450</v>
          </cell>
        </row>
        <row r="355">
          <cell r="C355">
            <v>48</v>
          </cell>
        </row>
        <row r="356">
          <cell r="C356">
            <v>223</v>
          </cell>
        </row>
        <row r="357">
          <cell r="C357">
            <v>466</v>
          </cell>
        </row>
        <row r="361">
          <cell r="C361">
            <v>1483</v>
          </cell>
        </row>
        <row r="362">
          <cell r="C362">
            <v>1371</v>
          </cell>
        </row>
        <row r="363">
          <cell r="C363">
            <v>105</v>
          </cell>
        </row>
        <row r="364">
          <cell r="K364">
            <v>2783</v>
          </cell>
        </row>
        <row r="368">
          <cell r="C368">
            <v>1967</v>
          </cell>
        </row>
        <row r="369">
          <cell r="C369">
            <v>240</v>
          </cell>
        </row>
        <row r="370">
          <cell r="C370">
            <v>1906</v>
          </cell>
        </row>
        <row r="371">
          <cell r="C371">
            <v>22</v>
          </cell>
        </row>
        <row r="414">
          <cell r="C414">
            <v>294</v>
          </cell>
        </row>
        <row r="416">
          <cell r="C416">
            <v>4911</v>
          </cell>
        </row>
        <row r="417">
          <cell r="C417">
            <v>0</v>
          </cell>
        </row>
        <row r="418">
          <cell r="C418">
            <v>147</v>
          </cell>
        </row>
        <row r="419">
          <cell r="C419">
            <v>1286</v>
          </cell>
        </row>
      </sheetData>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0</v>
          </cell>
        </row>
        <row r="252">
          <cell r="C252">
            <v>0</v>
          </cell>
        </row>
        <row r="253">
          <cell r="C253">
            <v>0</v>
          </cell>
        </row>
        <row r="288">
          <cell r="C288">
            <v>34548</v>
          </cell>
        </row>
        <row r="289">
          <cell r="C289">
            <v>44227</v>
          </cell>
        </row>
        <row r="290">
          <cell r="C290">
            <v>2127</v>
          </cell>
        </row>
        <row r="291">
          <cell r="C291">
            <v>0</v>
          </cell>
        </row>
        <row r="292">
          <cell r="C292">
            <v>273</v>
          </cell>
        </row>
        <row r="293">
          <cell r="C293">
            <v>5748</v>
          </cell>
        </row>
        <row r="294">
          <cell r="C294">
            <v>5712</v>
          </cell>
        </row>
        <row r="295">
          <cell r="C295">
            <v>36</v>
          </cell>
        </row>
        <row r="296">
          <cell r="C296">
            <v>0</v>
          </cell>
        </row>
        <row r="297">
          <cell r="C297">
            <v>0</v>
          </cell>
        </row>
        <row r="298">
          <cell r="C298">
            <v>87</v>
          </cell>
        </row>
        <row r="299">
          <cell r="C299">
            <v>6998</v>
          </cell>
        </row>
        <row r="301">
          <cell r="C301">
            <v>12113</v>
          </cell>
        </row>
        <row r="302">
          <cell r="C302">
            <v>0</v>
          </cell>
        </row>
        <row r="303">
          <cell r="C303">
            <v>0</v>
          </cell>
        </row>
        <row r="304">
          <cell r="C304">
            <v>398</v>
          </cell>
        </row>
        <row r="305">
          <cell r="C305">
            <v>0</v>
          </cell>
        </row>
        <row r="306">
          <cell r="C306">
            <v>398</v>
          </cell>
        </row>
        <row r="307">
          <cell r="C307">
            <v>0</v>
          </cell>
        </row>
        <row r="311">
          <cell r="C311">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61">
          <cell r="C361">
            <v>0</v>
          </cell>
        </row>
        <row r="362">
          <cell r="C362">
            <v>0</v>
          </cell>
        </row>
        <row r="363">
          <cell r="C363">
            <v>0</v>
          </cell>
        </row>
        <row r="364">
          <cell r="K364">
            <v>0</v>
          </cell>
        </row>
        <row r="414">
          <cell r="C414">
            <v>0</v>
          </cell>
        </row>
        <row r="416">
          <cell r="C416">
            <v>750</v>
          </cell>
        </row>
        <row r="417">
          <cell r="C417">
            <v>0</v>
          </cell>
        </row>
        <row r="418">
          <cell r="C418">
            <v>0</v>
          </cell>
        </row>
        <row r="419">
          <cell r="C419">
            <v>115</v>
          </cell>
        </row>
      </sheetData>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101">
          <cell r="C101">
            <v>0</v>
          </cell>
        </row>
        <row r="252">
          <cell r="C252">
            <v>0</v>
          </cell>
        </row>
        <row r="253">
          <cell r="C253">
            <v>0</v>
          </cell>
        </row>
        <row r="288">
          <cell r="C288">
            <v>0</v>
          </cell>
        </row>
        <row r="289">
          <cell r="C289">
            <v>219</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925</v>
          </cell>
        </row>
        <row r="301">
          <cell r="C301">
            <v>4634</v>
          </cell>
        </row>
        <row r="302">
          <cell r="C302">
            <v>0</v>
          </cell>
        </row>
        <row r="303">
          <cell r="C303">
            <v>0</v>
          </cell>
        </row>
        <row r="304">
          <cell r="C304">
            <v>0</v>
          </cell>
        </row>
        <row r="305">
          <cell r="C305">
            <v>0</v>
          </cell>
        </row>
        <row r="306">
          <cell r="C306">
            <v>0</v>
          </cell>
        </row>
        <row r="307">
          <cell r="C307">
            <v>0</v>
          </cell>
        </row>
        <row r="311">
          <cell r="C311">
            <v>0</v>
          </cell>
        </row>
        <row r="344">
          <cell r="C344">
            <v>0</v>
          </cell>
        </row>
        <row r="345">
          <cell r="C345">
            <v>0</v>
          </cell>
        </row>
        <row r="346">
          <cell r="C346">
            <v>0</v>
          </cell>
        </row>
        <row r="347">
          <cell r="C347">
            <v>0</v>
          </cell>
        </row>
        <row r="348">
          <cell r="C348">
            <v>73</v>
          </cell>
        </row>
        <row r="349">
          <cell r="C349">
            <v>182</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61">
          <cell r="C361">
            <v>1</v>
          </cell>
        </row>
        <row r="362">
          <cell r="C362">
            <v>0</v>
          </cell>
        </row>
        <row r="363">
          <cell r="C363">
            <v>0</v>
          </cell>
        </row>
        <row r="364">
          <cell r="K364">
            <v>256</v>
          </cell>
        </row>
        <row r="414">
          <cell r="C414">
            <v>0</v>
          </cell>
        </row>
        <row r="416">
          <cell r="C416">
            <v>927</v>
          </cell>
        </row>
        <row r="417">
          <cell r="C417">
            <v>0</v>
          </cell>
        </row>
        <row r="418">
          <cell r="C418">
            <v>0</v>
          </cell>
        </row>
        <row r="419">
          <cell r="C419">
            <v>0</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364">
          <cell r="K364">
            <v>0</v>
          </cell>
        </row>
      </sheetData>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288">
          <cell r="C288">
            <v>0</v>
          </cell>
        </row>
        <row r="289">
          <cell r="C289">
            <v>0</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0</v>
          </cell>
        </row>
        <row r="301">
          <cell r="C301">
            <v>0</v>
          </cell>
        </row>
        <row r="302">
          <cell r="C302">
            <v>0</v>
          </cell>
        </row>
        <row r="303">
          <cell r="C303">
            <v>0</v>
          </cell>
        </row>
        <row r="304">
          <cell r="C304">
            <v>329</v>
          </cell>
        </row>
        <row r="305">
          <cell r="C305">
            <v>11</v>
          </cell>
        </row>
        <row r="306">
          <cell r="C306">
            <v>318</v>
          </cell>
        </row>
        <row r="307">
          <cell r="C307">
            <v>0</v>
          </cell>
        </row>
        <row r="349">
          <cell r="C349">
            <v>62</v>
          </cell>
        </row>
        <row r="364">
          <cell r="K364">
            <v>62</v>
          </cell>
        </row>
        <row r="416">
          <cell r="C416">
            <v>5144</v>
          </cell>
        </row>
        <row r="417">
          <cell r="C417">
            <v>0</v>
          </cell>
        </row>
        <row r="418">
          <cell r="C418">
            <v>0</v>
          </cell>
        </row>
        <row r="419">
          <cell r="C419">
            <v>0</v>
          </cell>
        </row>
      </sheetData>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z"/>
      <sheetName val="abril"/>
      <sheetName val="mayo"/>
      <sheetName val="junio"/>
      <sheetName val="julio"/>
      <sheetName val="agosto"/>
      <sheetName val="sept"/>
      <sheetName val="oct"/>
      <sheetName val="nov"/>
      <sheetName val="dic"/>
      <sheetName val="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19</v>
          </cell>
          <cell r="E5">
            <v>0</v>
          </cell>
          <cell r="F5">
            <v>49</v>
          </cell>
          <cell r="G5">
            <v>0</v>
          </cell>
          <cell r="H5">
            <v>21</v>
          </cell>
          <cell r="I5">
            <v>0</v>
          </cell>
          <cell r="J5">
            <v>33</v>
          </cell>
          <cell r="K5">
            <v>0</v>
          </cell>
          <cell r="L5">
            <v>29</v>
          </cell>
          <cell r="M5">
            <v>0</v>
          </cell>
          <cell r="N5">
            <v>13</v>
          </cell>
          <cell r="O5">
            <v>0</v>
          </cell>
          <cell r="P5">
            <v>68</v>
          </cell>
          <cell r="Q5">
            <v>0</v>
          </cell>
          <cell r="R5">
            <v>114</v>
          </cell>
          <cell r="S5">
            <v>0</v>
          </cell>
          <cell r="T5">
            <v>29</v>
          </cell>
          <cell r="U5">
            <v>10</v>
          </cell>
          <cell r="V5">
            <v>33</v>
          </cell>
          <cell r="W5">
            <v>0</v>
          </cell>
          <cell r="X5">
            <v>17</v>
          </cell>
          <cell r="Y5">
            <v>0</v>
          </cell>
          <cell r="Z5">
            <v>33</v>
          </cell>
          <cell r="AA5">
            <v>0</v>
          </cell>
          <cell r="AB5">
            <v>30</v>
          </cell>
          <cell r="AC5">
            <v>0</v>
          </cell>
        </row>
        <row r="6">
          <cell r="D6">
            <v>0</v>
          </cell>
          <cell r="E6">
            <v>212</v>
          </cell>
          <cell r="F6">
            <v>0</v>
          </cell>
          <cell r="G6">
            <v>317</v>
          </cell>
          <cell r="H6">
            <v>0</v>
          </cell>
          <cell r="I6">
            <v>106</v>
          </cell>
          <cell r="J6">
            <v>0</v>
          </cell>
          <cell r="K6">
            <v>88</v>
          </cell>
          <cell r="L6">
            <v>0</v>
          </cell>
          <cell r="M6">
            <v>160</v>
          </cell>
          <cell r="N6">
            <v>0</v>
          </cell>
          <cell r="O6">
            <v>125</v>
          </cell>
          <cell r="P6">
            <v>0</v>
          </cell>
          <cell r="Q6">
            <v>361</v>
          </cell>
          <cell r="R6">
            <v>0</v>
          </cell>
          <cell r="S6">
            <v>369</v>
          </cell>
          <cell r="T6">
            <v>0</v>
          </cell>
          <cell r="U6">
            <v>142</v>
          </cell>
          <cell r="V6">
            <v>2</v>
          </cell>
          <cell r="W6">
            <v>282</v>
          </cell>
          <cell r="X6">
            <v>0</v>
          </cell>
          <cell r="Y6">
            <v>85</v>
          </cell>
          <cell r="Z6">
            <v>1</v>
          </cell>
          <cell r="AA6">
            <v>184</v>
          </cell>
          <cell r="AB6">
            <v>0</v>
          </cell>
          <cell r="AC6">
            <v>211</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D8">
            <v>0</v>
          </cell>
          <cell r="E8">
            <v>0</v>
          </cell>
          <cell r="F8">
            <v>0</v>
          </cell>
          <cell r="G8">
            <v>0</v>
          </cell>
          <cell r="H8">
            <v>0</v>
          </cell>
          <cell r="I8">
            <v>0</v>
          </cell>
          <cell r="J8">
            <v>0</v>
          </cell>
          <cell r="K8">
            <v>0</v>
          </cell>
          <cell r="L8">
            <v>1</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D9">
            <v>0</v>
          </cell>
          <cell r="E9">
            <v>0</v>
          </cell>
          <cell r="F9">
            <v>0</v>
          </cell>
          <cell r="G9">
            <v>1</v>
          </cell>
          <cell r="H9">
            <v>0</v>
          </cell>
          <cell r="I9">
            <v>0</v>
          </cell>
          <cell r="J9">
            <v>0</v>
          </cell>
          <cell r="K9">
            <v>1</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row>
        <row r="10">
          <cell r="D10">
            <v>0</v>
          </cell>
          <cell r="E10">
            <v>0</v>
          </cell>
          <cell r="F10">
            <v>0</v>
          </cell>
          <cell r="G10">
            <v>0</v>
          </cell>
          <cell r="H10">
            <v>0</v>
          </cell>
          <cell r="I10">
            <v>0</v>
          </cell>
          <cell r="J10">
            <v>1</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D15">
            <v>0</v>
          </cell>
          <cell r="E15">
            <v>0</v>
          </cell>
          <cell r="F15">
            <v>0</v>
          </cell>
          <cell r="G15">
            <v>1</v>
          </cell>
          <cell r="H15">
            <v>0</v>
          </cell>
          <cell r="I15">
            <v>0</v>
          </cell>
          <cell r="J15">
            <v>0</v>
          </cell>
          <cell r="K15">
            <v>0</v>
          </cell>
          <cell r="L15">
            <v>0</v>
          </cell>
          <cell r="M15">
            <v>0</v>
          </cell>
          <cell r="N15">
            <v>0</v>
          </cell>
          <cell r="O15">
            <v>1</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D19">
            <v>0</v>
          </cell>
          <cell r="E19">
            <v>0</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D20">
            <v>0</v>
          </cell>
          <cell r="E20">
            <v>0</v>
          </cell>
          <cell r="F20">
            <v>0</v>
          </cell>
          <cell r="G20">
            <v>2</v>
          </cell>
          <cell r="H20">
            <v>0</v>
          </cell>
          <cell r="I20">
            <v>0</v>
          </cell>
          <cell r="J20">
            <v>0</v>
          </cell>
          <cell r="K20">
            <v>0</v>
          </cell>
          <cell r="L20">
            <v>0</v>
          </cell>
          <cell r="M20">
            <v>3</v>
          </cell>
          <cell r="N20">
            <v>0</v>
          </cell>
          <cell r="O20">
            <v>0</v>
          </cell>
          <cell r="P20">
            <v>0</v>
          </cell>
          <cell r="Q20">
            <v>0</v>
          </cell>
          <cell r="R20">
            <v>0</v>
          </cell>
          <cell r="S20">
            <v>0</v>
          </cell>
          <cell r="T20">
            <v>0</v>
          </cell>
          <cell r="U20">
            <v>0</v>
          </cell>
          <cell r="V20">
            <v>0</v>
          </cell>
          <cell r="W20">
            <v>0</v>
          </cell>
          <cell r="X20">
            <v>0</v>
          </cell>
          <cell r="Y20">
            <v>0</v>
          </cell>
          <cell r="Z20">
            <v>0</v>
          </cell>
          <cell r="AA20">
            <v>1</v>
          </cell>
          <cell r="AB20">
            <v>0</v>
          </cell>
          <cell r="AC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row>
        <row r="24">
          <cell r="D24">
            <v>0</v>
          </cell>
          <cell r="E24">
            <v>0</v>
          </cell>
          <cell r="F24">
            <v>0</v>
          </cell>
          <cell r="G24">
            <v>0</v>
          </cell>
          <cell r="H24">
            <v>0</v>
          </cell>
          <cell r="I24">
            <v>0</v>
          </cell>
          <cell r="J24">
            <v>0</v>
          </cell>
          <cell r="K24">
            <v>0</v>
          </cell>
          <cell r="L24">
            <v>0</v>
          </cell>
          <cell r="M24">
            <v>2</v>
          </cell>
          <cell r="N24">
            <v>0</v>
          </cell>
          <cell r="O24">
            <v>0</v>
          </cell>
          <cell r="P24">
            <v>0</v>
          </cell>
          <cell r="Q24">
            <v>2</v>
          </cell>
          <cell r="R24">
            <v>0</v>
          </cell>
          <cell r="S24">
            <v>0</v>
          </cell>
          <cell r="T24">
            <v>0</v>
          </cell>
          <cell r="U24">
            <v>0</v>
          </cell>
          <cell r="V24">
            <v>0</v>
          </cell>
          <cell r="W24">
            <v>0</v>
          </cell>
          <cell r="X24">
            <v>0</v>
          </cell>
          <cell r="Y24">
            <v>0</v>
          </cell>
          <cell r="Z24">
            <v>0</v>
          </cell>
          <cell r="AA24">
            <v>7</v>
          </cell>
          <cell r="AB24">
            <v>0</v>
          </cell>
          <cell r="AC24">
            <v>0</v>
          </cell>
        </row>
        <row r="25">
          <cell r="D25">
            <v>4</v>
          </cell>
          <cell r="E25">
            <v>31</v>
          </cell>
          <cell r="F25">
            <v>20</v>
          </cell>
          <cell r="G25">
            <v>92</v>
          </cell>
          <cell r="H25">
            <v>13</v>
          </cell>
          <cell r="I25">
            <v>7</v>
          </cell>
          <cell r="J25">
            <v>13</v>
          </cell>
          <cell r="K25">
            <v>34</v>
          </cell>
          <cell r="L25">
            <v>4</v>
          </cell>
          <cell r="M25">
            <v>26</v>
          </cell>
          <cell r="N25">
            <v>4</v>
          </cell>
          <cell r="O25">
            <v>21</v>
          </cell>
          <cell r="P25">
            <v>28</v>
          </cell>
          <cell r="Q25">
            <v>84</v>
          </cell>
          <cell r="R25">
            <v>39</v>
          </cell>
          <cell r="S25">
            <v>84</v>
          </cell>
          <cell r="T25">
            <v>12</v>
          </cell>
          <cell r="U25">
            <v>44</v>
          </cell>
          <cell r="V25">
            <v>9</v>
          </cell>
          <cell r="W25">
            <v>43</v>
          </cell>
          <cell r="X25">
            <v>7</v>
          </cell>
          <cell r="Y25">
            <v>14</v>
          </cell>
          <cell r="Z25">
            <v>5</v>
          </cell>
          <cell r="AA25">
            <v>37</v>
          </cell>
          <cell r="AB25">
            <v>12</v>
          </cell>
          <cell r="AC25">
            <v>55</v>
          </cell>
        </row>
        <row r="26">
          <cell r="D26">
            <v>0</v>
          </cell>
          <cell r="E26">
            <v>0</v>
          </cell>
          <cell r="F26">
            <v>0</v>
          </cell>
          <cell r="G26">
            <v>3</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row>
        <row r="27">
          <cell r="D27">
            <v>0</v>
          </cell>
          <cell r="E27">
            <v>16</v>
          </cell>
          <cell r="F27">
            <v>0</v>
          </cell>
          <cell r="G27">
            <v>4</v>
          </cell>
          <cell r="H27">
            <v>0</v>
          </cell>
          <cell r="I27">
            <v>7</v>
          </cell>
          <cell r="J27">
            <v>0</v>
          </cell>
          <cell r="K27">
            <v>1</v>
          </cell>
          <cell r="L27">
            <v>0</v>
          </cell>
          <cell r="M27">
            <v>2</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row>
        <row r="29">
          <cell r="D29">
            <v>0</v>
          </cell>
          <cell r="E29">
            <v>0</v>
          </cell>
          <cell r="F29">
            <v>0</v>
          </cell>
          <cell r="G29">
            <v>0</v>
          </cell>
          <cell r="H29">
            <v>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D30">
            <v>1</v>
          </cell>
          <cell r="E30">
            <v>0</v>
          </cell>
          <cell r="F30">
            <v>0</v>
          </cell>
          <cell r="G30">
            <v>0</v>
          </cell>
          <cell r="H30">
            <v>0</v>
          </cell>
          <cell r="I30">
            <v>0</v>
          </cell>
          <cell r="J30">
            <v>0</v>
          </cell>
          <cell r="K30">
            <v>0</v>
          </cell>
          <cell r="L30">
            <v>0</v>
          </cell>
          <cell r="M30">
            <v>0</v>
          </cell>
          <cell r="N30">
            <v>0</v>
          </cell>
          <cell r="O30">
            <v>0</v>
          </cell>
          <cell r="P30">
            <v>3</v>
          </cell>
          <cell r="Q30">
            <v>0</v>
          </cell>
          <cell r="R30">
            <v>1</v>
          </cell>
          <cell r="S30">
            <v>0</v>
          </cell>
          <cell r="T30">
            <v>0</v>
          </cell>
          <cell r="U30">
            <v>0</v>
          </cell>
          <cell r="V30">
            <v>0</v>
          </cell>
          <cell r="W30">
            <v>0</v>
          </cell>
          <cell r="X30">
            <v>0</v>
          </cell>
          <cell r="Y30">
            <v>0</v>
          </cell>
          <cell r="Z30">
            <v>1</v>
          </cell>
          <cell r="AA30">
            <v>0</v>
          </cell>
          <cell r="AB30">
            <v>0</v>
          </cell>
          <cell r="AC30">
            <v>0</v>
          </cell>
        </row>
        <row r="31">
          <cell r="D31">
            <v>0</v>
          </cell>
          <cell r="E31">
            <v>1</v>
          </cell>
          <cell r="F31">
            <v>0</v>
          </cell>
          <cell r="G31">
            <v>8</v>
          </cell>
          <cell r="H31">
            <v>3</v>
          </cell>
          <cell r="I31">
            <v>4</v>
          </cell>
          <cell r="J31">
            <v>0</v>
          </cell>
          <cell r="K31">
            <v>1</v>
          </cell>
          <cell r="L31">
            <v>0</v>
          </cell>
          <cell r="M31">
            <v>1</v>
          </cell>
          <cell r="N31">
            <v>0</v>
          </cell>
          <cell r="O31">
            <v>5</v>
          </cell>
          <cell r="P31">
            <v>0</v>
          </cell>
          <cell r="Q31">
            <v>26</v>
          </cell>
          <cell r="R31">
            <v>0</v>
          </cell>
          <cell r="S31">
            <v>4</v>
          </cell>
          <cell r="T31">
            <v>0</v>
          </cell>
          <cell r="U31">
            <v>10</v>
          </cell>
          <cell r="V31">
            <v>0</v>
          </cell>
          <cell r="W31">
            <v>86</v>
          </cell>
          <cell r="X31">
            <v>0</v>
          </cell>
          <cell r="Y31">
            <v>0</v>
          </cell>
          <cell r="Z31">
            <v>0</v>
          </cell>
          <cell r="AA31">
            <v>7</v>
          </cell>
          <cell r="AB31">
            <v>0</v>
          </cell>
          <cell r="AC31">
            <v>2</v>
          </cell>
        </row>
        <row r="32">
          <cell r="D32">
            <v>17</v>
          </cell>
          <cell r="E32">
            <v>0</v>
          </cell>
          <cell r="F32">
            <v>36</v>
          </cell>
          <cell r="G32">
            <v>0</v>
          </cell>
          <cell r="H32">
            <v>5</v>
          </cell>
          <cell r="I32">
            <v>6</v>
          </cell>
          <cell r="J32">
            <v>11</v>
          </cell>
          <cell r="K32">
            <v>0</v>
          </cell>
          <cell r="L32">
            <v>7</v>
          </cell>
          <cell r="M32">
            <v>0</v>
          </cell>
          <cell r="N32">
            <v>8</v>
          </cell>
          <cell r="O32">
            <v>0</v>
          </cell>
          <cell r="P32">
            <v>36</v>
          </cell>
          <cell r="Q32">
            <v>0</v>
          </cell>
          <cell r="R32">
            <v>66</v>
          </cell>
          <cell r="S32">
            <v>0</v>
          </cell>
          <cell r="T32">
            <v>10</v>
          </cell>
          <cell r="U32">
            <v>0</v>
          </cell>
          <cell r="V32">
            <v>29</v>
          </cell>
          <cell r="W32">
            <v>0</v>
          </cell>
          <cell r="X32">
            <v>0</v>
          </cell>
          <cell r="Y32">
            <v>7</v>
          </cell>
          <cell r="Z32">
            <v>11</v>
          </cell>
          <cell r="AA32">
            <v>0</v>
          </cell>
          <cell r="AB32">
            <v>10</v>
          </cell>
          <cell r="AC32">
            <v>0</v>
          </cell>
        </row>
        <row r="33">
          <cell r="D33">
            <v>0</v>
          </cell>
          <cell r="E33">
            <v>43</v>
          </cell>
          <cell r="F33">
            <v>0</v>
          </cell>
          <cell r="G33">
            <v>115</v>
          </cell>
          <cell r="H33">
            <v>0</v>
          </cell>
          <cell r="I33">
            <v>18</v>
          </cell>
          <cell r="J33">
            <v>0</v>
          </cell>
          <cell r="K33">
            <v>24</v>
          </cell>
          <cell r="L33">
            <v>0</v>
          </cell>
          <cell r="M33">
            <v>32</v>
          </cell>
          <cell r="N33">
            <v>0</v>
          </cell>
          <cell r="O33">
            <v>34</v>
          </cell>
          <cell r="P33">
            <v>0</v>
          </cell>
          <cell r="Q33">
            <v>124</v>
          </cell>
          <cell r="R33">
            <v>0</v>
          </cell>
          <cell r="S33">
            <v>120</v>
          </cell>
          <cell r="T33">
            <v>0</v>
          </cell>
          <cell r="U33">
            <v>37</v>
          </cell>
          <cell r="V33">
            <v>3</v>
          </cell>
          <cell r="W33">
            <v>98</v>
          </cell>
          <cell r="X33">
            <v>1</v>
          </cell>
          <cell r="Y33">
            <v>14</v>
          </cell>
          <cell r="Z33">
            <v>0</v>
          </cell>
          <cell r="AA33">
            <v>67</v>
          </cell>
          <cell r="AB33">
            <v>1</v>
          </cell>
          <cell r="AC33">
            <v>50</v>
          </cell>
        </row>
        <row r="34">
          <cell r="D34">
            <v>0</v>
          </cell>
          <cell r="E34">
            <v>0</v>
          </cell>
          <cell r="F34">
            <v>0</v>
          </cell>
          <cell r="G34">
            <v>0</v>
          </cell>
          <cell r="H34">
            <v>1</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row>
        <row r="35">
          <cell r="D35">
            <v>4</v>
          </cell>
          <cell r="E35">
            <v>0</v>
          </cell>
          <cell r="F35">
            <v>10</v>
          </cell>
          <cell r="G35">
            <v>2</v>
          </cell>
          <cell r="H35">
            <v>2</v>
          </cell>
          <cell r="I35">
            <v>1</v>
          </cell>
          <cell r="J35">
            <v>1</v>
          </cell>
          <cell r="K35">
            <v>0</v>
          </cell>
          <cell r="L35">
            <v>8</v>
          </cell>
          <cell r="M35">
            <v>0</v>
          </cell>
          <cell r="N35">
            <v>0</v>
          </cell>
          <cell r="O35">
            <v>0</v>
          </cell>
          <cell r="P35">
            <v>17</v>
          </cell>
          <cell r="Q35">
            <v>0</v>
          </cell>
          <cell r="R35">
            <v>29</v>
          </cell>
          <cell r="S35">
            <v>0</v>
          </cell>
          <cell r="T35">
            <v>1</v>
          </cell>
          <cell r="U35">
            <v>0</v>
          </cell>
          <cell r="V35">
            <v>1</v>
          </cell>
          <cell r="W35">
            <v>0</v>
          </cell>
          <cell r="X35">
            <v>1</v>
          </cell>
          <cell r="Y35">
            <v>0</v>
          </cell>
          <cell r="Z35">
            <v>9</v>
          </cell>
          <cell r="AA35">
            <v>0</v>
          </cell>
          <cell r="AB35">
            <v>3</v>
          </cell>
          <cell r="AC35">
            <v>0</v>
          </cell>
        </row>
        <row r="36">
          <cell r="D36">
            <v>0</v>
          </cell>
          <cell r="E36">
            <v>27</v>
          </cell>
          <cell r="F36">
            <v>0</v>
          </cell>
          <cell r="G36">
            <v>74</v>
          </cell>
          <cell r="H36">
            <v>6</v>
          </cell>
          <cell r="I36">
            <v>11</v>
          </cell>
          <cell r="J36">
            <v>0</v>
          </cell>
          <cell r="K36">
            <v>6</v>
          </cell>
          <cell r="L36">
            <v>0</v>
          </cell>
          <cell r="M36">
            <v>25</v>
          </cell>
          <cell r="N36">
            <v>0</v>
          </cell>
          <cell r="O36">
            <v>12</v>
          </cell>
          <cell r="P36">
            <v>0</v>
          </cell>
          <cell r="Q36">
            <v>89</v>
          </cell>
          <cell r="R36">
            <v>0</v>
          </cell>
          <cell r="S36">
            <v>85</v>
          </cell>
          <cell r="T36">
            <v>0</v>
          </cell>
          <cell r="U36">
            <v>21</v>
          </cell>
          <cell r="V36">
            <v>0</v>
          </cell>
          <cell r="W36">
            <v>13</v>
          </cell>
          <cell r="X36">
            <v>0</v>
          </cell>
          <cell r="Y36">
            <v>17</v>
          </cell>
          <cell r="Z36">
            <v>0</v>
          </cell>
          <cell r="AA36">
            <v>24</v>
          </cell>
          <cell r="AB36">
            <v>0</v>
          </cell>
          <cell r="AC36">
            <v>22</v>
          </cell>
        </row>
        <row r="37">
          <cell r="D37">
            <v>21</v>
          </cell>
          <cell r="E37">
            <v>0</v>
          </cell>
          <cell r="F37">
            <v>46</v>
          </cell>
          <cell r="G37">
            <v>0</v>
          </cell>
          <cell r="H37">
            <v>17</v>
          </cell>
          <cell r="I37">
            <v>10</v>
          </cell>
          <cell r="J37">
            <v>30</v>
          </cell>
          <cell r="K37">
            <v>0</v>
          </cell>
          <cell r="L37">
            <v>8</v>
          </cell>
          <cell r="M37">
            <v>0</v>
          </cell>
          <cell r="N37">
            <v>10</v>
          </cell>
          <cell r="O37">
            <v>0</v>
          </cell>
          <cell r="P37">
            <v>51</v>
          </cell>
          <cell r="Q37">
            <v>0</v>
          </cell>
          <cell r="R37">
            <v>93</v>
          </cell>
          <cell r="S37">
            <v>0</v>
          </cell>
          <cell r="T37">
            <v>21</v>
          </cell>
          <cell r="U37">
            <v>0</v>
          </cell>
          <cell r="V37">
            <v>46</v>
          </cell>
          <cell r="W37">
            <v>1</v>
          </cell>
          <cell r="X37">
            <v>9</v>
          </cell>
          <cell r="Y37">
            <v>1</v>
          </cell>
          <cell r="Z37">
            <v>29</v>
          </cell>
          <cell r="AA37">
            <v>0</v>
          </cell>
          <cell r="AB37">
            <v>20</v>
          </cell>
          <cell r="AC37">
            <v>0</v>
          </cell>
        </row>
        <row r="38">
          <cell r="D38">
            <v>0</v>
          </cell>
          <cell r="E38">
            <v>170</v>
          </cell>
          <cell r="F38">
            <v>0</v>
          </cell>
          <cell r="G38">
            <v>213</v>
          </cell>
          <cell r="H38">
            <v>0</v>
          </cell>
          <cell r="I38">
            <v>49</v>
          </cell>
          <cell r="J38">
            <v>0</v>
          </cell>
          <cell r="K38">
            <v>96</v>
          </cell>
          <cell r="L38">
            <v>0</v>
          </cell>
          <cell r="M38">
            <v>69</v>
          </cell>
          <cell r="N38">
            <v>0</v>
          </cell>
          <cell r="O38">
            <v>47</v>
          </cell>
          <cell r="P38">
            <v>0</v>
          </cell>
          <cell r="Q38">
            <v>275</v>
          </cell>
          <cell r="R38">
            <v>0</v>
          </cell>
          <cell r="S38">
            <v>330</v>
          </cell>
          <cell r="T38">
            <v>0</v>
          </cell>
          <cell r="U38">
            <v>188</v>
          </cell>
          <cell r="V38">
            <v>2</v>
          </cell>
          <cell r="W38">
            <v>223</v>
          </cell>
          <cell r="X38">
            <v>1</v>
          </cell>
          <cell r="Y38">
            <v>88</v>
          </cell>
          <cell r="Z38">
            <v>0</v>
          </cell>
          <cell r="AA38">
            <v>165</v>
          </cell>
          <cell r="AB38">
            <v>0</v>
          </cell>
          <cell r="AC38">
            <v>108</v>
          </cell>
        </row>
        <row r="39">
          <cell r="D39">
            <v>0</v>
          </cell>
          <cell r="E39">
            <v>0</v>
          </cell>
          <cell r="F39">
            <v>2</v>
          </cell>
          <cell r="G39">
            <v>0</v>
          </cell>
          <cell r="H39">
            <v>0</v>
          </cell>
          <cell r="I39">
            <v>0</v>
          </cell>
          <cell r="J39">
            <v>0</v>
          </cell>
          <cell r="K39">
            <v>0</v>
          </cell>
          <cell r="L39">
            <v>0</v>
          </cell>
          <cell r="M39">
            <v>0</v>
          </cell>
          <cell r="N39">
            <v>0</v>
          </cell>
          <cell r="O39">
            <v>0</v>
          </cell>
          <cell r="P39">
            <v>0</v>
          </cell>
          <cell r="Q39">
            <v>1</v>
          </cell>
          <cell r="R39">
            <v>0</v>
          </cell>
          <cell r="S39">
            <v>0</v>
          </cell>
          <cell r="T39">
            <v>0</v>
          </cell>
          <cell r="U39">
            <v>0</v>
          </cell>
          <cell r="V39">
            <v>0</v>
          </cell>
          <cell r="W39">
            <v>0</v>
          </cell>
          <cell r="X39">
            <v>0</v>
          </cell>
          <cell r="Y39">
            <v>0</v>
          </cell>
          <cell r="Z39">
            <v>0</v>
          </cell>
          <cell r="AA39">
            <v>0</v>
          </cell>
          <cell r="AB39">
            <v>0</v>
          </cell>
          <cell r="AC39">
            <v>0</v>
          </cell>
        </row>
        <row r="40">
          <cell r="D40">
            <v>0</v>
          </cell>
          <cell r="E40">
            <v>0</v>
          </cell>
          <cell r="F40">
            <v>0</v>
          </cell>
          <cell r="G40">
            <v>0</v>
          </cell>
          <cell r="H40">
            <v>0</v>
          </cell>
          <cell r="I40">
            <v>0</v>
          </cell>
          <cell r="J40">
            <v>2</v>
          </cell>
          <cell r="K40">
            <v>11</v>
          </cell>
          <cell r="L40">
            <v>0</v>
          </cell>
          <cell r="M40">
            <v>0</v>
          </cell>
          <cell r="N40">
            <v>0</v>
          </cell>
          <cell r="O40">
            <v>0</v>
          </cell>
          <cell r="P40">
            <v>0</v>
          </cell>
          <cell r="Q40">
            <v>1</v>
          </cell>
          <cell r="R40">
            <v>0</v>
          </cell>
          <cell r="S40">
            <v>0</v>
          </cell>
          <cell r="T40">
            <v>0</v>
          </cell>
          <cell r="U40">
            <v>0</v>
          </cell>
          <cell r="V40">
            <v>0</v>
          </cell>
          <cell r="W40">
            <v>0</v>
          </cell>
          <cell r="X40">
            <v>0</v>
          </cell>
          <cell r="Y40">
            <v>2</v>
          </cell>
          <cell r="Z40">
            <v>0</v>
          </cell>
          <cell r="AA40">
            <v>0</v>
          </cell>
          <cell r="AB40">
            <v>0</v>
          </cell>
          <cell r="AC40">
            <v>0</v>
          </cell>
        </row>
        <row r="41">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1</v>
          </cell>
          <cell r="V42">
            <v>0</v>
          </cell>
          <cell r="W42">
            <v>0</v>
          </cell>
          <cell r="X42">
            <v>0</v>
          </cell>
          <cell r="Y42">
            <v>0</v>
          </cell>
          <cell r="Z42">
            <v>0</v>
          </cell>
          <cell r="AA42">
            <v>0</v>
          </cell>
          <cell r="AB42">
            <v>0</v>
          </cell>
          <cell r="AC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row>
        <row r="45">
          <cell r="D45">
            <v>0</v>
          </cell>
          <cell r="E45">
            <v>0</v>
          </cell>
          <cell r="F45">
            <v>0</v>
          </cell>
          <cell r="G45">
            <v>3</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D46">
            <v>0</v>
          </cell>
          <cell r="E46">
            <v>41</v>
          </cell>
          <cell r="F46">
            <v>0</v>
          </cell>
          <cell r="G46">
            <v>94</v>
          </cell>
          <cell r="H46">
            <v>0</v>
          </cell>
          <cell r="I46">
            <v>17</v>
          </cell>
          <cell r="J46">
            <v>1</v>
          </cell>
          <cell r="K46">
            <v>14</v>
          </cell>
          <cell r="L46">
            <v>1</v>
          </cell>
          <cell r="M46">
            <v>18</v>
          </cell>
          <cell r="N46">
            <v>0</v>
          </cell>
          <cell r="O46">
            <v>12</v>
          </cell>
          <cell r="P46">
            <v>7</v>
          </cell>
          <cell r="Q46">
            <v>105</v>
          </cell>
          <cell r="R46">
            <v>0</v>
          </cell>
          <cell r="S46">
            <v>97</v>
          </cell>
          <cell r="T46">
            <v>0</v>
          </cell>
          <cell r="U46">
            <v>78</v>
          </cell>
          <cell r="V46">
            <v>0</v>
          </cell>
          <cell r="W46">
            <v>67</v>
          </cell>
          <cell r="X46">
            <v>0</v>
          </cell>
          <cell r="Y46">
            <v>34</v>
          </cell>
          <cell r="Z46">
            <v>2</v>
          </cell>
          <cell r="AA46">
            <v>31</v>
          </cell>
          <cell r="AB46">
            <v>0</v>
          </cell>
          <cell r="AC46">
            <v>24</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D48">
            <v>0</v>
          </cell>
          <cell r="E48">
            <v>0</v>
          </cell>
          <cell r="F48">
            <v>0</v>
          </cell>
          <cell r="G48">
            <v>0</v>
          </cell>
          <cell r="H48">
            <v>0</v>
          </cell>
          <cell r="I48">
            <v>0</v>
          </cell>
          <cell r="J48">
            <v>0</v>
          </cell>
          <cell r="K48">
            <v>0</v>
          </cell>
          <cell r="L48">
            <v>0</v>
          </cell>
          <cell r="M48">
            <v>0</v>
          </cell>
          <cell r="N48">
            <v>0</v>
          </cell>
          <cell r="O48">
            <v>2</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D49">
            <v>0</v>
          </cell>
          <cell r="E49">
            <v>83</v>
          </cell>
          <cell r="F49">
            <v>0</v>
          </cell>
          <cell r="G49">
            <v>193</v>
          </cell>
          <cell r="H49">
            <v>0</v>
          </cell>
          <cell r="I49">
            <v>98</v>
          </cell>
          <cell r="J49">
            <v>0</v>
          </cell>
          <cell r="K49">
            <v>80</v>
          </cell>
          <cell r="L49">
            <v>0</v>
          </cell>
          <cell r="M49">
            <v>115</v>
          </cell>
          <cell r="N49">
            <v>0</v>
          </cell>
          <cell r="O49">
            <v>0</v>
          </cell>
          <cell r="P49">
            <v>0</v>
          </cell>
          <cell r="Q49">
            <v>64</v>
          </cell>
          <cell r="R49">
            <v>0</v>
          </cell>
          <cell r="S49">
            <v>0</v>
          </cell>
          <cell r="T49">
            <v>0</v>
          </cell>
          <cell r="U49">
            <v>112</v>
          </cell>
          <cell r="V49">
            <v>1</v>
          </cell>
          <cell r="W49">
            <v>9</v>
          </cell>
          <cell r="X49">
            <v>0</v>
          </cell>
          <cell r="Y49">
            <v>0</v>
          </cell>
          <cell r="Z49">
            <v>0</v>
          </cell>
          <cell r="AA49">
            <v>1</v>
          </cell>
          <cell r="AB49">
            <v>0</v>
          </cell>
          <cell r="AC49">
            <v>0</v>
          </cell>
        </row>
        <row r="50">
          <cell r="D50">
            <v>0</v>
          </cell>
          <cell r="E50">
            <v>0</v>
          </cell>
          <cell r="F50">
            <v>0</v>
          </cell>
          <cell r="G50">
            <v>0</v>
          </cell>
          <cell r="H50">
            <v>2</v>
          </cell>
          <cell r="I50">
            <v>0</v>
          </cell>
          <cell r="J50">
            <v>0</v>
          </cell>
          <cell r="K50">
            <v>0</v>
          </cell>
          <cell r="L50">
            <v>0</v>
          </cell>
          <cell r="M50">
            <v>0</v>
          </cell>
          <cell r="N50">
            <v>0</v>
          </cell>
          <cell r="O50">
            <v>0</v>
          </cell>
          <cell r="P50">
            <v>0</v>
          </cell>
          <cell r="Q50">
            <v>5</v>
          </cell>
          <cell r="R50">
            <v>0</v>
          </cell>
          <cell r="S50">
            <v>0</v>
          </cell>
          <cell r="T50">
            <v>0</v>
          </cell>
          <cell r="U50">
            <v>0</v>
          </cell>
          <cell r="V50">
            <v>0</v>
          </cell>
          <cell r="W50">
            <v>0</v>
          </cell>
          <cell r="X50">
            <v>0</v>
          </cell>
          <cell r="Y50">
            <v>0</v>
          </cell>
          <cell r="Z50">
            <v>0</v>
          </cell>
          <cell r="AA50">
            <v>0</v>
          </cell>
          <cell r="AB50">
            <v>0</v>
          </cell>
          <cell r="AC50">
            <v>0</v>
          </cell>
        </row>
        <row r="51">
          <cell r="D51">
            <v>0</v>
          </cell>
          <cell r="E51">
            <v>27</v>
          </cell>
          <cell r="F51">
            <v>0</v>
          </cell>
          <cell r="G51">
            <v>235</v>
          </cell>
          <cell r="H51">
            <v>0</v>
          </cell>
          <cell r="I51">
            <v>68</v>
          </cell>
          <cell r="J51">
            <v>0</v>
          </cell>
          <cell r="K51">
            <v>76</v>
          </cell>
          <cell r="L51">
            <v>0</v>
          </cell>
          <cell r="M51">
            <v>52</v>
          </cell>
          <cell r="N51">
            <v>0</v>
          </cell>
          <cell r="O51">
            <v>2</v>
          </cell>
          <cell r="P51">
            <v>0</v>
          </cell>
          <cell r="Q51">
            <v>44</v>
          </cell>
          <cell r="R51">
            <v>0</v>
          </cell>
          <cell r="S51">
            <v>50</v>
          </cell>
          <cell r="T51">
            <v>0</v>
          </cell>
          <cell r="U51">
            <v>54</v>
          </cell>
          <cell r="V51">
            <v>0</v>
          </cell>
          <cell r="W51">
            <v>85</v>
          </cell>
          <cell r="X51">
            <v>0</v>
          </cell>
          <cell r="Y51">
            <v>0</v>
          </cell>
          <cell r="Z51">
            <v>0</v>
          </cell>
          <cell r="AA51">
            <v>17</v>
          </cell>
          <cell r="AB51">
            <v>0</v>
          </cell>
          <cell r="AC51">
            <v>0</v>
          </cell>
        </row>
        <row r="52">
          <cell r="D52">
            <v>20</v>
          </cell>
          <cell r="E52">
            <v>256</v>
          </cell>
          <cell r="F52">
            <v>32</v>
          </cell>
          <cell r="G52">
            <v>208</v>
          </cell>
          <cell r="H52">
            <v>10</v>
          </cell>
          <cell r="I52">
            <v>92</v>
          </cell>
          <cell r="J52">
            <v>4</v>
          </cell>
          <cell r="K52">
            <v>65</v>
          </cell>
          <cell r="L52">
            <v>2</v>
          </cell>
          <cell r="M52">
            <v>123</v>
          </cell>
          <cell r="N52">
            <v>17</v>
          </cell>
          <cell r="O52">
            <v>70</v>
          </cell>
          <cell r="P52">
            <v>51</v>
          </cell>
          <cell r="Q52">
            <v>222</v>
          </cell>
          <cell r="R52">
            <v>110</v>
          </cell>
          <cell r="S52">
            <v>389</v>
          </cell>
          <cell r="T52">
            <v>31</v>
          </cell>
          <cell r="U52">
            <v>120</v>
          </cell>
          <cell r="V52">
            <v>23</v>
          </cell>
          <cell r="W52">
            <v>277</v>
          </cell>
          <cell r="X52">
            <v>19</v>
          </cell>
          <cell r="Y52">
            <v>63</v>
          </cell>
          <cell r="Z52">
            <v>34</v>
          </cell>
          <cell r="AA52">
            <v>294</v>
          </cell>
          <cell r="AB52">
            <v>15</v>
          </cell>
          <cell r="AC52">
            <v>157</v>
          </cell>
        </row>
        <row r="53">
          <cell r="D53">
            <v>17</v>
          </cell>
          <cell r="E53">
            <v>101</v>
          </cell>
          <cell r="F53">
            <v>13</v>
          </cell>
          <cell r="G53">
            <v>143</v>
          </cell>
          <cell r="H53">
            <v>4</v>
          </cell>
          <cell r="I53">
            <v>34</v>
          </cell>
          <cell r="J53">
            <v>11</v>
          </cell>
          <cell r="K53">
            <v>44</v>
          </cell>
          <cell r="L53">
            <v>10</v>
          </cell>
          <cell r="M53">
            <v>61</v>
          </cell>
          <cell r="N53">
            <v>8</v>
          </cell>
          <cell r="O53">
            <v>41</v>
          </cell>
          <cell r="P53">
            <v>43</v>
          </cell>
          <cell r="Q53">
            <v>185</v>
          </cell>
          <cell r="R53">
            <v>48</v>
          </cell>
          <cell r="S53">
            <v>165</v>
          </cell>
          <cell r="T53">
            <v>12</v>
          </cell>
          <cell r="U53">
            <v>87</v>
          </cell>
          <cell r="V53">
            <v>30</v>
          </cell>
          <cell r="W53">
            <v>98</v>
          </cell>
          <cell r="X53">
            <v>9</v>
          </cell>
          <cell r="Y53">
            <v>46</v>
          </cell>
          <cell r="Z53">
            <v>13</v>
          </cell>
          <cell r="AA53">
            <v>99</v>
          </cell>
          <cell r="AB53">
            <v>25</v>
          </cell>
          <cell r="AC53">
            <v>72</v>
          </cell>
        </row>
        <row r="54">
          <cell r="D54">
            <v>8</v>
          </cell>
          <cell r="E54">
            <v>0</v>
          </cell>
          <cell r="F54">
            <v>12</v>
          </cell>
          <cell r="G54">
            <v>0</v>
          </cell>
          <cell r="H54">
            <v>38</v>
          </cell>
          <cell r="I54">
            <v>0</v>
          </cell>
          <cell r="J54">
            <v>17</v>
          </cell>
          <cell r="K54">
            <v>0</v>
          </cell>
          <cell r="L54">
            <v>14</v>
          </cell>
          <cell r="M54">
            <v>6</v>
          </cell>
          <cell r="N54">
            <v>0</v>
          </cell>
          <cell r="O54">
            <v>0</v>
          </cell>
          <cell r="P54">
            <v>53</v>
          </cell>
          <cell r="Q54">
            <v>0</v>
          </cell>
          <cell r="R54">
            <v>105</v>
          </cell>
          <cell r="S54">
            <v>0</v>
          </cell>
          <cell r="T54">
            <v>30</v>
          </cell>
          <cell r="U54">
            <v>0</v>
          </cell>
          <cell r="V54">
            <v>14</v>
          </cell>
          <cell r="W54">
            <v>0</v>
          </cell>
          <cell r="X54">
            <v>2</v>
          </cell>
          <cell r="Y54">
            <v>4</v>
          </cell>
          <cell r="Z54">
            <v>38</v>
          </cell>
          <cell r="AA54">
            <v>0</v>
          </cell>
          <cell r="AB54">
            <v>11</v>
          </cell>
          <cell r="AC54">
            <v>5</v>
          </cell>
        </row>
        <row r="55">
          <cell r="D55">
            <v>0</v>
          </cell>
          <cell r="E55">
            <v>67</v>
          </cell>
          <cell r="F55">
            <v>4</v>
          </cell>
          <cell r="G55">
            <v>146</v>
          </cell>
          <cell r="H55">
            <v>0</v>
          </cell>
          <cell r="I55">
            <v>24</v>
          </cell>
          <cell r="J55">
            <v>10</v>
          </cell>
          <cell r="K55">
            <v>53</v>
          </cell>
          <cell r="L55">
            <v>0</v>
          </cell>
          <cell r="M55">
            <v>53</v>
          </cell>
          <cell r="N55">
            <v>1</v>
          </cell>
          <cell r="O55">
            <v>30</v>
          </cell>
          <cell r="P55">
            <v>0</v>
          </cell>
          <cell r="Q55">
            <v>147</v>
          </cell>
          <cell r="R55">
            <v>0</v>
          </cell>
          <cell r="S55">
            <v>153</v>
          </cell>
          <cell r="T55">
            <v>0</v>
          </cell>
          <cell r="U55">
            <v>108</v>
          </cell>
          <cell r="V55">
            <v>8</v>
          </cell>
          <cell r="W55">
            <v>155</v>
          </cell>
          <cell r="X55">
            <v>0</v>
          </cell>
          <cell r="Y55">
            <v>45</v>
          </cell>
          <cell r="Z55">
            <v>0</v>
          </cell>
          <cell r="AA55">
            <v>79</v>
          </cell>
          <cell r="AB55">
            <v>1</v>
          </cell>
          <cell r="AC55">
            <v>60</v>
          </cell>
        </row>
        <row r="56">
          <cell r="D56">
            <v>0</v>
          </cell>
          <cell r="E56">
            <v>0</v>
          </cell>
          <cell r="F56">
            <v>0</v>
          </cell>
          <cell r="G56">
            <v>0</v>
          </cell>
          <cell r="H56">
            <v>0</v>
          </cell>
          <cell r="I56">
            <v>0</v>
          </cell>
          <cell r="J56">
            <v>1</v>
          </cell>
          <cell r="K56">
            <v>0</v>
          </cell>
          <cell r="L56">
            <v>0</v>
          </cell>
          <cell r="M56">
            <v>0</v>
          </cell>
          <cell r="N56">
            <v>0</v>
          </cell>
          <cell r="O56">
            <v>0</v>
          </cell>
          <cell r="P56">
            <v>1</v>
          </cell>
          <cell r="Q56">
            <v>7</v>
          </cell>
          <cell r="R56">
            <v>0</v>
          </cell>
          <cell r="S56">
            <v>0</v>
          </cell>
          <cell r="T56">
            <v>0</v>
          </cell>
          <cell r="U56">
            <v>0</v>
          </cell>
          <cell r="V56">
            <v>0</v>
          </cell>
          <cell r="W56">
            <v>0</v>
          </cell>
          <cell r="X56">
            <v>1</v>
          </cell>
          <cell r="Y56">
            <v>0</v>
          </cell>
          <cell r="Z56">
            <v>0</v>
          </cell>
          <cell r="AA56">
            <v>1</v>
          </cell>
          <cell r="AB56">
            <v>0</v>
          </cell>
          <cell r="AC56">
            <v>11</v>
          </cell>
        </row>
        <row r="57">
          <cell r="D57">
            <v>0</v>
          </cell>
          <cell r="E57">
            <v>57</v>
          </cell>
          <cell r="F57">
            <v>0</v>
          </cell>
          <cell r="G57">
            <v>106</v>
          </cell>
          <cell r="H57">
            <v>0</v>
          </cell>
          <cell r="I57">
            <v>11</v>
          </cell>
          <cell r="J57">
            <v>0</v>
          </cell>
          <cell r="K57">
            <v>26</v>
          </cell>
          <cell r="L57">
            <v>0</v>
          </cell>
          <cell r="M57">
            <v>24</v>
          </cell>
          <cell r="N57">
            <v>0</v>
          </cell>
          <cell r="O57">
            <v>26</v>
          </cell>
          <cell r="P57">
            <v>0</v>
          </cell>
          <cell r="Q57">
            <v>111</v>
          </cell>
          <cell r="R57">
            <v>0</v>
          </cell>
          <cell r="S57">
            <v>100</v>
          </cell>
          <cell r="T57">
            <v>0</v>
          </cell>
          <cell r="U57">
            <v>71</v>
          </cell>
          <cell r="V57">
            <v>0</v>
          </cell>
          <cell r="W57">
            <v>73</v>
          </cell>
          <cell r="X57">
            <v>0</v>
          </cell>
          <cell r="Y57">
            <v>21</v>
          </cell>
          <cell r="Z57">
            <v>0</v>
          </cell>
          <cell r="AA57">
            <v>61</v>
          </cell>
          <cell r="AB57">
            <v>1</v>
          </cell>
          <cell r="AC57">
            <v>45</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6</v>
          </cell>
        </row>
        <row r="59">
          <cell r="D59">
            <v>0</v>
          </cell>
          <cell r="E59">
            <v>0</v>
          </cell>
          <cell r="F59">
            <v>0</v>
          </cell>
          <cell r="G59">
            <v>0</v>
          </cell>
          <cell r="H59">
            <v>0</v>
          </cell>
          <cell r="I59">
            <v>0</v>
          </cell>
          <cell r="J59">
            <v>0</v>
          </cell>
          <cell r="K59">
            <v>1</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4</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2</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row>
        <row r="62">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row>
        <row r="67">
          <cell r="E67">
            <v>54</v>
          </cell>
          <cell r="G67">
            <v>89</v>
          </cell>
          <cell r="I67">
            <v>57</v>
          </cell>
          <cell r="K67">
            <v>116</v>
          </cell>
          <cell r="M67">
            <v>51</v>
          </cell>
          <cell r="O67">
            <v>10</v>
          </cell>
          <cell r="Q67">
            <v>19</v>
          </cell>
          <cell r="S67">
            <v>120</v>
          </cell>
          <cell r="U67">
            <v>92</v>
          </cell>
          <cell r="W67">
            <v>98</v>
          </cell>
          <cell r="Y67">
            <v>62</v>
          </cell>
          <cell r="AA67">
            <v>123</v>
          </cell>
          <cell r="AC67">
            <v>53</v>
          </cell>
        </row>
        <row r="68">
          <cell r="E68">
            <v>73</v>
          </cell>
          <cell r="G68">
            <v>124</v>
          </cell>
          <cell r="I68">
            <v>31</v>
          </cell>
          <cell r="K68">
            <v>22</v>
          </cell>
          <cell r="M68">
            <v>56</v>
          </cell>
          <cell r="O68">
            <v>15</v>
          </cell>
          <cell r="Q68">
            <v>9</v>
          </cell>
          <cell r="S68">
            <v>77</v>
          </cell>
          <cell r="U68">
            <v>28</v>
          </cell>
          <cell r="W68">
            <v>75</v>
          </cell>
          <cell r="Y68">
            <v>37</v>
          </cell>
          <cell r="AA68">
            <v>73</v>
          </cell>
          <cell r="AC68">
            <v>55</v>
          </cell>
        </row>
        <row r="69">
          <cell r="E69">
            <v>1</v>
          </cell>
          <cell r="G69">
            <v>0</v>
          </cell>
          <cell r="I69">
            <v>0</v>
          </cell>
          <cell r="K69">
            <v>0</v>
          </cell>
          <cell r="M69">
            <v>0</v>
          </cell>
          <cell r="O69">
            <v>0</v>
          </cell>
          <cell r="Q69">
            <v>0</v>
          </cell>
          <cell r="S69">
            <v>0</v>
          </cell>
          <cell r="U69">
            <v>0</v>
          </cell>
          <cell r="W69">
            <v>0</v>
          </cell>
          <cell r="Y69">
            <v>0</v>
          </cell>
          <cell r="AA69">
            <v>0</v>
          </cell>
          <cell r="AC69">
            <v>0</v>
          </cell>
        </row>
        <row r="70">
          <cell r="E70">
            <v>63</v>
          </cell>
          <cell r="G70">
            <v>89</v>
          </cell>
          <cell r="I70">
            <v>35</v>
          </cell>
          <cell r="K70">
            <v>36</v>
          </cell>
          <cell r="M70">
            <v>14</v>
          </cell>
          <cell r="O70">
            <v>14</v>
          </cell>
          <cell r="Q70">
            <v>39</v>
          </cell>
          <cell r="S70">
            <v>114</v>
          </cell>
          <cell r="U70">
            <v>36</v>
          </cell>
          <cell r="W70">
            <v>34</v>
          </cell>
          <cell r="Y70">
            <v>40</v>
          </cell>
          <cell r="AA70">
            <v>45</v>
          </cell>
          <cell r="AC70">
            <v>35</v>
          </cell>
        </row>
        <row r="71">
          <cell r="E71">
            <v>20</v>
          </cell>
          <cell r="G71">
            <v>28</v>
          </cell>
          <cell r="I71">
            <v>9</v>
          </cell>
          <cell r="K71">
            <v>15</v>
          </cell>
          <cell r="M71">
            <v>10</v>
          </cell>
          <cell r="O71">
            <v>1</v>
          </cell>
          <cell r="Q71">
            <v>9</v>
          </cell>
          <cell r="S71">
            <v>13</v>
          </cell>
          <cell r="U71">
            <v>2</v>
          </cell>
          <cell r="W71">
            <v>4</v>
          </cell>
          <cell r="Y71">
            <v>6</v>
          </cell>
          <cell r="AA71">
            <v>10</v>
          </cell>
          <cell r="AC71">
            <v>9</v>
          </cell>
        </row>
        <row r="72">
          <cell r="E72">
            <v>14</v>
          </cell>
          <cell r="G72">
            <v>41</v>
          </cell>
          <cell r="I72">
            <v>11</v>
          </cell>
          <cell r="K72">
            <v>15</v>
          </cell>
          <cell r="M72">
            <v>11</v>
          </cell>
          <cell r="O72">
            <v>3</v>
          </cell>
          <cell r="Q72">
            <v>13</v>
          </cell>
          <cell r="S72">
            <v>48</v>
          </cell>
          <cell r="U72">
            <v>21</v>
          </cell>
          <cell r="W72">
            <v>19</v>
          </cell>
          <cell r="Y72">
            <v>4</v>
          </cell>
          <cell r="AA72">
            <v>7</v>
          </cell>
          <cell r="AC72">
            <v>18</v>
          </cell>
        </row>
        <row r="73">
          <cell r="E73">
            <v>25</v>
          </cell>
          <cell r="G73">
            <v>62</v>
          </cell>
          <cell r="I73">
            <v>15</v>
          </cell>
          <cell r="K73">
            <v>25</v>
          </cell>
          <cell r="M73">
            <v>17</v>
          </cell>
          <cell r="O73">
            <v>6</v>
          </cell>
          <cell r="Q73">
            <v>18</v>
          </cell>
          <cell r="S73">
            <v>43</v>
          </cell>
          <cell r="U73">
            <v>22</v>
          </cell>
          <cell r="W73">
            <v>19</v>
          </cell>
          <cell r="Y73">
            <v>9</v>
          </cell>
          <cell r="AA73">
            <v>23</v>
          </cell>
          <cell r="AC73">
            <v>26</v>
          </cell>
        </row>
        <row r="74">
          <cell r="E74">
            <v>0</v>
          </cell>
          <cell r="G74">
            <v>13</v>
          </cell>
          <cell r="I74">
            <v>0</v>
          </cell>
          <cell r="K74">
            <v>0</v>
          </cell>
          <cell r="M74">
            <v>0</v>
          </cell>
          <cell r="O74">
            <v>0</v>
          </cell>
          <cell r="Q74">
            <v>0</v>
          </cell>
          <cell r="S74">
            <v>0</v>
          </cell>
          <cell r="U74">
            <v>0</v>
          </cell>
          <cell r="W74">
            <v>19</v>
          </cell>
          <cell r="Y74">
            <v>2</v>
          </cell>
          <cell r="AA74">
            <v>6</v>
          </cell>
          <cell r="AC74">
            <v>3</v>
          </cell>
        </row>
        <row r="75">
          <cell r="E75">
            <v>0</v>
          </cell>
          <cell r="G75">
            <v>0</v>
          </cell>
          <cell r="I75">
            <v>0</v>
          </cell>
          <cell r="K75">
            <v>0</v>
          </cell>
          <cell r="M75">
            <v>0</v>
          </cell>
          <cell r="O75">
            <v>0</v>
          </cell>
          <cell r="Q75">
            <v>0</v>
          </cell>
          <cell r="S75">
            <v>0</v>
          </cell>
          <cell r="U75">
            <v>0</v>
          </cell>
          <cell r="W75">
            <v>0</v>
          </cell>
          <cell r="Y75">
            <v>0</v>
          </cell>
          <cell r="AA75">
            <v>0</v>
          </cell>
          <cell r="AC75">
            <v>0</v>
          </cell>
        </row>
        <row r="76">
          <cell r="E76">
            <v>0</v>
          </cell>
          <cell r="G76">
            <v>0</v>
          </cell>
          <cell r="I76">
            <v>0</v>
          </cell>
          <cell r="K76">
            <v>0</v>
          </cell>
          <cell r="M76">
            <v>0</v>
          </cell>
          <cell r="O76">
            <v>0</v>
          </cell>
          <cell r="Q76">
            <v>0</v>
          </cell>
          <cell r="S76">
            <v>0</v>
          </cell>
          <cell r="U76">
            <v>0</v>
          </cell>
          <cell r="W76">
            <v>0</v>
          </cell>
          <cell r="Y76">
            <v>5</v>
          </cell>
          <cell r="AA76">
            <v>0</v>
          </cell>
          <cell r="AC76">
            <v>0</v>
          </cell>
        </row>
        <row r="77">
          <cell r="E77">
            <v>0</v>
          </cell>
          <cell r="G77">
            <v>16</v>
          </cell>
          <cell r="I77">
            <v>2</v>
          </cell>
          <cell r="K77">
            <v>0</v>
          </cell>
          <cell r="M77">
            <v>0</v>
          </cell>
          <cell r="O77">
            <v>0</v>
          </cell>
          <cell r="Q77">
            <v>0</v>
          </cell>
          <cell r="S77">
            <v>1</v>
          </cell>
          <cell r="U77">
            <v>6</v>
          </cell>
          <cell r="W77">
            <v>0</v>
          </cell>
          <cell r="Y77">
            <v>6</v>
          </cell>
          <cell r="AA77">
            <v>3</v>
          </cell>
          <cell r="AC77">
            <v>3</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288">
          <cell r="C288">
            <v>29195</v>
          </cell>
        </row>
        <row r="289">
          <cell r="C289">
            <v>25263</v>
          </cell>
        </row>
        <row r="290">
          <cell r="C290">
            <v>0</v>
          </cell>
        </row>
        <row r="291">
          <cell r="C291">
            <v>0</v>
          </cell>
        </row>
        <row r="292">
          <cell r="C292">
            <v>0</v>
          </cell>
        </row>
        <row r="293">
          <cell r="C293">
            <v>4155</v>
          </cell>
        </row>
        <row r="294">
          <cell r="C294">
            <v>3964</v>
          </cell>
        </row>
        <row r="295">
          <cell r="C295">
            <v>191</v>
          </cell>
        </row>
        <row r="296">
          <cell r="C296">
            <v>0</v>
          </cell>
        </row>
        <row r="297">
          <cell r="C297">
            <v>0</v>
          </cell>
        </row>
        <row r="298">
          <cell r="C298">
            <v>0</v>
          </cell>
        </row>
        <row r="299">
          <cell r="C299">
            <v>8997</v>
          </cell>
        </row>
        <row r="301">
          <cell r="C301">
            <v>0</v>
          </cell>
        </row>
        <row r="302">
          <cell r="C302">
            <v>0</v>
          </cell>
        </row>
        <row r="303">
          <cell r="C303">
            <v>0</v>
          </cell>
        </row>
        <row r="304">
          <cell r="C304">
            <v>0</v>
          </cell>
        </row>
        <row r="305">
          <cell r="C305">
            <v>0</v>
          </cell>
        </row>
        <row r="306">
          <cell r="C306">
            <v>0</v>
          </cell>
        </row>
        <row r="307">
          <cell r="C307">
            <v>0</v>
          </cell>
        </row>
        <row r="349">
          <cell r="C349">
            <v>4</v>
          </cell>
        </row>
        <row r="364">
          <cell r="K364">
            <v>4</v>
          </cell>
        </row>
        <row r="416">
          <cell r="C416">
            <v>3168</v>
          </cell>
        </row>
        <row r="417">
          <cell r="C417">
            <v>355</v>
          </cell>
        </row>
        <row r="418">
          <cell r="C418">
            <v>0</v>
          </cell>
        </row>
        <row r="419">
          <cell r="C419">
            <v>0</v>
          </cell>
        </row>
      </sheetData>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refreshError="1"/>
      <sheetData sheetId="1" refreshError="1"/>
      <sheetData sheetId="2">
        <row r="288">
          <cell r="C288">
            <v>0</v>
          </cell>
        </row>
        <row r="289">
          <cell r="C289">
            <v>0</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0</v>
          </cell>
        </row>
        <row r="301">
          <cell r="C301">
            <v>0</v>
          </cell>
        </row>
        <row r="302">
          <cell r="C302">
            <v>0</v>
          </cell>
        </row>
        <row r="303">
          <cell r="C303">
            <v>0</v>
          </cell>
        </row>
        <row r="304">
          <cell r="C304">
            <v>123</v>
          </cell>
        </row>
        <row r="305">
          <cell r="C305">
            <v>0</v>
          </cell>
        </row>
        <row r="306">
          <cell r="C306">
            <v>119</v>
          </cell>
        </row>
        <row r="307">
          <cell r="C307">
            <v>4</v>
          </cell>
        </row>
        <row r="349">
          <cell r="C349">
            <v>34</v>
          </cell>
        </row>
        <row r="364">
          <cell r="K364">
            <v>34</v>
          </cell>
        </row>
        <row r="416">
          <cell r="C416">
            <v>2907</v>
          </cell>
        </row>
        <row r="417">
          <cell r="C417">
            <v>1237</v>
          </cell>
        </row>
        <row r="418">
          <cell r="C418">
            <v>0</v>
          </cell>
        </row>
        <row r="419">
          <cell r="C419">
            <v>18</v>
          </cell>
        </row>
      </sheetData>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sheetData sheetId="2">
        <row r="393">
          <cell r="C393">
            <v>563</v>
          </cell>
          <cell r="F393">
            <v>34662</v>
          </cell>
        </row>
        <row r="462">
          <cell r="C462">
            <v>777</v>
          </cell>
          <cell r="F462">
            <v>87</v>
          </cell>
        </row>
        <row r="565">
          <cell r="C565">
            <v>294</v>
          </cell>
          <cell r="H565">
            <v>0</v>
          </cell>
        </row>
        <row r="567">
          <cell r="C567">
            <v>26586</v>
          </cell>
          <cell r="H567">
            <v>0</v>
          </cell>
        </row>
        <row r="568">
          <cell r="C568">
            <v>22</v>
          </cell>
          <cell r="H568">
            <v>0</v>
          </cell>
        </row>
        <row r="569">
          <cell r="C569">
            <v>212</v>
          </cell>
          <cell r="H569">
            <v>0</v>
          </cell>
        </row>
        <row r="583">
          <cell r="C583">
            <v>5994</v>
          </cell>
          <cell r="H583">
            <v>0</v>
          </cell>
        </row>
      </sheetData>
      <sheetData sheetId="3"/>
      <sheetData sheetId="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251">
          <cell r="C251">
            <v>3165</v>
          </cell>
        </row>
        <row r="252">
          <cell r="C252">
            <v>993</v>
          </cell>
        </row>
        <row r="287">
          <cell r="C287">
            <v>223532</v>
          </cell>
        </row>
        <row r="288">
          <cell r="C288">
            <v>327661</v>
          </cell>
        </row>
        <row r="289">
          <cell r="C289">
            <v>20328</v>
          </cell>
        </row>
        <row r="290">
          <cell r="C290">
            <v>0</v>
          </cell>
        </row>
        <row r="291">
          <cell r="C291">
            <v>23558</v>
          </cell>
        </row>
        <row r="293">
          <cell r="C293">
            <v>32532</v>
          </cell>
        </row>
        <row r="294">
          <cell r="C294">
            <v>2694</v>
          </cell>
        </row>
        <row r="295">
          <cell r="C295">
            <v>15238</v>
          </cell>
        </row>
        <row r="296">
          <cell r="C296">
            <v>89</v>
          </cell>
        </row>
        <row r="297">
          <cell r="C297">
            <v>1135</v>
          </cell>
        </row>
        <row r="298">
          <cell r="C298">
            <v>27693</v>
          </cell>
        </row>
        <row r="300">
          <cell r="C300">
            <v>26311</v>
          </cell>
        </row>
        <row r="301">
          <cell r="C301">
            <v>17</v>
          </cell>
        </row>
        <row r="302">
          <cell r="C302">
            <v>13307</v>
          </cell>
        </row>
        <row r="304">
          <cell r="C304">
            <v>7485</v>
          </cell>
        </row>
        <row r="305">
          <cell r="C305">
            <v>3114</v>
          </cell>
        </row>
        <row r="306">
          <cell r="C306">
            <v>1044</v>
          </cell>
        </row>
        <row r="310">
          <cell r="C310">
            <v>11415</v>
          </cell>
        </row>
        <row r="343">
          <cell r="C343">
            <v>426</v>
          </cell>
        </row>
        <row r="344">
          <cell r="C344">
            <v>2554</v>
          </cell>
        </row>
        <row r="345">
          <cell r="C345">
            <v>619</v>
          </cell>
        </row>
        <row r="346">
          <cell r="C346">
            <v>46</v>
          </cell>
        </row>
        <row r="347">
          <cell r="C347">
            <v>553</v>
          </cell>
        </row>
        <row r="348">
          <cell r="C348">
            <v>1582</v>
          </cell>
        </row>
        <row r="349">
          <cell r="C349">
            <v>201</v>
          </cell>
        </row>
        <row r="350">
          <cell r="C350">
            <v>64</v>
          </cell>
        </row>
        <row r="351">
          <cell r="C351">
            <v>1851</v>
          </cell>
        </row>
        <row r="352">
          <cell r="C352">
            <v>108</v>
          </cell>
        </row>
        <row r="353">
          <cell r="C353">
            <v>283</v>
          </cell>
        </row>
        <row r="354">
          <cell r="C354">
            <v>91</v>
          </cell>
        </row>
        <row r="355">
          <cell r="C355">
            <v>546</v>
          </cell>
        </row>
        <row r="356">
          <cell r="C356">
            <v>1003</v>
          </cell>
        </row>
        <row r="360">
          <cell r="C360">
            <v>76</v>
          </cell>
        </row>
        <row r="361">
          <cell r="C361">
            <v>2066</v>
          </cell>
        </row>
        <row r="362">
          <cell r="C362">
            <v>0</v>
          </cell>
        </row>
        <row r="409">
          <cell r="C409">
            <v>434</v>
          </cell>
        </row>
        <row r="411">
          <cell r="C411">
            <v>8016</v>
          </cell>
        </row>
        <row r="412">
          <cell r="C412">
            <v>0</v>
          </cell>
        </row>
        <row r="413">
          <cell r="C413">
            <v>8141</v>
          </cell>
        </row>
        <row r="414">
          <cell r="C414">
            <v>269</v>
          </cell>
        </row>
      </sheetData>
      <sheetData sheetId="3"/>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372</v>
          </cell>
        </row>
        <row r="251">
          <cell r="C251">
            <v>0</v>
          </cell>
        </row>
        <row r="252">
          <cell r="C252">
            <v>0</v>
          </cell>
        </row>
        <row r="287">
          <cell r="C287">
            <v>145258</v>
          </cell>
        </row>
        <row r="288">
          <cell r="C288">
            <v>247798</v>
          </cell>
        </row>
        <row r="289">
          <cell r="C289">
            <v>18912</v>
          </cell>
        </row>
        <row r="290">
          <cell r="C290">
            <v>0</v>
          </cell>
        </row>
        <row r="291">
          <cell r="C291">
            <v>18769</v>
          </cell>
        </row>
        <row r="293">
          <cell r="C293">
            <v>26135</v>
          </cell>
        </row>
        <row r="294">
          <cell r="C294">
            <v>1768</v>
          </cell>
        </row>
        <row r="295">
          <cell r="C295">
            <v>4779</v>
          </cell>
        </row>
        <row r="296">
          <cell r="C296">
            <v>0</v>
          </cell>
        </row>
        <row r="297">
          <cell r="C297">
            <v>796</v>
          </cell>
        </row>
        <row r="298">
          <cell r="C298">
            <v>21908</v>
          </cell>
        </row>
        <row r="300">
          <cell r="C300">
            <v>41663</v>
          </cell>
        </row>
        <row r="301">
          <cell r="C301">
            <v>51</v>
          </cell>
        </row>
        <row r="302">
          <cell r="C302">
            <v>8617</v>
          </cell>
        </row>
        <row r="304">
          <cell r="C304">
            <v>5702</v>
          </cell>
        </row>
        <row r="305">
          <cell r="C305">
            <v>1929</v>
          </cell>
        </row>
        <row r="306">
          <cell r="C306">
            <v>1006</v>
          </cell>
        </row>
        <row r="310">
          <cell r="C310">
            <v>0</v>
          </cell>
        </row>
        <row r="343">
          <cell r="C343">
            <v>19</v>
          </cell>
        </row>
        <row r="344">
          <cell r="C344">
            <v>4</v>
          </cell>
        </row>
        <row r="345">
          <cell r="C345">
            <v>21</v>
          </cell>
        </row>
        <row r="346">
          <cell r="C346">
            <v>75</v>
          </cell>
        </row>
        <row r="347">
          <cell r="C347">
            <v>526</v>
          </cell>
        </row>
        <row r="348">
          <cell r="C348">
            <v>1669</v>
          </cell>
        </row>
        <row r="349">
          <cell r="C349">
            <v>273</v>
          </cell>
        </row>
        <row r="350">
          <cell r="C350">
            <v>16</v>
          </cell>
        </row>
        <row r="351">
          <cell r="C351">
            <v>1100</v>
          </cell>
        </row>
        <row r="352">
          <cell r="C352">
            <v>121</v>
          </cell>
        </row>
        <row r="353">
          <cell r="C353">
            <v>574</v>
          </cell>
        </row>
        <row r="354">
          <cell r="C354">
            <v>73</v>
          </cell>
        </row>
        <row r="355">
          <cell r="C355">
            <v>417</v>
          </cell>
        </row>
        <row r="356">
          <cell r="C356">
            <v>583</v>
          </cell>
        </row>
        <row r="360">
          <cell r="C360">
            <v>2166</v>
          </cell>
        </row>
        <row r="361">
          <cell r="C361">
            <v>3453</v>
          </cell>
        </row>
        <row r="362">
          <cell r="C362">
            <v>267</v>
          </cell>
        </row>
        <row r="409">
          <cell r="C409">
            <v>451</v>
          </cell>
        </row>
        <row r="411">
          <cell r="C411">
            <v>8183</v>
          </cell>
        </row>
        <row r="412">
          <cell r="C412">
            <v>0</v>
          </cell>
        </row>
        <row r="413">
          <cell r="C413">
            <v>340</v>
          </cell>
        </row>
        <row r="414">
          <cell r="C414">
            <v>1162</v>
          </cell>
        </row>
      </sheetData>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251">
          <cell r="C251">
            <v>0</v>
          </cell>
        </row>
        <row r="252">
          <cell r="C252">
            <v>0</v>
          </cell>
        </row>
        <row r="287">
          <cell r="C287">
            <v>48130</v>
          </cell>
        </row>
        <row r="288">
          <cell r="C288">
            <v>75409</v>
          </cell>
        </row>
        <row r="289">
          <cell r="C289">
            <v>3038</v>
          </cell>
        </row>
        <row r="290">
          <cell r="C290">
            <v>0</v>
          </cell>
        </row>
        <row r="291">
          <cell r="C291">
            <v>515</v>
          </cell>
        </row>
        <row r="293">
          <cell r="C293">
            <v>9317</v>
          </cell>
        </row>
        <row r="294">
          <cell r="C294">
            <v>86</v>
          </cell>
        </row>
        <row r="295">
          <cell r="C295">
            <v>0</v>
          </cell>
        </row>
        <row r="296">
          <cell r="C296">
            <v>0</v>
          </cell>
        </row>
        <row r="297">
          <cell r="C297">
            <v>999</v>
          </cell>
        </row>
        <row r="298">
          <cell r="C298">
            <v>12827</v>
          </cell>
        </row>
        <row r="300">
          <cell r="C300">
            <v>21431</v>
          </cell>
        </row>
        <row r="301">
          <cell r="C301">
            <v>0</v>
          </cell>
        </row>
        <row r="302">
          <cell r="C302">
            <v>0</v>
          </cell>
        </row>
        <row r="304">
          <cell r="C304">
            <v>0</v>
          </cell>
        </row>
        <row r="305">
          <cell r="C305">
            <v>406</v>
          </cell>
        </row>
        <row r="306">
          <cell r="C306">
            <v>0</v>
          </cell>
        </row>
        <row r="310">
          <cell r="C310">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60">
          <cell r="C360">
            <v>0</v>
          </cell>
        </row>
        <row r="361">
          <cell r="C361">
            <v>0</v>
          </cell>
        </row>
        <row r="362">
          <cell r="C362">
            <v>0</v>
          </cell>
        </row>
        <row r="409">
          <cell r="C409">
            <v>0</v>
          </cell>
        </row>
        <row r="411">
          <cell r="C411">
            <v>1148</v>
          </cell>
        </row>
        <row r="412">
          <cell r="C412">
            <v>0</v>
          </cell>
        </row>
        <row r="413">
          <cell r="C413">
            <v>0</v>
          </cell>
        </row>
        <row r="414">
          <cell r="C414">
            <v>96</v>
          </cell>
        </row>
      </sheetData>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251">
          <cell r="C251">
            <v>0</v>
          </cell>
        </row>
        <row r="252">
          <cell r="C252">
            <v>0</v>
          </cell>
        </row>
        <row r="287">
          <cell r="C287">
            <v>0</v>
          </cell>
        </row>
        <row r="288">
          <cell r="C288">
            <v>1946</v>
          </cell>
        </row>
        <row r="289">
          <cell r="C289">
            <v>0</v>
          </cell>
        </row>
        <row r="290">
          <cell r="C290">
            <v>0</v>
          </cell>
        </row>
        <row r="291">
          <cell r="C291">
            <v>0</v>
          </cell>
        </row>
        <row r="293">
          <cell r="C293">
            <v>0</v>
          </cell>
        </row>
        <row r="294">
          <cell r="C294">
            <v>0</v>
          </cell>
        </row>
        <row r="295">
          <cell r="C295">
            <v>0</v>
          </cell>
        </row>
        <row r="296">
          <cell r="C296">
            <v>0</v>
          </cell>
        </row>
        <row r="297">
          <cell r="C297">
            <v>0</v>
          </cell>
        </row>
        <row r="298">
          <cell r="C298">
            <v>1189</v>
          </cell>
        </row>
        <row r="300">
          <cell r="C300">
            <v>6485</v>
          </cell>
        </row>
        <row r="301">
          <cell r="C301">
            <v>0</v>
          </cell>
        </row>
        <row r="302">
          <cell r="C302">
            <v>0</v>
          </cell>
        </row>
        <row r="304">
          <cell r="C304">
            <v>0</v>
          </cell>
        </row>
        <row r="305">
          <cell r="C305">
            <v>0</v>
          </cell>
        </row>
        <row r="306">
          <cell r="C306">
            <v>0</v>
          </cell>
        </row>
        <row r="310">
          <cell r="C310">
            <v>0</v>
          </cell>
        </row>
        <row r="343">
          <cell r="C343">
            <v>0</v>
          </cell>
        </row>
        <row r="344">
          <cell r="C344">
            <v>7</v>
          </cell>
        </row>
        <row r="345">
          <cell r="C345">
            <v>0</v>
          </cell>
        </row>
        <row r="346">
          <cell r="C346">
            <v>0</v>
          </cell>
        </row>
        <row r="347">
          <cell r="C347">
            <v>82</v>
          </cell>
        </row>
        <row r="348">
          <cell r="C348">
            <v>130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60">
          <cell r="C360">
            <v>0</v>
          </cell>
        </row>
        <row r="361">
          <cell r="C361">
            <v>0</v>
          </cell>
        </row>
        <row r="362">
          <cell r="C362">
            <v>0</v>
          </cell>
        </row>
        <row r="409">
          <cell r="C409">
            <v>0</v>
          </cell>
        </row>
        <row r="411">
          <cell r="C411">
            <v>1030</v>
          </cell>
        </row>
        <row r="412">
          <cell r="C412">
            <v>0</v>
          </cell>
        </row>
        <row r="413">
          <cell r="C413">
            <v>0</v>
          </cell>
        </row>
        <row r="414">
          <cell r="C414">
            <v>0</v>
          </cell>
        </row>
      </sheetData>
      <sheetData sheetId="3"/>
      <sheetData sheetId="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7">
          <cell r="C287">
            <v>0</v>
          </cell>
        </row>
        <row r="288">
          <cell r="C288">
            <v>0</v>
          </cell>
        </row>
        <row r="293">
          <cell r="C293">
            <v>0</v>
          </cell>
        </row>
        <row r="294">
          <cell r="C294">
            <v>0</v>
          </cell>
        </row>
        <row r="298">
          <cell r="C298">
            <v>0</v>
          </cell>
        </row>
        <row r="300">
          <cell r="C300">
            <v>0</v>
          </cell>
        </row>
        <row r="304">
          <cell r="C304">
            <v>16</v>
          </cell>
        </row>
        <row r="305">
          <cell r="C305">
            <v>325</v>
          </cell>
        </row>
        <row r="306">
          <cell r="C306">
            <v>0</v>
          </cell>
        </row>
        <row r="348">
          <cell r="C348">
            <v>176</v>
          </cell>
        </row>
        <row r="411">
          <cell r="C411">
            <v>6535</v>
          </cell>
        </row>
        <row r="412">
          <cell r="C412">
            <v>412</v>
          </cell>
        </row>
        <row r="413">
          <cell r="C413">
            <v>0</v>
          </cell>
        </row>
        <row r="414">
          <cell r="C414">
            <v>0</v>
          </cell>
        </row>
      </sheetData>
      <sheetData sheetId="3"/>
      <sheetData sheetId="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7">
          <cell r="C287">
            <v>59048</v>
          </cell>
        </row>
        <row r="288">
          <cell r="C288">
            <v>29966</v>
          </cell>
        </row>
        <row r="293">
          <cell r="C293">
            <v>8551</v>
          </cell>
        </row>
        <row r="294">
          <cell r="C294">
            <v>312</v>
          </cell>
        </row>
        <row r="298">
          <cell r="C298">
            <v>19514</v>
          </cell>
        </row>
        <row r="300">
          <cell r="C300">
            <v>0</v>
          </cell>
        </row>
        <row r="304">
          <cell r="C304">
            <v>0</v>
          </cell>
        </row>
        <row r="305">
          <cell r="C305">
            <v>92</v>
          </cell>
        </row>
        <row r="306">
          <cell r="C306">
            <v>0</v>
          </cell>
        </row>
        <row r="348">
          <cell r="C348">
            <v>234</v>
          </cell>
        </row>
        <row r="411">
          <cell r="C411">
            <v>4048</v>
          </cell>
        </row>
        <row r="412">
          <cell r="C412">
            <v>958</v>
          </cell>
        </row>
        <row r="413">
          <cell r="C413">
            <v>0</v>
          </cell>
        </row>
        <row r="414">
          <cell r="C414">
            <v>0</v>
          </cell>
        </row>
      </sheetData>
      <sheetData sheetId="3"/>
      <sheetData sheetId="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7">
          <cell r="C287">
            <v>302</v>
          </cell>
        </row>
        <row r="288">
          <cell r="C288">
            <v>261</v>
          </cell>
        </row>
        <row r="293">
          <cell r="C293">
            <v>0</v>
          </cell>
        </row>
        <row r="294">
          <cell r="C294">
            <v>0</v>
          </cell>
        </row>
        <row r="298">
          <cell r="C298">
            <v>261</v>
          </cell>
        </row>
        <row r="300">
          <cell r="C300">
            <v>511</v>
          </cell>
        </row>
        <row r="304">
          <cell r="C304">
            <v>0</v>
          </cell>
        </row>
        <row r="305">
          <cell r="C305">
            <v>188</v>
          </cell>
        </row>
        <row r="306">
          <cell r="C306">
            <v>0</v>
          </cell>
        </row>
        <row r="348">
          <cell r="C348">
            <v>150</v>
          </cell>
        </row>
        <row r="411">
          <cell r="C411">
            <v>4699</v>
          </cell>
        </row>
        <row r="412">
          <cell r="C412">
            <v>2193</v>
          </cell>
        </row>
        <row r="413">
          <cell r="C413">
            <v>381</v>
          </cell>
        </row>
        <row r="414">
          <cell r="C414">
            <v>9</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B11">
            <v>3799</v>
          </cell>
          <cell r="X11">
            <v>201</v>
          </cell>
          <cell r="Y11">
            <v>304</v>
          </cell>
          <cell r="Z11">
            <v>28</v>
          </cell>
          <cell r="AB11">
            <v>2</v>
          </cell>
          <cell r="AC11">
            <v>2</v>
          </cell>
          <cell r="AD11">
            <v>0</v>
          </cell>
        </row>
        <row r="12">
          <cell r="B12">
            <v>12205</v>
          </cell>
          <cell r="X12">
            <v>0</v>
          </cell>
          <cell r="Y12">
            <v>1</v>
          </cell>
          <cell r="Z12">
            <v>0</v>
          </cell>
          <cell r="AB12">
            <v>983</v>
          </cell>
          <cell r="AC12">
            <v>768</v>
          </cell>
          <cell r="AD12">
            <v>4</v>
          </cell>
        </row>
        <row r="13">
          <cell r="B13">
            <v>659</v>
          </cell>
          <cell r="X13">
            <v>0</v>
          </cell>
          <cell r="Y13">
            <v>0</v>
          </cell>
          <cell r="Z13">
            <v>0</v>
          </cell>
          <cell r="AB13">
            <v>0</v>
          </cell>
          <cell r="AC13">
            <v>0</v>
          </cell>
          <cell r="AD13">
            <v>0</v>
          </cell>
        </row>
        <row r="14">
          <cell r="B14">
            <v>294</v>
          </cell>
          <cell r="X14">
            <v>12</v>
          </cell>
          <cell r="Y14">
            <v>14</v>
          </cell>
          <cell r="Z14">
            <v>0</v>
          </cell>
          <cell r="AB14">
            <v>0</v>
          </cell>
          <cell r="AC14">
            <v>2</v>
          </cell>
          <cell r="AD14">
            <v>0</v>
          </cell>
        </row>
        <row r="15">
          <cell r="B15">
            <v>788</v>
          </cell>
          <cell r="X15">
            <v>0</v>
          </cell>
          <cell r="Y15">
            <v>0</v>
          </cell>
          <cell r="Z15">
            <v>0</v>
          </cell>
          <cell r="AB15">
            <v>38</v>
          </cell>
          <cell r="AC15">
            <v>87</v>
          </cell>
          <cell r="AD15">
            <v>0</v>
          </cell>
        </row>
        <row r="16">
          <cell r="B16">
            <v>327</v>
          </cell>
          <cell r="X16">
            <v>37</v>
          </cell>
          <cell r="Y16">
            <v>77</v>
          </cell>
          <cell r="Z16">
            <v>0</v>
          </cell>
          <cell r="AB16">
            <v>2</v>
          </cell>
          <cell r="AC16">
            <v>0</v>
          </cell>
          <cell r="AD16">
            <v>0</v>
          </cell>
        </row>
        <row r="17">
          <cell r="B17">
            <v>2085</v>
          </cell>
          <cell r="X17">
            <v>0</v>
          </cell>
          <cell r="Y17">
            <v>0</v>
          </cell>
          <cell r="Z17">
            <v>0</v>
          </cell>
          <cell r="AB17">
            <v>80</v>
          </cell>
          <cell r="AC17">
            <v>256</v>
          </cell>
          <cell r="AD17">
            <v>1</v>
          </cell>
        </row>
        <row r="18">
          <cell r="B18">
            <v>0</v>
          </cell>
          <cell r="X18">
            <v>0</v>
          </cell>
          <cell r="Y18">
            <v>0</v>
          </cell>
          <cell r="Z18">
            <v>0</v>
          </cell>
          <cell r="AB18">
            <v>0</v>
          </cell>
          <cell r="AC18">
            <v>0</v>
          </cell>
          <cell r="AD18">
            <v>0</v>
          </cell>
        </row>
        <row r="19">
          <cell r="B19">
            <v>1450</v>
          </cell>
          <cell r="X19">
            <v>0</v>
          </cell>
          <cell r="Y19">
            <v>1</v>
          </cell>
          <cell r="Z19">
            <v>0</v>
          </cell>
          <cell r="AB19">
            <v>49</v>
          </cell>
          <cell r="AC19">
            <v>115</v>
          </cell>
          <cell r="AD19">
            <v>0</v>
          </cell>
        </row>
        <row r="20">
          <cell r="B20">
            <v>219</v>
          </cell>
          <cell r="X20">
            <v>19</v>
          </cell>
          <cell r="Y20">
            <v>10</v>
          </cell>
          <cell r="Z20">
            <v>0</v>
          </cell>
          <cell r="AB20">
            <v>0</v>
          </cell>
          <cell r="AC20">
            <v>1</v>
          </cell>
          <cell r="AD20">
            <v>0</v>
          </cell>
        </row>
        <row r="21">
          <cell r="B21">
            <v>309</v>
          </cell>
          <cell r="X21">
            <v>0</v>
          </cell>
          <cell r="Y21">
            <v>0</v>
          </cell>
          <cell r="Z21">
            <v>0</v>
          </cell>
          <cell r="AB21">
            <v>47</v>
          </cell>
          <cell r="AC21">
            <v>58</v>
          </cell>
          <cell r="AD21">
            <v>0</v>
          </cell>
        </row>
        <row r="22">
          <cell r="B22">
            <v>0</v>
          </cell>
          <cell r="X22">
            <v>0</v>
          </cell>
          <cell r="Y22">
            <v>0</v>
          </cell>
          <cell r="Z22">
            <v>0</v>
          </cell>
          <cell r="AB22">
            <v>0</v>
          </cell>
          <cell r="AC22">
            <v>0</v>
          </cell>
          <cell r="AD22">
            <v>0</v>
          </cell>
        </row>
        <row r="23">
          <cell r="B23">
            <v>0</v>
          </cell>
          <cell r="X23">
            <v>0</v>
          </cell>
          <cell r="Y23">
            <v>0</v>
          </cell>
          <cell r="Z23">
            <v>0</v>
          </cell>
          <cell r="AB23">
            <v>0</v>
          </cell>
          <cell r="AC23">
            <v>0</v>
          </cell>
          <cell r="AD23">
            <v>0</v>
          </cell>
        </row>
        <row r="24">
          <cell r="B24">
            <v>0</v>
          </cell>
          <cell r="X24">
            <v>0</v>
          </cell>
          <cell r="Y24">
            <v>0</v>
          </cell>
          <cell r="Z24">
            <v>0</v>
          </cell>
          <cell r="AB24">
            <v>0</v>
          </cell>
          <cell r="AC24">
            <v>0</v>
          </cell>
          <cell r="AD24">
            <v>0</v>
          </cell>
        </row>
        <row r="25">
          <cell r="B25">
            <v>0</v>
          </cell>
          <cell r="X25">
            <v>0</v>
          </cell>
          <cell r="Y25">
            <v>0</v>
          </cell>
          <cell r="Z25">
            <v>0</v>
          </cell>
          <cell r="AB25">
            <v>0</v>
          </cell>
          <cell r="AC25">
            <v>0</v>
          </cell>
          <cell r="AD25">
            <v>0</v>
          </cell>
        </row>
        <row r="26">
          <cell r="B26">
            <v>508</v>
          </cell>
          <cell r="X26">
            <v>0</v>
          </cell>
          <cell r="Y26">
            <v>0</v>
          </cell>
          <cell r="Z26">
            <v>0</v>
          </cell>
          <cell r="AB26">
            <v>54</v>
          </cell>
          <cell r="AC26">
            <v>27</v>
          </cell>
          <cell r="AD26">
            <v>0</v>
          </cell>
        </row>
        <row r="27">
          <cell r="B27">
            <v>0</v>
          </cell>
          <cell r="X27">
            <v>0</v>
          </cell>
          <cell r="Y27">
            <v>0</v>
          </cell>
          <cell r="Z27">
            <v>0</v>
          </cell>
          <cell r="AB27">
            <v>0</v>
          </cell>
          <cell r="AC27">
            <v>0</v>
          </cell>
          <cell r="AD27">
            <v>0</v>
          </cell>
        </row>
        <row r="28">
          <cell r="B28">
            <v>0</v>
          </cell>
          <cell r="X28">
            <v>0</v>
          </cell>
          <cell r="Y28">
            <v>0</v>
          </cell>
          <cell r="Z28">
            <v>0</v>
          </cell>
          <cell r="AB28">
            <v>0</v>
          </cell>
          <cell r="AC28">
            <v>0</v>
          </cell>
          <cell r="AD28">
            <v>0</v>
          </cell>
        </row>
        <row r="29">
          <cell r="B29">
            <v>0</v>
          </cell>
          <cell r="X29">
            <v>0</v>
          </cell>
          <cell r="Y29">
            <v>0</v>
          </cell>
          <cell r="Z29">
            <v>0</v>
          </cell>
          <cell r="AB29">
            <v>0</v>
          </cell>
          <cell r="AC29">
            <v>0</v>
          </cell>
          <cell r="AD29">
            <v>0</v>
          </cell>
        </row>
        <row r="30">
          <cell r="B30">
            <v>1457</v>
          </cell>
          <cell r="X30">
            <v>0</v>
          </cell>
          <cell r="Y30">
            <v>0</v>
          </cell>
          <cell r="Z30">
            <v>0</v>
          </cell>
          <cell r="AB30">
            <v>65</v>
          </cell>
          <cell r="AC30">
            <v>110</v>
          </cell>
          <cell r="AD30">
            <v>0</v>
          </cell>
        </row>
        <row r="31">
          <cell r="B31">
            <v>671</v>
          </cell>
          <cell r="X31">
            <v>45</v>
          </cell>
          <cell r="Y31">
            <v>10</v>
          </cell>
          <cell r="Z31">
            <v>0</v>
          </cell>
          <cell r="AB31">
            <v>129</v>
          </cell>
          <cell r="AC31">
            <v>36</v>
          </cell>
          <cell r="AD31">
            <v>0</v>
          </cell>
        </row>
        <row r="32">
          <cell r="B32">
            <v>0</v>
          </cell>
          <cell r="X32">
            <v>0</v>
          </cell>
          <cell r="Y32">
            <v>0</v>
          </cell>
          <cell r="Z32">
            <v>0</v>
          </cell>
          <cell r="AB32">
            <v>0</v>
          </cell>
          <cell r="AC32">
            <v>0</v>
          </cell>
          <cell r="AD32">
            <v>0</v>
          </cell>
        </row>
        <row r="33">
          <cell r="B33">
            <v>799</v>
          </cell>
          <cell r="X33">
            <v>0</v>
          </cell>
          <cell r="Y33">
            <v>0</v>
          </cell>
          <cell r="Z33">
            <v>0</v>
          </cell>
          <cell r="AB33">
            <v>35</v>
          </cell>
          <cell r="AC33">
            <v>8</v>
          </cell>
          <cell r="AD33">
            <v>0</v>
          </cell>
        </row>
        <row r="34">
          <cell r="B34">
            <v>0</v>
          </cell>
          <cell r="X34">
            <v>0</v>
          </cell>
          <cell r="Y34">
            <v>0</v>
          </cell>
          <cell r="Z34">
            <v>0</v>
          </cell>
          <cell r="AB34">
            <v>0</v>
          </cell>
          <cell r="AC34">
            <v>0</v>
          </cell>
          <cell r="AD34">
            <v>0</v>
          </cell>
        </row>
        <row r="35">
          <cell r="B35">
            <v>0</v>
          </cell>
          <cell r="AB35">
            <v>0</v>
          </cell>
          <cell r="AC35">
            <v>0</v>
          </cell>
          <cell r="AD35">
            <v>0</v>
          </cell>
        </row>
        <row r="36">
          <cell r="B36">
            <v>302</v>
          </cell>
          <cell r="X36">
            <v>4</v>
          </cell>
          <cell r="Y36">
            <v>73</v>
          </cell>
          <cell r="Z36">
            <v>0</v>
          </cell>
          <cell r="AB36">
            <v>0</v>
          </cell>
          <cell r="AC36">
            <v>0</v>
          </cell>
          <cell r="AD36">
            <v>0</v>
          </cell>
        </row>
        <row r="37">
          <cell r="B37">
            <v>940</v>
          </cell>
          <cell r="X37">
            <v>0</v>
          </cell>
          <cell r="Y37">
            <v>0</v>
          </cell>
          <cell r="Z37">
            <v>0</v>
          </cell>
          <cell r="AB37">
            <v>30</v>
          </cell>
          <cell r="AC37">
            <v>253</v>
          </cell>
          <cell r="AD37">
            <v>0</v>
          </cell>
        </row>
        <row r="38">
          <cell r="B38">
            <v>2188</v>
          </cell>
          <cell r="X38">
            <v>206</v>
          </cell>
          <cell r="Y38">
            <v>156</v>
          </cell>
          <cell r="Z38">
            <v>9</v>
          </cell>
          <cell r="AB38">
            <v>0</v>
          </cell>
          <cell r="AC38">
            <v>2</v>
          </cell>
          <cell r="AD38">
            <v>0</v>
          </cell>
        </row>
        <row r="39">
          <cell r="B39">
            <v>4203</v>
          </cell>
          <cell r="X39">
            <v>0</v>
          </cell>
          <cell r="Y39">
            <v>0</v>
          </cell>
          <cell r="Z39">
            <v>0</v>
          </cell>
          <cell r="AB39">
            <v>597</v>
          </cell>
          <cell r="AC39">
            <v>449</v>
          </cell>
          <cell r="AD39">
            <v>1</v>
          </cell>
        </row>
        <row r="40">
          <cell r="B40">
            <v>0</v>
          </cell>
          <cell r="X40">
            <v>0</v>
          </cell>
          <cell r="Y40">
            <v>0</v>
          </cell>
          <cell r="Z40">
            <v>0</v>
          </cell>
          <cell r="AB40">
            <v>0</v>
          </cell>
          <cell r="AC40">
            <v>0</v>
          </cell>
          <cell r="AD40">
            <v>0</v>
          </cell>
        </row>
        <row r="41">
          <cell r="B41">
            <v>1065</v>
          </cell>
          <cell r="X41">
            <v>64</v>
          </cell>
          <cell r="Y41">
            <v>25</v>
          </cell>
          <cell r="Z41">
            <v>13</v>
          </cell>
          <cell r="AB41">
            <v>30</v>
          </cell>
          <cell r="AC41">
            <v>11</v>
          </cell>
          <cell r="AD41">
            <v>28</v>
          </cell>
        </row>
        <row r="42">
          <cell r="B42">
            <v>3724</v>
          </cell>
          <cell r="X42">
            <v>0</v>
          </cell>
          <cell r="Y42">
            <v>0</v>
          </cell>
          <cell r="Z42">
            <v>0</v>
          </cell>
          <cell r="AB42">
            <v>420</v>
          </cell>
          <cell r="AC42">
            <v>29</v>
          </cell>
          <cell r="AD42">
            <v>156</v>
          </cell>
        </row>
        <row r="43">
          <cell r="B43">
            <v>1319</v>
          </cell>
          <cell r="X43">
            <v>262</v>
          </cell>
          <cell r="Y43">
            <v>101</v>
          </cell>
          <cell r="Z43">
            <v>35</v>
          </cell>
          <cell r="AB43">
            <v>3</v>
          </cell>
          <cell r="AC43">
            <v>0</v>
          </cell>
          <cell r="AD43">
            <v>1</v>
          </cell>
        </row>
        <row r="44">
          <cell r="B44">
            <v>8614</v>
          </cell>
          <cell r="X44">
            <v>1</v>
          </cell>
          <cell r="Y44">
            <v>0</v>
          </cell>
          <cell r="Z44">
            <v>0</v>
          </cell>
          <cell r="AB44">
            <v>1368</v>
          </cell>
          <cell r="AC44">
            <v>1076</v>
          </cell>
          <cell r="AD44">
            <v>28</v>
          </cell>
        </row>
        <row r="45">
          <cell r="B45">
            <v>0</v>
          </cell>
          <cell r="X45">
            <v>0</v>
          </cell>
          <cell r="Y45">
            <v>0</v>
          </cell>
          <cell r="Z45">
            <v>0</v>
          </cell>
          <cell r="AB45">
            <v>0</v>
          </cell>
          <cell r="AC45">
            <v>0</v>
          </cell>
          <cell r="AD45">
            <v>0</v>
          </cell>
        </row>
        <row r="46">
          <cell r="B46">
            <v>0</v>
          </cell>
          <cell r="X46">
            <v>0</v>
          </cell>
          <cell r="Y46">
            <v>0</v>
          </cell>
          <cell r="Z46">
            <v>0</v>
          </cell>
          <cell r="AB46">
            <v>0</v>
          </cell>
          <cell r="AC46">
            <v>0</v>
          </cell>
          <cell r="AD46">
            <v>0</v>
          </cell>
        </row>
        <row r="47">
          <cell r="B47">
            <v>0</v>
          </cell>
          <cell r="X47">
            <v>0</v>
          </cell>
          <cell r="Y47">
            <v>0</v>
          </cell>
          <cell r="Z47">
            <v>0</v>
          </cell>
          <cell r="AB47">
            <v>0</v>
          </cell>
          <cell r="AC47">
            <v>0</v>
          </cell>
          <cell r="AD47">
            <v>0</v>
          </cell>
        </row>
        <row r="48">
          <cell r="B48">
            <v>372</v>
          </cell>
          <cell r="X48">
            <v>0</v>
          </cell>
          <cell r="Y48">
            <v>1</v>
          </cell>
          <cell r="Z48">
            <v>0</v>
          </cell>
          <cell r="AB48">
            <v>36</v>
          </cell>
          <cell r="AC48">
            <v>68</v>
          </cell>
          <cell r="AD48">
            <v>0</v>
          </cell>
        </row>
        <row r="49">
          <cell r="B49">
            <v>0</v>
          </cell>
          <cell r="X49">
            <v>0</v>
          </cell>
          <cell r="Y49">
            <v>0</v>
          </cell>
          <cell r="Z49">
            <v>0</v>
          </cell>
          <cell r="AB49">
            <v>0</v>
          </cell>
          <cell r="AC49">
            <v>0</v>
          </cell>
          <cell r="AD49">
            <v>0</v>
          </cell>
        </row>
        <row r="50">
          <cell r="B50">
            <v>0</v>
          </cell>
          <cell r="X50">
            <v>0</v>
          </cell>
          <cell r="Y50">
            <v>0</v>
          </cell>
          <cell r="Z50">
            <v>0</v>
          </cell>
          <cell r="AB50">
            <v>0</v>
          </cell>
          <cell r="AC50">
            <v>0</v>
          </cell>
          <cell r="AD50">
            <v>0</v>
          </cell>
        </row>
        <row r="51">
          <cell r="B51">
            <v>148</v>
          </cell>
          <cell r="X51">
            <v>0</v>
          </cell>
          <cell r="Y51">
            <v>0</v>
          </cell>
          <cell r="Z51">
            <v>0</v>
          </cell>
          <cell r="AB51">
            <v>12</v>
          </cell>
          <cell r="AC51">
            <v>35</v>
          </cell>
          <cell r="AD51">
            <v>0</v>
          </cell>
        </row>
        <row r="52">
          <cell r="B52">
            <v>2495</v>
          </cell>
          <cell r="X52">
            <v>5</v>
          </cell>
          <cell r="Y52">
            <v>15</v>
          </cell>
          <cell r="Z52">
            <v>2</v>
          </cell>
          <cell r="AB52">
            <v>329</v>
          </cell>
          <cell r="AC52">
            <v>172</v>
          </cell>
          <cell r="AD52">
            <v>5</v>
          </cell>
        </row>
        <row r="53">
          <cell r="B53">
            <v>0</v>
          </cell>
          <cell r="X53">
            <v>0</v>
          </cell>
          <cell r="Y53">
            <v>0</v>
          </cell>
          <cell r="Z53">
            <v>0</v>
          </cell>
          <cell r="AB53">
            <v>0</v>
          </cell>
          <cell r="AC53">
            <v>0</v>
          </cell>
          <cell r="AD53">
            <v>0</v>
          </cell>
        </row>
        <row r="54">
          <cell r="B54">
            <v>70</v>
          </cell>
          <cell r="X54">
            <v>0</v>
          </cell>
          <cell r="Y54">
            <v>0</v>
          </cell>
          <cell r="Z54">
            <v>0</v>
          </cell>
          <cell r="AB54">
            <v>0</v>
          </cell>
          <cell r="AC54">
            <v>0</v>
          </cell>
          <cell r="AD54">
            <v>0</v>
          </cell>
        </row>
        <row r="55">
          <cell r="B55">
            <v>5930</v>
          </cell>
          <cell r="X55">
            <v>1</v>
          </cell>
          <cell r="Y55">
            <v>0</v>
          </cell>
          <cell r="Z55">
            <v>0</v>
          </cell>
          <cell r="AB55">
            <v>773</v>
          </cell>
          <cell r="AC55">
            <v>630</v>
          </cell>
          <cell r="AD55">
            <v>3</v>
          </cell>
        </row>
        <row r="56">
          <cell r="B56">
            <v>0</v>
          </cell>
          <cell r="X56">
            <v>0</v>
          </cell>
          <cell r="Y56">
            <v>0</v>
          </cell>
          <cell r="Z56">
            <v>0</v>
          </cell>
          <cell r="AB56">
            <v>0</v>
          </cell>
          <cell r="AC56">
            <v>0</v>
          </cell>
          <cell r="AD56">
            <v>0</v>
          </cell>
        </row>
        <row r="57">
          <cell r="B57">
            <v>3635</v>
          </cell>
          <cell r="X57">
            <v>1</v>
          </cell>
          <cell r="Y57">
            <v>3</v>
          </cell>
          <cell r="Z57">
            <v>0</v>
          </cell>
          <cell r="AB57">
            <v>508</v>
          </cell>
          <cell r="AC57">
            <v>213</v>
          </cell>
          <cell r="AD57">
            <v>12</v>
          </cell>
        </row>
        <row r="58">
          <cell r="B58">
            <v>4986</v>
          </cell>
          <cell r="X58">
            <v>68</v>
          </cell>
          <cell r="Y58">
            <v>129</v>
          </cell>
          <cell r="Z58">
            <v>0</v>
          </cell>
          <cell r="AB58">
            <v>267</v>
          </cell>
          <cell r="AC58">
            <v>1343</v>
          </cell>
          <cell r="AD58">
            <v>0</v>
          </cell>
        </row>
        <row r="59">
          <cell r="B59">
            <v>4329</v>
          </cell>
          <cell r="X59">
            <v>262</v>
          </cell>
          <cell r="Y59">
            <v>439</v>
          </cell>
          <cell r="Z59">
            <v>0</v>
          </cell>
          <cell r="AB59">
            <v>537</v>
          </cell>
          <cell r="AC59">
            <v>929</v>
          </cell>
          <cell r="AD59">
            <v>6</v>
          </cell>
        </row>
        <row r="60">
          <cell r="B60">
            <v>353</v>
          </cell>
          <cell r="X60">
            <v>0</v>
          </cell>
          <cell r="Y60">
            <v>0</v>
          </cell>
          <cell r="Z60">
            <v>0</v>
          </cell>
          <cell r="AB60">
            <v>0</v>
          </cell>
          <cell r="AC60">
            <v>0</v>
          </cell>
          <cell r="AD60">
            <v>0</v>
          </cell>
        </row>
        <row r="61">
          <cell r="B61">
            <v>6633</v>
          </cell>
          <cell r="X61">
            <v>55</v>
          </cell>
          <cell r="Y61">
            <v>121</v>
          </cell>
          <cell r="Z61">
            <v>0</v>
          </cell>
          <cell r="AB61">
            <v>441</v>
          </cell>
          <cell r="AC61">
            <v>1100</v>
          </cell>
          <cell r="AD61">
            <v>0</v>
          </cell>
        </row>
        <row r="62">
          <cell r="B62">
            <v>0</v>
          </cell>
          <cell r="X62">
            <v>0</v>
          </cell>
          <cell r="Y62">
            <v>0</v>
          </cell>
          <cell r="Z62">
            <v>0</v>
          </cell>
          <cell r="AB62">
            <v>0</v>
          </cell>
          <cell r="AC62">
            <v>0</v>
          </cell>
          <cell r="AD62">
            <v>0</v>
          </cell>
        </row>
        <row r="63">
          <cell r="B63">
            <v>1809</v>
          </cell>
          <cell r="X63">
            <v>0</v>
          </cell>
          <cell r="Y63">
            <v>0</v>
          </cell>
          <cell r="Z63">
            <v>0</v>
          </cell>
          <cell r="AB63">
            <v>118</v>
          </cell>
          <cell r="AC63">
            <v>112</v>
          </cell>
          <cell r="AD63">
            <v>0</v>
          </cell>
        </row>
        <row r="64">
          <cell r="B64">
            <v>0</v>
          </cell>
          <cell r="X64">
            <v>0</v>
          </cell>
          <cell r="Y64">
            <v>0</v>
          </cell>
          <cell r="Z64">
            <v>0</v>
          </cell>
          <cell r="AB64">
            <v>0</v>
          </cell>
          <cell r="AC64">
            <v>0</v>
          </cell>
          <cell r="AD64">
            <v>0</v>
          </cell>
        </row>
        <row r="65">
          <cell r="B65">
            <v>0</v>
          </cell>
          <cell r="X65">
            <v>0</v>
          </cell>
          <cell r="Y65">
            <v>0</v>
          </cell>
          <cell r="Z65">
            <v>0</v>
          </cell>
          <cell r="AB65">
            <v>0</v>
          </cell>
          <cell r="AC65">
            <v>0</v>
          </cell>
          <cell r="AD65">
            <v>0</v>
          </cell>
        </row>
        <row r="66">
          <cell r="B66">
            <v>0</v>
          </cell>
          <cell r="X66">
            <v>0</v>
          </cell>
          <cell r="Y66">
            <v>0</v>
          </cell>
          <cell r="Z66">
            <v>0</v>
          </cell>
          <cell r="AB66">
            <v>0</v>
          </cell>
          <cell r="AC66">
            <v>0</v>
          </cell>
          <cell r="AD66">
            <v>0</v>
          </cell>
        </row>
        <row r="67">
          <cell r="B67">
            <v>0</v>
          </cell>
          <cell r="X67">
            <v>0</v>
          </cell>
          <cell r="Y67">
            <v>0</v>
          </cell>
          <cell r="Z67">
            <v>0</v>
          </cell>
          <cell r="AB67">
            <v>0</v>
          </cell>
          <cell r="AC67">
            <v>0</v>
          </cell>
          <cell r="AD67">
            <v>0</v>
          </cell>
        </row>
        <row r="68">
          <cell r="B68">
            <v>0</v>
          </cell>
          <cell r="X68">
            <v>0</v>
          </cell>
          <cell r="Y68">
            <v>0</v>
          </cell>
          <cell r="Z68">
            <v>0</v>
          </cell>
          <cell r="AB68">
            <v>0</v>
          </cell>
          <cell r="AC68">
            <v>0</v>
          </cell>
          <cell r="AD68">
            <v>0</v>
          </cell>
        </row>
        <row r="69">
          <cell r="B69">
            <v>0</v>
          </cell>
          <cell r="X69">
            <v>0</v>
          </cell>
          <cell r="Y69">
            <v>0</v>
          </cell>
          <cell r="Z69">
            <v>0</v>
          </cell>
          <cell r="AB69">
            <v>0</v>
          </cell>
          <cell r="AC69">
            <v>0</v>
          </cell>
          <cell r="AD69">
            <v>0</v>
          </cell>
        </row>
        <row r="70">
          <cell r="B70">
            <v>0</v>
          </cell>
          <cell r="X70">
            <v>0</v>
          </cell>
          <cell r="Y70">
            <v>0</v>
          </cell>
          <cell r="Z70">
            <v>0</v>
          </cell>
          <cell r="AB70">
            <v>0</v>
          </cell>
          <cell r="AC70">
            <v>0</v>
          </cell>
          <cell r="AD7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sheetData sheetId="2">
        <row r="393">
          <cell r="C393">
            <v>598</v>
          </cell>
          <cell r="F393">
            <v>53846</v>
          </cell>
        </row>
        <row r="462">
          <cell r="C462">
            <v>784</v>
          </cell>
          <cell r="F462">
            <v>71</v>
          </cell>
        </row>
        <row r="463">
          <cell r="C463">
            <v>0</v>
          </cell>
          <cell r="F463">
            <v>2186</v>
          </cell>
        </row>
        <row r="565">
          <cell r="C565">
            <v>1398</v>
          </cell>
          <cell r="H565">
            <v>41</v>
          </cell>
        </row>
        <row r="567">
          <cell r="C567">
            <v>30284</v>
          </cell>
          <cell r="H567">
            <v>0</v>
          </cell>
        </row>
        <row r="568">
          <cell r="C568">
            <v>58</v>
          </cell>
          <cell r="H568">
            <v>0</v>
          </cell>
        </row>
        <row r="569">
          <cell r="C569">
            <v>4</v>
          </cell>
          <cell r="H569">
            <v>0</v>
          </cell>
        </row>
        <row r="583">
          <cell r="C583">
            <v>15603</v>
          </cell>
          <cell r="H583">
            <v>20</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
      <sheetName val="A31"/>
      <sheetName val="Contro"/>
      <sheetName val="MACROS"/>
    </sheetNames>
    <sheetDataSet>
      <sheetData sheetId="0" refreshError="1"/>
      <sheetData sheetId="1" refreshError="1"/>
      <sheetData sheetId="2">
        <row r="21">
          <cell r="E21">
            <v>0</v>
          </cell>
          <cell r="F21">
            <v>3</v>
          </cell>
          <cell r="G21">
            <v>50</v>
          </cell>
          <cell r="H21">
            <v>73</v>
          </cell>
          <cell r="I21">
            <v>21</v>
          </cell>
          <cell r="J21">
            <v>62</v>
          </cell>
          <cell r="K21">
            <v>33</v>
          </cell>
          <cell r="L21">
            <v>66</v>
          </cell>
          <cell r="M21">
            <v>32</v>
          </cell>
          <cell r="N21">
            <v>45</v>
          </cell>
          <cell r="O21">
            <v>19</v>
          </cell>
          <cell r="P21">
            <v>57</v>
          </cell>
          <cell r="Q21">
            <v>30</v>
          </cell>
          <cell r="R21">
            <v>53</v>
          </cell>
          <cell r="S21">
            <v>25</v>
          </cell>
          <cell r="T21">
            <v>50</v>
          </cell>
          <cell r="U21">
            <v>23</v>
          </cell>
          <cell r="V21">
            <v>45</v>
          </cell>
          <cell r="W21">
            <v>23</v>
          </cell>
          <cell r="X21">
            <v>41</v>
          </cell>
          <cell r="Y21">
            <v>59</v>
          </cell>
          <cell r="Z21">
            <v>93</v>
          </cell>
          <cell r="AA21">
            <v>63</v>
          </cell>
          <cell r="AB21">
            <v>89</v>
          </cell>
          <cell r="AC21">
            <v>40</v>
          </cell>
          <cell r="AD21">
            <v>75</v>
          </cell>
          <cell r="AE21">
            <v>52</v>
          </cell>
          <cell r="AF21">
            <v>87</v>
          </cell>
        </row>
      </sheetData>
      <sheetData sheetId="3" refreshError="1"/>
      <sheetData sheetId="4" refreshError="1"/>
      <sheetData sheetId="5" refreshError="1"/>
      <sheetData sheetId="6" refreshError="1"/>
      <sheetData sheetId="7" refreshError="1"/>
      <sheetData sheetId="8">
        <row r="13">
          <cell r="B13">
            <v>0</v>
          </cell>
        </row>
        <row r="19">
          <cell r="E19">
            <v>430</v>
          </cell>
          <cell r="F19">
            <v>411</v>
          </cell>
          <cell r="G19">
            <v>292</v>
          </cell>
          <cell r="H19">
            <v>303</v>
          </cell>
          <cell r="I19">
            <v>261</v>
          </cell>
          <cell r="J19">
            <v>250</v>
          </cell>
          <cell r="K19">
            <v>284</v>
          </cell>
          <cell r="L19">
            <v>420</v>
          </cell>
          <cell r="M19">
            <v>434</v>
          </cell>
          <cell r="N19">
            <v>543</v>
          </cell>
          <cell r="O19">
            <v>379</v>
          </cell>
          <cell r="P19">
            <v>526</v>
          </cell>
          <cell r="Q19">
            <v>358</v>
          </cell>
          <cell r="R19">
            <v>420</v>
          </cell>
          <cell r="S19">
            <v>296</v>
          </cell>
          <cell r="T19">
            <v>410</v>
          </cell>
          <cell r="U19">
            <v>295</v>
          </cell>
          <cell r="V19">
            <v>390</v>
          </cell>
          <cell r="W19">
            <v>269</v>
          </cell>
          <cell r="X19">
            <v>455</v>
          </cell>
          <cell r="Y19">
            <v>273</v>
          </cell>
          <cell r="Z19">
            <v>443</v>
          </cell>
          <cell r="AA19">
            <v>271</v>
          </cell>
          <cell r="AB19">
            <v>384</v>
          </cell>
          <cell r="AC19">
            <v>217</v>
          </cell>
          <cell r="AD19">
            <v>345</v>
          </cell>
          <cell r="AE19">
            <v>222</v>
          </cell>
          <cell r="AF19">
            <v>327</v>
          </cell>
          <cell r="AG19">
            <v>197</v>
          </cell>
          <cell r="AH19">
            <v>237</v>
          </cell>
          <cell r="AI19">
            <v>75</v>
          </cell>
          <cell r="AJ19">
            <v>165</v>
          </cell>
          <cell r="AK19">
            <v>137</v>
          </cell>
          <cell r="AL19">
            <v>244</v>
          </cell>
        </row>
      </sheetData>
      <sheetData sheetId="9">
        <row r="12">
          <cell r="D12">
            <v>2961</v>
          </cell>
        </row>
        <row r="14">
          <cell r="D14">
            <v>441</v>
          </cell>
        </row>
        <row r="21">
          <cell r="G21">
            <v>32</v>
          </cell>
          <cell r="H21">
            <v>29</v>
          </cell>
          <cell r="I21">
            <v>29</v>
          </cell>
          <cell r="J21">
            <v>18</v>
          </cell>
          <cell r="K21">
            <v>52</v>
          </cell>
          <cell r="L21">
            <v>40</v>
          </cell>
          <cell r="M21">
            <v>48</v>
          </cell>
          <cell r="N21">
            <v>47</v>
          </cell>
          <cell r="O21">
            <v>75</v>
          </cell>
          <cell r="P21">
            <v>98</v>
          </cell>
          <cell r="Q21">
            <v>133</v>
          </cell>
          <cell r="R21">
            <v>140</v>
          </cell>
          <cell r="S21">
            <v>127</v>
          </cell>
          <cell r="T21">
            <v>128</v>
          </cell>
          <cell r="U21">
            <v>45</v>
          </cell>
          <cell r="V21">
            <v>31</v>
          </cell>
          <cell r="W21">
            <v>202</v>
          </cell>
          <cell r="X21">
            <v>160</v>
          </cell>
          <cell r="Y21">
            <v>69</v>
          </cell>
          <cell r="Z21">
            <v>106</v>
          </cell>
        </row>
        <row r="22">
          <cell r="G22">
            <v>0</v>
          </cell>
          <cell r="H22">
            <v>0</v>
          </cell>
          <cell r="I22">
            <v>0</v>
          </cell>
          <cell r="J22">
            <v>0</v>
          </cell>
          <cell r="K22">
            <v>0</v>
          </cell>
          <cell r="L22">
            <v>0</v>
          </cell>
          <cell r="M22">
            <v>0</v>
          </cell>
          <cell r="N22">
            <v>0</v>
          </cell>
          <cell r="O22">
            <v>2</v>
          </cell>
          <cell r="P22">
            <v>8</v>
          </cell>
          <cell r="Q22">
            <v>6</v>
          </cell>
          <cell r="R22">
            <v>12</v>
          </cell>
          <cell r="S22">
            <v>20</v>
          </cell>
          <cell r="T22">
            <v>50</v>
          </cell>
          <cell r="U22">
            <v>135</v>
          </cell>
          <cell r="V22">
            <v>65</v>
          </cell>
          <cell r="W22">
            <v>83</v>
          </cell>
          <cell r="X22">
            <v>80</v>
          </cell>
          <cell r="Y22">
            <v>75</v>
          </cell>
          <cell r="Z22">
            <v>31</v>
          </cell>
        </row>
        <row r="23">
          <cell r="G23">
            <v>0</v>
          </cell>
          <cell r="H23">
            <v>0</v>
          </cell>
          <cell r="I23">
            <v>6</v>
          </cell>
          <cell r="J23">
            <v>3</v>
          </cell>
          <cell r="K23">
            <v>27</v>
          </cell>
          <cell r="L23">
            <v>25</v>
          </cell>
          <cell r="M23">
            <v>27</v>
          </cell>
          <cell r="N23">
            <v>24</v>
          </cell>
          <cell r="O23">
            <v>43</v>
          </cell>
          <cell r="P23">
            <v>67</v>
          </cell>
          <cell r="Q23">
            <v>94</v>
          </cell>
          <cell r="R23">
            <v>105</v>
          </cell>
          <cell r="S23">
            <v>93</v>
          </cell>
          <cell r="T23">
            <v>95</v>
          </cell>
          <cell r="U23">
            <v>6</v>
          </cell>
          <cell r="V23">
            <v>6</v>
          </cell>
          <cell r="W23">
            <v>20</v>
          </cell>
          <cell r="X23">
            <v>23</v>
          </cell>
          <cell r="Y23">
            <v>5</v>
          </cell>
          <cell r="Z23">
            <v>10</v>
          </cell>
        </row>
        <row r="24">
          <cell r="G24">
            <v>0</v>
          </cell>
          <cell r="H24">
            <v>0</v>
          </cell>
          <cell r="I24">
            <v>0</v>
          </cell>
          <cell r="J24">
            <v>0</v>
          </cell>
          <cell r="K24">
            <v>0</v>
          </cell>
          <cell r="L24">
            <v>0</v>
          </cell>
          <cell r="M24">
            <v>0</v>
          </cell>
          <cell r="N24">
            <v>0</v>
          </cell>
          <cell r="O24">
            <v>0</v>
          </cell>
          <cell r="P24">
            <v>0</v>
          </cell>
          <cell r="Q24">
            <v>0</v>
          </cell>
          <cell r="R24">
            <v>0</v>
          </cell>
          <cell r="S24">
            <v>0</v>
          </cell>
          <cell r="T24">
            <v>1</v>
          </cell>
          <cell r="U24">
            <v>0</v>
          </cell>
          <cell r="V24">
            <v>1</v>
          </cell>
          <cell r="W24">
            <v>0</v>
          </cell>
          <cell r="X24">
            <v>2</v>
          </cell>
          <cell r="Y24">
            <v>3</v>
          </cell>
          <cell r="Z24">
            <v>2</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2</v>
          </cell>
          <cell r="X25">
            <v>3</v>
          </cell>
          <cell r="Y25">
            <v>0</v>
          </cell>
          <cell r="Z25">
            <v>0</v>
          </cell>
        </row>
        <row r="26">
          <cell r="G26">
            <v>0</v>
          </cell>
          <cell r="H26">
            <v>0</v>
          </cell>
          <cell r="I26">
            <v>0</v>
          </cell>
          <cell r="J26">
            <v>0</v>
          </cell>
          <cell r="K26">
            <v>0</v>
          </cell>
          <cell r="L26">
            <v>0</v>
          </cell>
          <cell r="M26">
            <v>0</v>
          </cell>
          <cell r="N26">
            <v>0</v>
          </cell>
          <cell r="O26">
            <v>0</v>
          </cell>
          <cell r="P26">
            <v>1</v>
          </cell>
          <cell r="Q26">
            <v>0</v>
          </cell>
          <cell r="R26">
            <v>0</v>
          </cell>
          <cell r="S26">
            <v>1</v>
          </cell>
          <cell r="T26">
            <v>1</v>
          </cell>
          <cell r="U26">
            <v>18</v>
          </cell>
          <cell r="V26">
            <v>10</v>
          </cell>
          <cell r="W26">
            <v>33</v>
          </cell>
          <cell r="X26">
            <v>27</v>
          </cell>
          <cell r="Y26">
            <v>34</v>
          </cell>
          <cell r="Z26">
            <v>31</v>
          </cell>
        </row>
      </sheetData>
      <sheetData sheetId="10" refreshError="1"/>
      <sheetData sheetId="11" refreshError="1"/>
      <sheetData sheetId="12">
        <row r="11">
          <cell r="B11">
            <v>58</v>
          </cell>
          <cell r="E11">
            <v>56</v>
          </cell>
          <cell r="F11">
            <v>0</v>
          </cell>
        </row>
        <row r="25">
          <cell r="B25">
            <v>5794</v>
          </cell>
        </row>
        <row r="26">
          <cell r="B26">
            <v>0</v>
          </cell>
        </row>
        <row r="27">
          <cell r="B27">
            <v>23</v>
          </cell>
        </row>
        <row r="28">
          <cell r="B28">
            <v>13</v>
          </cell>
        </row>
        <row r="29">
          <cell r="B29">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8"/>
  <sheetViews>
    <sheetView topLeftCell="A4" zoomScaleNormal="100" workbookViewId="0">
      <selection activeCell="B90" sqref="B90"/>
    </sheetView>
  </sheetViews>
  <sheetFormatPr baseColWidth="10" defaultColWidth="11.44140625" defaultRowHeight="13.2"/>
  <cols>
    <col min="1" max="1" width="11.44140625" style="6"/>
    <col min="2" max="2" width="6.21875" style="6" customWidth="1"/>
    <col min="3" max="3" width="81.5546875" style="6" customWidth="1"/>
    <col min="4" max="4" width="8.77734375" style="669" customWidth="1"/>
    <col min="5" max="16384" width="11.44140625" style="6"/>
  </cols>
  <sheetData>
    <row r="1" spans="2:4">
      <c r="B1" s="952"/>
      <c r="C1" s="5"/>
    </row>
    <row r="2" spans="2:4" ht="22.95" customHeight="1">
      <c r="B2" s="1192"/>
      <c r="C2" s="1193" t="s">
        <v>1404</v>
      </c>
      <c r="D2" s="1194"/>
    </row>
    <row r="3" spans="2:4">
      <c r="B3" s="1183"/>
      <c r="C3" s="1184"/>
      <c r="D3" s="313"/>
    </row>
    <row r="4" spans="2:4" ht="7.2" customHeight="1">
      <c r="B4" s="1183"/>
      <c r="C4" s="1184"/>
      <c r="D4" s="313"/>
    </row>
    <row r="5" spans="2:4" ht="31.2" customHeight="1">
      <c r="B5" s="1195"/>
      <c r="C5" s="1196" t="s">
        <v>1405</v>
      </c>
      <c r="D5" s="1197" t="s">
        <v>1403</v>
      </c>
    </row>
    <row r="6" spans="2:4">
      <c r="B6" s="1185" t="s">
        <v>1406</v>
      </c>
      <c r="C6" s="128"/>
      <c r="D6" s="44"/>
    </row>
    <row r="7" spans="2:4" ht="21" customHeight="1">
      <c r="B7" s="1201" t="s">
        <v>1407</v>
      </c>
      <c r="C7" s="1202"/>
      <c r="D7" s="1203">
        <v>1</v>
      </c>
    </row>
    <row r="8" spans="2:4" ht="12" customHeight="1">
      <c r="B8" s="1186" t="s">
        <v>1352</v>
      </c>
      <c r="C8" s="128" t="s">
        <v>1349</v>
      </c>
      <c r="D8" s="44"/>
    </row>
    <row r="9" spans="2:4" ht="18" customHeight="1">
      <c r="B9" s="1187" t="s">
        <v>303</v>
      </c>
      <c r="C9" s="128" t="s">
        <v>304</v>
      </c>
      <c r="D9" s="44">
        <v>2</v>
      </c>
    </row>
    <row r="10" spans="2:4" ht="17.25" customHeight="1">
      <c r="B10" s="1187" t="s">
        <v>305</v>
      </c>
      <c r="C10" s="128" t="s">
        <v>306</v>
      </c>
      <c r="D10" s="44">
        <v>3</v>
      </c>
    </row>
    <row r="11" spans="2:4">
      <c r="B11" s="1187" t="s">
        <v>307</v>
      </c>
      <c r="C11" s="128" t="s">
        <v>308</v>
      </c>
      <c r="D11" s="44">
        <v>4</v>
      </c>
    </row>
    <row r="12" spans="2:4">
      <c r="B12" s="1187" t="s">
        <v>324</v>
      </c>
      <c r="C12" s="128" t="s">
        <v>310</v>
      </c>
      <c r="D12" s="44">
        <v>6</v>
      </c>
    </row>
    <row r="13" spans="2:4">
      <c r="B13" s="1187" t="s">
        <v>309</v>
      </c>
      <c r="C13" s="128" t="s">
        <v>1611</v>
      </c>
      <c r="D13" s="44">
        <v>7</v>
      </c>
    </row>
    <row r="14" spans="2:4">
      <c r="B14" s="1187" t="s">
        <v>311</v>
      </c>
      <c r="C14" s="128" t="s">
        <v>1612</v>
      </c>
      <c r="D14" s="44">
        <v>8</v>
      </c>
    </row>
    <row r="15" spans="2:4">
      <c r="B15" s="1187" t="s">
        <v>312</v>
      </c>
      <c r="C15" s="128" t="s">
        <v>1613</v>
      </c>
      <c r="D15" s="44">
        <v>9</v>
      </c>
    </row>
    <row r="16" spans="2:4">
      <c r="B16" s="1187" t="s">
        <v>313</v>
      </c>
      <c r="C16" s="128" t="s">
        <v>1614</v>
      </c>
      <c r="D16" s="44">
        <v>10</v>
      </c>
    </row>
    <row r="17" spans="2:4">
      <c r="B17" s="1187" t="s">
        <v>314</v>
      </c>
      <c r="C17" s="128" t="s">
        <v>1615</v>
      </c>
      <c r="D17" s="44">
        <v>11</v>
      </c>
    </row>
    <row r="18" spans="2:4">
      <c r="B18" s="1187" t="s">
        <v>315</v>
      </c>
      <c r="C18" s="128" t="s">
        <v>317</v>
      </c>
      <c r="D18" s="44">
        <v>12</v>
      </c>
    </row>
    <row r="19" spans="2:4">
      <c r="B19" s="1187" t="s">
        <v>316</v>
      </c>
      <c r="C19" s="128" t="s">
        <v>319</v>
      </c>
      <c r="D19" s="44">
        <v>13</v>
      </c>
    </row>
    <row r="20" spans="2:4">
      <c r="B20" s="1187" t="s">
        <v>318</v>
      </c>
      <c r="C20" s="128" t="s">
        <v>1616</v>
      </c>
      <c r="D20" s="44">
        <v>14</v>
      </c>
    </row>
    <row r="21" spans="2:4">
      <c r="B21" s="1187" t="s">
        <v>320</v>
      </c>
      <c r="C21" s="128" t="s">
        <v>1617</v>
      </c>
      <c r="D21" s="44">
        <v>15</v>
      </c>
    </row>
    <row r="22" spans="2:4">
      <c r="B22" s="51"/>
      <c r="C22" s="128"/>
      <c r="D22" s="44"/>
    </row>
    <row r="23" spans="2:4" ht="19.5" customHeight="1">
      <c r="B23" s="1198" t="s">
        <v>1408</v>
      </c>
      <c r="C23" s="1199"/>
      <c r="D23" s="1200">
        <v>16</v>
      </c>
    </row>
    <row r="24" spans="2:4">
      <c r="B24" s="1187" t="s">
        <v>323</v>
      </c>
      <c r="C24" s="128" t="s">
        <v>1618</v>
      </c>
      <c r="D24" s="44">
        <v>18</v>
      </c>
    </row>
    <row r="25" spans="2:4">
      <c r="B25" s="1187" t="s">
        <v>305</v>
      </c>
      <c r="C25" s="128" t="s">
        <v>1619</v>
      </c>
      <c r="D25" s="44">
        <v>19</v>
      </c>
    </row>
    <row r="26" spans="2:4">
      <c r="B26" s="1187" t="s">
        <v>307</v>
      </c>
      <c r="C26" s="128" t="s">
        <v>1620</v>
      </c>
      <c r="D26" s="44">
        <v>20</v>
      </c>
    </row>
    <row r="27" spans="2:4">
      <c r="B27" s="1187" t="s">
        <v>324</v>
      </c>
      <c r="C27" s="128" t="s">
        <v>1621</v>
      </c>
      <c r="D27" s="44">
        <v>21</v>
      </c>
    </row>
    <row r="28" spans="2:4">
      <c r="B28" s="1187" t="s">
        <v>309</v>
      </c>
      <c r="C28" s="128" t="s">
        <v>1622</v>
      </c>
      <c r="D28" s="44">
        <v>22</v>
      </c>
    </row>
    <row r="29" spans="2:4">
      <c r="B29" s="1187" t="s">
        <v>311</v>
      </c>
      <c r="C29" s="128" t="s">
        <v>1623</v>
      </c>
      <c r="D29" s="44">
        <v>23</v>
      </c>
    </row>
    <row r="30" spans="2:4">
      <c r="B30" s="1187" t="s">
        <v>312</v>
      </c>
      <c r="C30" s="128" t="s">
        <v>1624</v>
      </c>
      <c r="D30" s="44">
        <v>24</v>
      </c>
    </row>
    <row r="31" spans="2:4">
      <c r="B31" s="1187" t="s">
        <v>313</v>
      </c>
      <c r="C31" s="128" t="s">
        <v>1625</v>
      </c>
      <c r="D31" s="44">
        <v>25</v>
      </c>
    </row>
    <row r="32" spans="2:4">
      <c r="B32" s="1187" t="s">
        <v>314</v>
      </c>
      <c r="C32" s="128" t="s">
        <v>1626</v>
      </c>
      <c r="D32" s="44">
        <v>26</v>
      </c>
    </row>
    <row r="33" spans="2:4">
      <c r="B33" s="1187" t="s">
        <v>315</v>
      </c>
      <c r="C33" s="128" t="s">
        <v>1371</v>
      </c>
      <c r="D33" s="44">
        <v>27</v>
      </c>
    </row>
    <row r="34" spans="2:4">
      <c r="B34" s="1188" t="s">
        <v>316</v>
      </c>
      <c r="C34" s="128" t="s">
        <v>1627</v>
      </c>
      <c r="D34" s="44">
        <v>28</v>
      </c>
    </row>
    <row r="35" spans="2:4">
      <c r="B35" s="1188" t="s">
        <v>318</v>
      </c>
      <c r="C35" s="128" t="s">
        <v>1628</v>
      </c>
      <c r="D35" s="44">
        <v>29</v>
      </c>
    </row>
    <row r="36" spans="2:4">
      <c r="B36" s="1187" t="s">
        <v>320</v>
      </c>
      <c r="C36" s="128" t="s">
        <v>326</v>
      </c>
      <c r="D36" s="44">
        <v>30</v>
      </c>
    </row>
    <row r="37" spans="2:4">
      <c r="B37" s="1187" t="s">
        <v>321</v>
      </c>
      <c r="C37" s="128" t="s">
        <v>1350</v>
      </c>
      <c r="D37" s="44">
        <v>31</v>
      </c>
    </row>
    <row r="38" spans="2:4">
      <c r="B38" s="1187"/>
      <c r="C38" s="128"/>
      <c r="D38" s="44"/>
    </row>
    <row r="39" spans="2:4" ht="18.75" customHeight="1">
      <c r="B39" s="1204" t="s">
        <v>1409</v>
      </c>
      <c r="C39" s="1205"/>
      <c r="D39" s="1206">
        <v>33</v>
      </c>
    </row>
    <row r="40" spans="2:4" ht="16.5" customHeight="1">
      <c r="B40" s="1187" t="s">
        <v>327</v>
      </c>
      <c r="C40" s="1189" t="s">
        <v>1351</v>
      </c>
      <c r="D40" s="44">
        <v>34</v>
      </c>
    </row>
    <row r="41" spans="2:4">
      <c r="B41" s="1187" t="s">
        <v>305</v>
      </c>
      <c r="C41" s="1190" t="s">
        <v>1372</v>
      </c>
      <c r="D41" s="44">
        <v>35</v>
      </c>
    </row>
    <row r="42" spans="2:4">
      <c r="B42" s="1187" t="s">
        <v>307</v>
      </c>
      <c r="C42" s="1190" t="s">
        <v>1629</v>
      </c>
      <c r="D42" s="44">
        <v>36</v>
      </c>
    </row>
    <row r="43" spans="2:4">
      <c r="B43" s="1187" t="s">
        <v>324</v>
      </c>
      <c r="C43" s="1190" t="s">
        <v>1373</v>
      </c>
      <c r="D43" s="44">
        <v>37</v>
      </c>
    </row>
    <row r="44" spans="2:4">
      <c r="B44" s="1188" t="s">
        <v>309</v>
      </c>
      <c r="C44" s="128" t="s">
        <v>328</v>
      </c>
      <c r="D44" s="44">
        <v>38</v>
      </c>
    </row>
    <row r="45" spans="2:4">
      <c r="B45" s="1187" t="s">
        <v>311</v>
      </c>
      <c r="C45" s="128" t="s">
        <v>329</v>
      </c>
      <c r="D45" s="44">
        <v>39</v>
      </c>
    </row>
    <row r="46" spans="2:4">
      <c r="B46" s="1187" t="s">
        <v>312</v>
      </c>
      <c r="C46" s="128" t="s">
        <v>330</v>
      </c>
      <c r="D46" s="44">
        <v>40</v>
      </c>
    </row>
    <row r="47" spans="2:4">
      <c r="B47" s="1187" t="s">
        <v>313</v>
      </c>
      <c r="C47" s="128" t="s">
        <v>331</v>
      </c>
      <c r="D47" s="44">
        <v>41</v>
      </c>
    </row>
    <row r="48" spans="2:4">
      <c r="B48" s="1187" t="s">
        <v>314</v>
      </c>
      <c r="C48" s="128" t="s">
        <v>332</v>
      </c>
      <c r="D48" s="44">
        <v>42</v>
      </c>
    </row>
    <row r="49" spans="2:4">
      <c r="B49" s="1187" t="s">
        <v>315</v>
      </c>
      <c r="C49" s="128" t="s">
        <v>333</v>
      </c>
      <c r="D49" s="44">
        <v>43</v>
      </c>
    </row>
    <row r="50" spans="2:4">
      <c r="B50" s="1187" t="s">
        <v>316</v>
      </c>
      <c r="C50" s="128" t="s">
        <v>334</v>
      </c>
      <c r="D50" s="44">
        <v>44</v>
      </c>
    </row>
    <row r="51" spans="2:4">
      <c r="B51" s="1187" t="s">
        <v>318</v>
      </c>
      <c r="C51" s="128" t="s">
        <v>335</v>
      </c>
      <c r="D51" s="44">
        <v>45</v>
      </c>
    </row>
    <row r="52" spans="2:4">
      <c r="B52" s="1187" t="s">
        <v>320</v>
      </c>
      <c r="C52" s="128" t="s">
        <v>336</v>
      </c>
      <c r="D52" s="44">
        <v>46</v>
      </c>
    </row>
    <row r="53" spans="2:4">
      <c r="B53" s="1187" t="s">
        <v>321</v>
      </c>
      <c r="C53" s="128" t="s">
        <v>337</v>
      </c>
      <c r="D53" s="44">
        <v>47</v>
      </c>
    </row>
    <row r="54" spans="2:4">
      <c r="B54" s="1187" t="s">
        <v>322</v>
      </c>
      <c r="C54" s="128" t="s">
        <v>339</v>
      </c>
      <c r="D54" s="44">
        <v>48</v>
      </c>
    </row>
    <row r="55" spans="2:4">
      <c r="B55" s="1187" t="s">
        <v>325</v>
      </c>
      <c r="C55" s="128" t="s">
        <v>341</v>
      </c>
      <c r="D55" s="44">
        <v>49</v>
      </c>
    </row>
    <row r="56" spans="2:4">
      <c r="B56" s="1187" t="s">
        <v>338</v>
      </c>
      <c r="C56" s="128" t="s">
        <v>343</v>
      </c>
      <c r="D56" s="44">
        <v>50</v>
      </c>
    </row>
    <row r="57" spans="2:4">
      <c r="B57" s="1187" t="s">
        <v>340</v>
      </c>
      <c r="C57" s="128" t="s">
        <v>345</v>
      </c>
      <c r="D57" s="44">
        <v>51</v>
      </c>
    </row>
    <row r="58" spans="2:4">
      <c r="B58" s="1187" t="s">
        <v>342</v>
      </c>
      <c r="C58" s="128" t="s">
        <v>347</v>
      </c>
      <c r="D58" s="44">
        <v>52</v>
      </c>
    </row>
    <row r="59" spans="2:4">
      <c r="B59" s="1187" t="s">
        <v>344</v>
      </c>
      <c r="C59" s="128" t="s">
        <v>349</v>
      </c>
      <c r="D59" s="44">
        <v>53</v>
      </c>
    </row>
    <row r="60" spans="2:4">
      <c r="B60" s="1187" t="s">
        <v>346</v>
      </c>
      <c r="C60" s="1190" t="s">
        <v>1374</v>
      </c>
      <c r="D60" s="44">
        <v>54</v>
      </c>
    </row>
    <row r="61" spans="2:4">
      <c r="B61" s="1187" t="s">
        <v>348</v>
      </c>
      <c r="C61" s="128" t="s">
        <v>351</v>
      </c>
      <c r="D61" s="44">
        <v>55</v>
      </c>
    </row>
    <row r="62" spans="2:4">
      <c r="B62" s="1187" t="s">
        <v>350</v>
      </c>
      <c r="C62" s="128" t="s">
        <v>352</v>
      </c>
      <c r="D62" s="44">
        <v>56</v>
      </c>
    </row>
    <row r="63" spans="2:4">
      <c r="B63" s="1187" t="s">
        <v>353</v>
      </c>
      <c r="C63" s="1190" t="s">
        <v>1630</v>
      </c>
      <c r="D63" s="44">
        <v>57</v>
      </c>
    </row>
    <row r="64" spans="2:4">
      <c r="B64" s="1187" t="s">
        <v>355</v>
      </c>
      <c r="C64" s="1190" t="s">
        <v>1375</v>
      </c>
      <c r="D64" s="44">
        <v>58</v>
      </c>
    </row>
    <row r="65" spans="2:10">
      <c r="B65" s="1187" t="s">
        <v>360</v>
      </c>
      <c r="C65" s="128" t="s">
        <v>354</v>
      </c>
      <c r="D65" s="44">
        <v>59</v>
      </c>
    </row>
    <row r="66" spans="2:10">
      <c r="B66" s="1188" t="s">
        <v>361</v>
      </c>
      <c r="C66" s="128" t="s">
        <v>359</v>
      </c>
      <c r="D66" s="44">
        <v>60</v>
      </c>
    </row>
    <row r="67" spans="2:10">
      <c r="B67" s="1188" t="s">
        <v>364</v>
      </c>
      <c r="C67" s="1190" t="s">
        <v>1631</v>
      </c>
      <c r="D67" s="44">
        <v>61</v>
      </c>
    </row>
    <row r="68" spans="2:10">
      <c r="B68" s="1187" t="s">
        <v>365</v>
      </c>
      <c r="C68" s="128" t="s">
        <v>366</v>
      </c>
      <c r="D68" s="44">
        <v>62</v>
      </c>
    </row>
    <row r="69" spans="2:10">
      <c r="B69" s="1187" t="s">
        <v>367</v>
      </c>
      <c r="C69" s="128" t="s">
        <v>368</v>
      </c>
      <c r="D69" s="44">
        <v>63</v>
      </c>
    </row>
    <row r="70" spans="2:10">
      <c r="B70" s="1187" t="s">
        <v>369</v>
      </c>
      <c r="C70" s="1190" t="s">
        <v>1376</v>
      </c>
      <c r="D70" s="44">
        <v>64</v>
      </c>
    </row>
    <row r="71" spans="2:10" ht="15.6">
      <c r="B71" s="1187" t="s">
        <v>370</v>
      </c>
      <c r="C71" s="1190" t="s">
        <v>1377</v>
      </c>
      <c r="D71" s="44">
        <v>65</v>
      </c>
      <c r="E71" s="1172"/>
      <c r="F71" s="1172"/>
      <c r="G71" s="1172"/>
      <c r="H71" s="1172"/>
      <c r="I71" s="1172"/>
      <c r="J71" s="1172"/>
    </row>
    <row r="72" spans="2:10">
      <c r="B72" s="1187" t="s">
        <v>1691</v>
      </c>
      <c r="C72" s="128" t="s">
        <v>371</v>
      </c>
      <c r="D72" s="44">
        <v>66</v>
      </c>
    </row>
    <row r="73" spans="2:10">
      <c r="B73" s="1187" t="s">
        <v>373</v>
      </c>
      <c r="C73" s="128" t="s">
        <v>372</v>
      </c>
      <c r="D73" s="44">
        <v>67</v>
      </c>
    </row>
    <row r="74" spans="2:10">
      <c r="B74" s="1187" t="s">
        <v>374</v>
      </c>
      <c r="C74" s="128" t="s">
        <v>1632</v>
      </c>
      <c r="D74" s="44">
        <v>68</v>
      </c>
    </row>
    <row r="75" spans="2:10">
      <c r="B75" s="1187" t="s">
        <v>375</v>
      </c>
      <c r="C75" s="1190" t="s">
        <v>1633</v>
      </c>
      <c r="D75" s="44">
        <v>69</v>
      </c>
    </row>
    <row r="76" spans="2:10">
      <c r="B76" s="1187" t="s">
        <v>377</v>
      </c>
      <c r="C76" s="128" t="s">
        <v>376</v>
      </c>
      <c r="D76" s="44">
        <v>70</v>
      </c>
    </row>
    <row r="77" spans="2:10">
      <c r="B77" s="1188" t="s">
        <v>379</v>
      </c>
      <c r="C77" s="128" t="s">
        <v>378</v>
      </c>
      <c r="D77" s="44">
        <v>71</v>
      </c>
    </row>
    <row r="78" spans="2:10">
      <c r="B78" s="1188" t="s">
        <v>1380</v>
      </c>
      <c r="C78" s="1190" t="s">
        <v>1634</v>
      </c>
      <c r="D78" s="44">
        <v>72</v>
      </c>
    </row>
    <row r="79" spans="2:10">
      <c r="B79" s="1187" t="s">
        <v>380</v>
      </c>
      <c r="C79" s="1190" t="s">
        <v>1635</v>
      </c>
      <c r="D79" s="44">
        <v>73</v>
      </c>
    </row>
    <row r="80" spans="2:10">
      <c r="B80" s="1187" t="s">
        <v>383</v>
      </c>
      <c r="C80" s="1190" t="s">
        <v>1359</v>
      </c>
      <c r="D80" s="44">
        <v>74</v>
      </c>
    </row>
    <row r="81" spans="2:4">
      <c r="B81" s="1187" t="s">
        <v>384</v>
      </c>
      <c r="C81" s="1190" t="s">
        <v>1363</v>
      </c>
      <c r="D81" s="44">
        <v>75</v>
      </c>
    </row>
    <row r="82" spans="2:4">
      <c r="B82" s="1188" t="s">
        <v>391</v>
      </c>
      <c r="C82" s="1190" t="s">
        <v>1364</v>
      </c>
      <c r="D82" s="44">
        <v>76</v>
      </c>
    </row>
    <row r="83" spans="2:4">
      <c r="B83" s="1187" t="s">
        <v>385</v>
      </c>
      <c r="C83" s="1190" t="s">
        <v>1365</v>
      </c>
      <c r="D83" s="44">
        <v>77</v>
      </c>
    </row>
    <row r="84" spans="2:4">
      <c r="B84" s="1187" t="s">
        <v>386</v>
      </c>
      <c r="C84" s="1190" t="s">
        <v>1366</v>
      </c>
      <c r="D84" s="44">
        <v>78</v>
      </c>
    </row>
    <row r="85" spans="2:4">
      <c r="B85" s="1187" t="s">
        <v>387</v>
      </c>
      <c r="C85" s="1190" t="s">
        <v>1367</v>
      </c>
      <c r="D85" s="44">
        <v>79</v>
      </c>
    </row>
    <row r="86" spans="2:4">
      <c r="B86" s="1187" t="s">
        <v>388</v>
      </c>
      <c r="C86" s="1190" t="s">
        <v>1368</v>
      </c>
      <c r="D86" s="44">
        <v>80</v>
      </c>
    </row>
    <row r="87" spans="2:4">
      <c r="B87" s="1187" t="s">
        <v>389</v>
      </c>
      <c r="C87" s="1190" t="s">
        <v>1369</v>
      </c>
      <c r="D87" s="44">
        <v>81</v>
      </c>
    </row>
    <row r="88" spans="2:4">
      <c r="B88" s="1187" t="s">
        <v>390</v>
      </c>
      <c r="C88" s="1190" t="s">
        <v>1370</v>
      </c>
      <c r="D88" s="44">
        <v>82</v>
      </c>
    </row>
    <row r="89" spans="2:4">
      <c r="B89" s="1188" t="s">
        <v>1381</v>
      </c>
      <c r="C89" s="1190" t="s">
        <v>1353</v>
      </c>
      <c r="D89" s="44">
        <v>83</v>
      </c>
    </row>
    <row r="90" spans="2:4">
      <c r="B90" s="1188" t="s">
        <v>1382</v>
      </c>
      <c r="C90" s="1190" t="s">
        <v>1354</v>
      </c>
      <c r="D90" s="44">
        <v>84</v>
      </c>
    </row>
    <row r="91" spans="2:4">
      <c r="B91" s="1188" t="s">
        <v>1383</v>
      </c>
      <c r="C91" s="1190" t="s">
        <v>1355</v>
      </c>
      <c r="D91" s="44">
        <v>85</v>
      </c>
    </row>
    <row r="92" spans="2:4">
      <c r="B92" s="1188" t="s">
        <v>1384</v>
      </c>
      <c r="C92" s="1190" t="s">
        <v>1356</v>
      </c>
      <c r="D92" s="44">
        <v>86</v>
      </c>
    </row>
    <row r="93" spans="2:4">
      <c r="B93" s="1188" t="s">
        <v>1385</v>
      </c>
      <c r="C93" s="1190" t="s">
        <v>1357</v>
      </c>
      <c r="D93" s="44">
        <v>87</v>
      </c>
    </row>
    <row r="94" spans="2:4">
      <c r="B94" s="1188" t="s">
        <v>1386</v>
      </c>
      <c r="C94" s="1190" t="s">
        <v>1358</v>
      </c>
      <c r="D94" s="44">
        <v>88</v>
      </c>
    </row>
    <row r="95" spans="2:4">
      <c r="B95" s="1188" t="s">
        <v>1387</v>
      </c>
      <c r="C95" s="1190" t="s">
        <v>1636</v>
      </c>
      <c r="D95" s="44">
        <v>89</v>
      </c>
    </row>
    <row r="96" spans="2:4">
      <c r="B96" s="1188" t="s">
        <v>1388</v>
      </c>
      <c r="C96" s="1190" t="s">
        <v>1637</v>
      </c>
      <c r="D96" s="44">
        <v>90</v>
      </c>
    </row>
    <row r="97" spans="2:4">
      <c r="B97" s="1188" t="s">
        <v>1389</v>
      </c>
      <c r="C97" s="1190" t="s">
        <v>1638</v>
      </c>
      <c r="D97" s="44">
        <v>91</v>
      </c>
    </row>
    <row r="98" spans="2:4">
      <c r="B98" s="1188" t="s">
        <v>1390</v>
      </c>
      <c r="C98" s="1190" t="s">
        <v>1639</v>
      </c>
      <c r="D98" s="44">
        <v>92</v>
      </c>
    </row>
    <row r="99" spans="2:4">
      <c r="B99" s="1188" t="s">
        <v>1391</v>
      </c>
      <c r="C99" s="1190" t="s">
        <v>1640</v>
      </c>
      <c r="D99" s="44">
        <v>93</v>
      </c>
    </row>
    <row r="100" spans="2:4">
      <c r="B100" s="1188" t="s">
        <v>1392</v>
      </c>
      <c r="C100" s="1190" t="s">
        <v>1641</v>
      </c>
      <c r="D100" s="44">
        <v>94</v>
      </c>
    </row>
    <row r="101" spans="2:4">
      <c r="B101" s="1188" t="s">
        <v>1393</v>
      </c>
      <c r="C101" s="1190" t="s">
        <v>1642</v>
      </c>
      <c r="D101" s="44">
        <v>95</v>
      </c>
    </row>
    <row r="102" spans="2:4">
      <c r="B102" s="1188" t="s">
        <v>1394</v>
      </c>
      <c r="C102" s="128" t="s">
        <v>1379</v>
      </c>
      <c r="D102" s="44"/>
    </row>
    <row r="103" spans="2:4">
      <c r="B103" s="1187"/>
      <c r="C103" s="128"/>
      <c r="D103" s="44"/>
    </row>
    <row r="104" spans="2:4">
      <c r="B104" s="1208" t="s">
        <v>1410</v>
      </c>
      <c r="C104" s="1209"/>
      <c r="D104" s="1210">
        <v>96</v>
      </c>
    </row>
    <row r="105" spans="2:4">
      <c r="B105" s="218"/>
      <c r="C105" s="1191"/>
      <c r="D105" s="54"/>
    </row>
    <row r="106" spans="2:4">
      <c r="C106" s="1173"/>
    </row>
    <row r="108" spans="2:4">
      <c r="C108" s="941"/>
    </row>
  </sheetData>
  <phoneticPr fontId="0" type="noConversion"/>
  <pageMargins left="0.98425196850393704" right="0.98425196850393704" top="0.98425196850393704" bottom="0.98425196850393704" header="0.51181102362204722" footer="0.51181102362204722"/>
  <pageSetup paperSize="5" scale="8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A7" zoomScaleNormal="100" workbookViewId="0">
      <pane xSplit="3" ySplit="1" topLeftCell="D83" activePane="bottomRight" state="frozen"/>
      <selection activeCell="A7" sqref="A7"/>
      <selection pane="topRight" activeCell="D7" sqref="D7"/>
      <selection pane="bottomLeft" activeCell="A8" sqref="A8"/>
      <selection pane="bottomRight" activeCell="K87" sqref="K87"/>
    </sheetView>
  </sheetViews>
  <sheetFormatPr baseColWidth="10" defaultRowHeight="13.2"/>
  <cols>
    <col min="1" max="1" width="21.21875" customWidth="1"/>
    <col min="2" max="2" width="9.44140625" customWidth="1"/>
    <col min="3" max="3" width="1.77734375" customWidth="1"/>
    <col min="4" max="4" width="8.21875" customWidth="1"/>
    <col min="5" max="5" width="9.21875" customWidth="1"/>
    <col min="6" max="6" width="10.5546875" customWidth="1"/>
    <col min="7" max="7" width="8.44140625" customWidth="1"/>
    <col min="8" max="8" width="8.77734375" customWidth="1"/>
    <col min="9" max="10" width="9.21875" customWidth="1"/>
    <col min="11" max="12" width="8.77734375" customWidth="1"/>
    <col min="13" max="15" width="9.21875" customWidth="1"/>
  </cols>
  <sheetData>
    <row r="1" spans="1:14" ht="15.6">
      <c r="A1" s="112" t="s">
        <v>535</v>
      </c>
      <c r="B1" s="113"/>
      <c r="C1" s="113"/>
      <c r="D1" s="113"/>
      <c r="E1" s="113"/>
      <c r="F1" s="113"/>
      <c r="G1" s="113"/>
      <c r="H1" s="113"/>
      <c r="I1" s="113"/>
      <c r="J1" s="113"/>
      <c r="K1" s="113"/>
      <c r="L1" s="113"/>
    </row>
    <row r="2" spans="1:14">
      <c r="A2" s="113"/>
      <c r="B2" s="113"/>
      <c r="C2" s="113"/>
      <c r="D2" s="113"/>
      <c r="E2" s="113"/>
      <c r="F2" s="113"/>
      <c r="G2" s="113"/>
      <c r="H2" s="113"/>
      <c r="I2" s="113"/>
      <c r="J2" s="113"/>
      <c r="K2" s="113"/>
      <c r="L2" s="113"/>
    </row>
    <row r="3" spans="1:14">
      <c r="A3" s="114">
        <v>2020</v>
      </c>
      <c r="B3" s="113"/>
      <c r="C3" s="113"/>
      <c r="D3" s="113"/>
      <c r="E3" s="113"/>
      <c r="F3" s="113"/>
      <c r="G3" s="113"/>
      <c r="H3" s="113"/>
      <c r="I3" s="113"/>
      <c r="J3" s="113"/>
      <c r="K3" s="113"/>
      <c r="L3" s="113"/>
    </row>
    <row r="5" spans="1:14">
      <c r="B5" s="115"/>
      <c r="D5" s="115"/>
      <c r="E5" s="115"/>
      <c r="F5" s="115"/>
      <c r="G5" s="115"/>
      <c r="H5" s="115"/>
      <c r="I5" s="115"/>
      <c r="J5" s="115"/>
      <c r="K5" s="115"/>
      <c r="L5" s="115"/>
    </row>
    <row r="7" spans="1:14" ht="24.75" customHeight="1">
      <c r="A7" s="116" t="s">
        <v>536</v>
      </c>
      <c r="B7" s="117" t="s">
        <v>517</v>
      </c>
      <c r="C7" s="118"/>
      <c r="D7" s="119" t="s">
        <v>537</v>
      </c>
      <c r="E7" s="118" t="s">
        <v>538</v>
      </c>
      <c r="F7" s="118" t="s">
        <v>539</v>
      </c>
      <c r="G7" s="118" t="s">
        <v>540</v>
      </c>
      <c r="H7" s="118" t="s">
        <v>541</v>
      </c>
      <c r="I7" s="118" t="s">
        <v>542</v>
      </c>
      <c r="J7" s="118" t="s">
        <v>543</v>
      </c>
      <c r="K7" s="118" t="s">
        <v>544</v>
      </c>
      <c r="L7" s="120" t="s">
        <v>545</v>
      </c>
    </row>
    <row r="8" spans="1:14">
      <c r="A8" s="62"/>
      <c r="B8" s="121"/>
      <c r="C8" s="121"/>
      <c r="D8" s="121"/>
      <c r="E8" s="121"/>
      <c r="F8" s="121"/>
      <c r="G8" s="121"/>
      <c r="H8" s="121"/>
      <c r="I8" s="121"/>
      <c r="J8" s="121"/>
      <c r="K8" s="121"/>
      <c r="L8" s="122"/>
    </row>
    <row r="9" spans="1:14">
      <c r="A9" s="123" t="s">
        <v>546</v>
      </c>
      <c r="B9" s="121">
        <f>SUM(B10:B15)</f>
        <v>68093</v>
      </c>
      <c r="C9" s="124" t="s">
        <v>547</v>
      </c>
      <c r="D9" s="121">
        <f>SUM(D10:D15)</f>
        <v>831</v>
      </c>
      <c r="E9" s="121">
        <f t="shared" ref="E9:L9" si="0">SUM(E10:E15)</f>
        <v>833</v>
      </c>
      <c r="F9" s="121">
        <f t="shared" si="0"/>
        <v>3498</v>
      </c>
      <c r="G9" s="121">
        <f t="shared" si="0"/>
        <v>3699</v>
      </c>
      <c r="H9" s="121">
        <f t="shared" si="0"/>
        <v>4669</v>
      </c>
      <c r="I9" s="121">
        <f t="shared" si="0"/>
        <v>4388</v>
      </c>
      <c r="J9" s="121">
        <f t="shared" si="0"/>
        <v>24629</v>
      </c>
      <c r="K9" s="121">
        <f t="shared" si="0"/>
        <v>16467</v>
      </c>
      <c r="L9" s="122">
        <f t="shared" si="0"/>
        <v>9079</v>
      </c>
      <c r="N9" s="125"/>
    </row>
    <row r="10" spans="1:14">
      <c r="A10" s="42" t="s">
        <v>1569</v>
      </c>
      <c r="B10" s="121">
        <f>SUM(D10:L10)</f>
        <v>32948</v>
      </c>
      <c r="C10" s="121"/>
      <c r="D10" s="121">
        <v>386</v>
      </c>
      <c r="E10" s="121">
        <v>383</v>
      </c>
      <c r="F10" s="121">
        <v>1653</v>
      </c>
      <c r="G10" s="121">
        <v>1735</v>
      </c>
      <c r="H10" s="121">
        <v>2211</v>
      </c>
      <c r="I10" s="121">
        <v>2134</v>
      </c>
      <c r="J10" s="121">
        <v>12086</v>
      </c>
      <c r="K10" s="121">
        <v>7925</v>
      </c>
      <c r="L10" s="122">
        <v>4435</v>
      </c>
    </row>
    <row r="11" spans="1:14">
      <c r="A11" s="42" t="s">
        <v>1411</v>
      </c>
      <c r="B11" s="121">
        <f t="shared" ref="B11:B27" si="1">SUM(D11:L11)</f>
        <v>19770</v>
      </c>
      <c r="C11" s="121"/>
      <c r="D11" s="121">
        <v>224</v>
      </c>
      <c r="E11" s="121">
        <v>218</v>
      </c>
      <c r="F11" s="121">
        <v>966</v>
      </c>
      <c r="G11" s="121">
        <v>1057</v>
      </c>
      <c r="H11" s="121">
        <v>1362</v>
      </c>
      <c r="I11" s="121">
        <v>1255</v>
      </c>
      <c r="J11" s="121">
        <v>6870</v>
      </c>
      <c r="K11" s="121">
        <v>5068</v>
      </c>
      <c r="L11" s="122">
        <v>2750</v>
      </c>
    </row>
    <row r="12" spans="1:14">
      <c r="A12" s="42" t="s">
        <v>356</v>
      </c>
      <c r="B12" s="121">
        <f t="shared" si="1"/>
        <v>3641</v>
      </c>
      <c r="C12" s="121"/>
      <c r="D12" s="121">
        <v>51</v>
      </c>
      <c r="E12" s="121">
        <v>59</v>
      </c>
      <c r="F12" s="121">
        <v>219</v>
      </c>
      <c r="G12" s="121">
        <v>225</v>
      </c>
      <c r="H12" s="121">
        <v>255</v>
      </c>
      <c r="I12" s="121">
        <v>217</v>
      </c>
      <c r="J12" s="121">
        <v>1334</v>
      </c>
      <c r="K12" s="121">
        <v>860</v>
      </c>
      <c r="L12" s="122">
        <v>421</v>
      </c>
    </row>
    <row r="13" spans="1:14">
      <c r="A13" s="42" t="s">
        <v>548</v>
      </c>
      <c r="B13" s="121">
        <f t="shared" si="1"/>
        <v>1867</v>
      </c>
      <c r="C13" s="121"/>
      <c r="D13" s="121">
        <v>25</v>
      </c>
      <c r="E13" s="121">
        <v>26</v>
      </c>
      <c r="F13" s="121">
        <v>130</v>
      </c>
      <c r="G13" s="121">
        <v>132</v>
      </c>
      <c r="H13" s="121">
        <v>155</v>
      </c>
      <c r="I13" s="121">
        <v>131</v>
      </c>
      <c r="J13" s="121">
        <v>549</v>
      </c>
      <c r="K13" s="121">
        <v>465</v>
      </c>
      <c r="L13" s="122">
        <v>254</v>
      </c>
      <c r="M13" s="229"/>
    </row>
    <row r="14" spans="1:14">
      <c r="A14" s="42" t="s">
        <v>549</v>
      </c>
      <c r="B14" s="121">
        <f t="shared" si="1"/>
        <v>5861</v>
      </c>
      <c r="C14" s="121"/>
      <c r="D14" s="121">
        <v>70</v>
      </c>
      <c r="E14" s="121">
        <v>71</v>
      </c>
      <c r="F14" s="121">
        <v>290</v>
      </c>
      <c r="G14" s="121">
        <v>299</v>
      </c>
      <c r="H14" s="121">
        <v>370</v>
      </c>
      <c r="I14" s="121">
        <v>360</v>
      </c>
      <c r="J14" s="121">
        <v>2350</v>
      </c>
      <c r="K14" s="121">
        <v>1200</v>
      </c>
      <c r="L14" s="122">
        <v>851</v>
      </c>
    </row>
    <row r="15" spans="1:14">
      <c r="A15" s="42" t="s">
        <v>550</v>
      </c>
      <c r="B15" s="121">
        <f t="shared" si="1"/>
        <v>4006</v>
      </c>
      <c r="C15" s="121"/>
      <c r="D15" s="121">
        <v>75</v>
      </c>
      <c r="E15" s="121">
        <v>76</v>
      </c>
      <c r="F15" s="121">
        <v>240</v>
      </c>
      <c r="G15" s="121">
        <v>251</v>
      </c>
      <c r="H15" s="121">
        <v>316</v>
      </c>
      <c r="I15" s="121">
        <v>291</v>
      </c>
      <c r="J15" s="121">
        <v>1440</v>
      </c>
      <c r="K15" s="121">
        <v>949</v>
      </c>
      <c r="L15" s="122">
        <v>368</v>
      </c>
    </row>
    <row r="16" spans="1:14">
      <c r="A16" s="42"/>
      <c r="B16" s="126"/>
      <c r="C16" s="126"/>
      <c r="D16" s="126"/>
      <c r="E16" s="126"/>
      <c r="F16" s="126"/>
      <c r="G16" s="126"/>
      <c r="H16" s="126"/>
      <c r="I16" s="126"/>
      <c r="J16" s="126"/>
      <c r="K16" s="126"/>
      <c r="L16" s="127"/>
    </row>
    <row r="17" spans="1:14">
      <c r="A17" s="123" t="s">
        <v>551</v>
      </c>
      <c r="B17" s="121">
        <f t="shared" si="1"/>
        <v>20643</v>
      </c>
      <c r="C17" s="124" t="s">
        <v>547</v>
      </c>
      <c r="D17" s="121">
        <f>SUM(D18:D23)</f>
        <v>251</v>
      </c>
      <c r="E17" s="121">
        <f t="shared" ref="E17:L17" si="2">SUM(E18:E23)</f>
        <v>244</v>
      </c>
      <c r="F17" s="121">
        <f t="shared" si="2"/>
        <v>1195</v>
      </c>
      <c r="G17" s="121">
        <f t="shared" si="2"/>
        <v>1225</v>
      </c>
      <c r="H17" s="121">
        <f t="shared" si="2"/>
        <v>1426</v>
      </c>
      <c r="I17" s="121">
        <f t="shared" si="2"/>
        <v>1301</v>
      </c>
      <c r="J17" s="121">
        <f t="shared" si="2"/>
        <v>7289</v>
      </c>
      <c r="K17" s="121">
        <f t="shared" si="2"/>
        <v>5079</v>
      </c>
      <c r="L17" s="122">
        <f t="shared" si="2"/>
        <v>2633</v>
      </c>
      <c r="N17" s="125"/>
    </row>
    <row r="18" spans="1:14" ht="12" customHeight="1">
      <c r="A18" s="42" t="s">
        <v>552</v>
      </c>
      <c r="B18" s="121">
        <f t="shared" si="1"/>
        <v>11810</v>
      </c>
      <c r="C18" s="121"/>
      <c r="D18" s="121">
        <v>135</v>
      </c>
      <c r="E18" s="121">
        <v>129</v>
      </c>
      <c r="F18" s="121">
        <v>708</v>
      </c>
      <c r="G18" s="121">
        <v>718</v>
      </c>
      <c r="H18" s="121">
        <v>853</v>
      </c>
      <c r="I18" s="121">
        <v>753</v>
      </c>
      <c r="J18" s="121">
        <v>4130</v>
      </c>
      <c r="K18" s="121">
        <v>2896</v>
      </c>
      <c r="L18" s="122">
        <v>1488</v>
      </c>
    </row>
    <row r="19" spans="1:14" ht="12.75" customHeight="1">
      <c r="A19" s="42" t="s">
        <v>553</v>
      </c>
      <c r="B19" s="121">
        <f t="shared" si="1"/>
        <v>1686</v>
      </c>
      <c r="C19" s="121"/>
      <c r="D19" s="121">
        <v>22</v>
      </c>
      <c r="E19" s="121">
        <v>22</v>
      </c>
      <c r="F19" s="121">
        <v>93</v>
      </c>
      <c r="G19" s="121">
        <v>96</v>
      </c>
      <c r="H19" s="121">
        <v>105</v>
      </c>
      <c r="I19" s="121">
        <v>101</v>
      </c>
      <c r="J19" s="121">
        <v>600</v>
      </c>
      <c r="K19" s="121">
        <v>425</v>
      </c>
      <c r="L19" s="122">
        <v>222</v>
      </c>
      <c r="M19" s="229"/>
      <c r="N19" s="229"/>
    </row>
    <row r="20" spans="1:14" ht="12" customHeight="1">
      <c r="A20" s="42" t="s">
        <v>463</v>
      </c>
      <c r="B20" s="121">
        <f t="shared" si="1"/>
        <v>4155</v>
      </c>
      <c r="C20" s="121"/>
      <c r="D20" s="121">
        <v>52</v>
      </c>
      <c r="E20" s="121">
        <v>52</v>
      </c>
      <c r="F20" s="121">
        <v>235</v>
      </c>
      <c r="G20" s="121">
        <v>248</v>
      </c>
      <c r="H20" s="121">
        <v>289</v>
      </c>
      <c r="I20" s="121">
        <v>278</v>
      </c>
      <c r="J20" s="121">
        <v>1458</v>
      </c>
      <c r="K20" s="121">
        <v>1017</v>
      </c>
      <c r="L20" s="122">
        <v>526</v>
      </c>
    </row>
    <row r="21" spans="1:14" ht="12.75" customHeight="1">
      <c r="A21" s="42" t="s">
        <v>554</v>
      </c>
      <c r="B21" s="121">
        <f t="shared" si="1"/>
        <v>1579</v>
      </c>
      <c r="C21" s="121"/>
      <c r="D21" s="121">
        <v>22</v>
      </c>
      <c r="E21" s="121">
        <v>22</v>
      </c>
      <c r="F21" s="121">
        <v>90</v>
      </c>
      <c r="G21" s="121">
        <v>93</v>
      </c>
      <c r="H21" s="121">
        <v>102</v>
      </c>
      <c r="I21" s="121">
        <v>99</v>
      </c>
      <c r="J21" s="121">
        <v>574</v>
      </c>
      <c r="K21" s="121">
        <v>375</v>
      </c>
      <c r="L21" s="122">
        <v>202</v>
      </c>
      <c r="M21" s="229"/>
    </row>
    <row r="22" spans="1:14" ht="14.25" customHeight="1">
      <c r="A22" s="42" t="s">
        <v>555</v>
      </c>
      <c r="B22" s="121">
        <f t="shared" si="1"/>
        <v>850</v>
      </c>
      <c r="C22" s="121"/>
      <c r="D22" s="121">
        <v>11</v>
      </c>
      <c r="E22" s="121">
        <v>10</v>
      </c>
      <c r="F22" s="121">
        <v>47</v>
      </c>
      <c r="G22" s="121">
        <v>49</v>
      </c>
      <c r="H22" s="121">
        <v>55</v>
      </c>
      <c r="I22" s="121">
        <v>52</v>
      </c>
      <c r="J22" s="121">
        <v>301</v>
      </c>
      <c r="K22" s="121">
        <v>211</v>
      </c>
      <c r="L22" s="122">
        <v>114</v>
      </c>
      <c r="M22" s="229"/>
    </row>
    <row r="23" spans="1:14">
      <c r="A23" s="42" t="s">
        <v>556</v>
      </c>
      <c r="B23" s="121">
        <f t="shared" si="1"/>
        <v>563</v>
      </c>
      <c r="C23" s="121"/>
      <c r="D23" s="121">
        <v>9</v>
      </c>
      <c r="E23" s="121">
        <v>9</v>
      </c>
      <c r="F23" s="121">
        <v>22</v>
      </c>
      <c r="G23" s="121">
        <v>21</v>
      </c>
      <c r="H23" s="121">
        <v>22</v>
      </c>
      <c r="I23" s="121">
        <v>18</v>
      </c>
      <c r="J23" s="121">
        <v>226</v>
      </c>
      <c r="K23" s="121">
        <v>155</v>
      </c>
      <c r="L23" s="122">
        <v>81</v>
      </c>
      <c r="M23" s="229"/>
    </row>
    <row r="24" spans="1:14">
      <c r="A24" s="42"/>
      <c r="B24" s="1457"/>
      <c r="C24" s="1040"/>
      <c r="D24" s="1040"/>
      <c r="E24" s="1040"/>
      <c r="F24" s="1040"/>
      <c r="G24" s="1040"/>
      <c r="H24" s="1040"/>
      <c r="I24" s="1040"/>
      <c r="J24" s="1040"/>
      <c r="K24" s="1040"/>
      <c r="L24" s="1041"/>
    </row>
    <row r="25" spans="1:14">
      <c r="A25" s="123" t="s">
        <v>557</v>
      </c>
      <c r="B25" s="121">
        <f t="shared" si="1"/>
        <v>16482</v>
      </c>
      <c r="C25" s="124" t="s">
        <v>547</v>
      </c>
      <c r="D25" s="121">
        <f>SUM(D26:D27)</f>
        <v>231</v>
      </c>
      <c r="E25" s="121">
        <f t="shared" ref="E25:L25" si="3">SUM(E26:E27)</f>
        <v>238</v>
      </c>
      <c r="F25" s="121">
        <f t="shared" si="3"/>
        <v>972</v>
      </c>
      <c r="G25" s="121">
        <f t="shared" si="3"/>
        <v>1015</v>
      </c>
      <c r="H25" s="121">
        <f t="shared" si="3"/>
        <v>1142</v>
      </c>
      <c r="I25" s="121">
        <f t="shared" si="3"/>
        <v>1036</v>
      </c>
      <c r="J25" s="121">
        <f t="shared" si="3"/>
        <v>5970</v>
      </c>
      <c r="K25" s="121">
        <f t="shared" si="3"/>
        <v>3887</v>
      </c>
      <c r="L25" s="122">
        <f t="shared" si="3"/>
        <v>1991</v>
      </c>
      <c r="M25" s="229"/>
      <c r="N25" s="125"/>
    </row>
    <row r="26" spans="1:14">
      <c r="A26" s="42" t="s">
        <v>558</v>
      </c>
      <c r="B26" s="121">
        <f t="shared" si="1"/>
        <v>13899</v>
      </c>
      <c r="C26" s="121"/>
      <c r="D26" s="121">
        <v>202</v>
      </c>
      <c r="E26" s="121">
        <v>208</v>
      </c>
      <c r="F26" s="121">
        <v>790</v>
      </c>
      <c r="G26" s="121">
        <v>823</v>
      </c>
      <c r="H26" s="121">
        <v>941</v>
      </c>
      <c r="I26" s="121">
        <v>890</v>
      </c>
      <c r="J26" s="121">
        <v>5184</v>
      </c>
      <c r="K26" s="121">
        <v>3250</v>
      </c>
      <c r="L26" s="122">
        <v>1611</v>
      </c>
    </row>
    <row r="27" spans="1:14">
      <c r="A27" s="42" t="s">
        <v>559</v>
      </c>
      <c r="B27" s="121">
        <f t="shared" si="1"/>
        <v>2583</v>
      </c>
      <c r="C27" s="121"/>
      <c r="D27" s="121">
        <v>29</v>
      </c>
      <c r="E27" s="121">
        <v>30</v>
      </c>
      <c r="F27" s="121">
        <v>182</v>
      </c>
      <c r="G27" s="121">
        <v>192</v>
      </c>
      <c r="H27" s="121">
        <v>201</v>
      </c>
      <c r="I27" s="121">
        <v>146</v>
      </c>
      <c r="J27" s="121">
        <v>786</v>
      </c>
      <c r="K27" s="121">
        <v>637</v>
      </c>
      <c r="L27" s="122">
        <v>380</v>
      </c>
      <c r="M27" s="229"/>
    </row>
    <row r="28" spans="1:14">
      <c r="A28" s="42"/>
      <c r="B28" s="1040"/>
      <c r="C28" s="121"/>
      <c r="D28" s="121"/>
      <c r="E28" s="121"/>
      <c r="F28" s="121"/>
      <c r="G28" s="121"/>
      <c r="H28" s="121"/>
      <c r="I28" s="121"/>
      <c r="J28" s="121"/>
      <c r="K28" s="121"/>
      <c r="L28" s="122"/>
    </row>
    <row r="29" spans="1:14">
      <c r="A29" s="123" t="s">
        <v>560</v>
      </c>
      <c r="B29" s="121">
        <f t="shared" ref="B29:B44" si="4">SUM(D29:L29)</f>
        <v>11263</v>
      </c>
      <c r="C29" s="124" t="s">
        <v>547</v>
      </c>
      <c r="D29" s="121">
        <f t="shared" ref="D29:L29" si="5">SUM(D30:D32)</f>
        <v>145</v>
      </c>
      <c r="E29" s="121">
        <f t="shared" si="5"/>
        <v>148</v>
      </c>
      <c r="F29" s="121">
        <f t="shared" si="5"/>
        <v>665</v>
      </c>
      <c r="G29" s="121">
        <f t="shared" si="5"/>
        <v>745</v>
      </c>
      <c r="H29" s="121">
        <f t="shared" si="5"/>
        <v>809</v>
      </c>
      <c r="I29" s="121">
        <f t="shared" si="5"/>
        <v>689</v>
      </c>
      <c r="J29" s="121">
        <f t="shared" si="5"/>
        <v>4090</v>
      </c>
      <c r="K29" s="121">
        <f t="shared" si="5"/>
        <v>2659</v>
      </c>
      <c r="L29" s="122">
        <f t="shared" si="5"/>
        <v>1313</v>
      </c>
      <c r="N29" s="125"/>
    </row>
    <row r="30" spans="1:14">
      <c r="A30" s="42" t="s">
        <v>561</v>
      </c>
      <c r="B30" s="121">
        <f t="shared" si="4"/>
        <v>8926</v>
      </c>
      <c r="C30" s="121"/>
      <c r="D30" s="121">
        <v>112</v>
      </c>
      <c r="E30" s="121">
        <v>113</v>
      </c>
      <c r="F30" s="121">
        <v>531</v>
      </c>
      <c r="G30" s="121">
        <v>600</v>
      </c>
      <c r="H30" s="121">
        <v>657</v>
      </c>
      <c r="I30" s="121">
        <v>547</v>
      </c>
      <c r="J30" s="121">
        <v>3198</v>
      </c>
      <c r="K30" s="121">
        <v>2143</v>
      </c>
      <c r="L30" s="122">
        <v>1025</v>
      </c>
    </row>
    <row r="31" spans="1:14">
      <c r="A31" s="42" t="s">
        <v>562</v>
      </c>
      <c r="B31" s="121">
        <f t="shared" si="4"/>
        <v>1330</v>
      </c>
      <c r="C31" s="121"/>
      <c r="D31" s="121">
        <v>18</v>
      </c>
      <c r="E31" s="121">
        <v>19</v>
      </c>
      <c r="F31" s="121">
        <v>78</v>
      </c>
      <c r="G31" s="121">
        <v>85</v>
      </c>
      <c r="H31" s="121">
        <v>89</v>
      </c>
      <c r="I31" s="121">
        <v>84</v>
      </c>
      <c r="J31" s="121">
        <v>491</v>
      </c>
      <c r="K31" s="121">
        <v>295</v>
      </c>
      <c r="L31" s="122">
        <v>171</v>
      </c>
      <c r="M31" s="229"/>
    </row>
    <row r="32" spans="1:14">
      <c r="A32" s="42" t="s">
        <v>563</v>
      </c>
      <c r="B32" s="121">
        <f t="shared" si="4"/>
        <v>1007</v>
      </c>
      <c r="C32" s="121"/>
      <c r="D32" s="121">
        <v>15</v>
      </c>
      <c r="E32" s="121">
        <v>16</v>
      </c>
      <c r="F32" s="121">
        <v>56</v>
      </c>
      <c r="G32" s="121">
        <v>60</v>
      </c>
      <c r="H32" s="121">
        <v>63</v>
      </c>
      <c r="I32" s="121">
        <v>58</v>
      </c>
      <c r="J32" s="121">
        <v>401</v>
      </c>
      <c r="K32" s="121">
        <v>221</v>
      </c>
      <c r="L32" s="122">
        <v>117</v>
      </c>
    </row>
    <row r="33" spans="1:14">
      <c r="A33" s="42"/>
      <c r="B33" s="121"/>
      <c r="C33" s="121"/>
      <c r="D33" s="121"/>
      <c r="E33" s="121"/>
      <c r="F33" s="121"/>
      <c r="G33" s="121"/>
      <c r="H33" s="121"/>
      <c r="I33" s="121"/>
      <c r="J33" s="121"/>
      <c r="K33" s="121"/>
      <c r="L33" s="122"/>
    </row>
    <row r="34" spans="1:14">
      <c r="A34" s="123" t="s">
        <v>564</v>
      </c>
      <c r="B34" s="121">
        <f t="shared" si="4"/>
        <v>116481</v>
      </c>
      <c r="C34" s="124" t="s">
        <v>547</v>
      </c>
      <c r="D34" s="121">
        <f>+D29+D25+D17+D9</f>
        <v>1458</v>
      </c>
      <c r="E34" s="121">
        <f t="shared" ref="E34:L34" si="6">+E29+E25+E17+E9</f>
        <v>1463</v>
      </c>
      <c r="F34" s="121">
        <f t="shared" si="6"/>
        <v>6330</v>
      </c>
      <c r="G34" s="121">
        <f t="shared" si="6"/>
        <v>6684</v>
      </c>
      <c r="H34" s="121">
        <f t="shared" si="6"/>
        <v>8046</v>
      </c>
      <c r="I34" s="121">
        <f t="shared" si="6"/>
        <v>7414</v>
      </c>
      <c r="J34" s="121">
        <f t="shared" si="6"/>
        <v>41978</v>
      </c>
      <c r="K34" s="121">
        <f t="shared" si="6"/>
        <v>28092</v>
      </c>
      <c r="L34" s="122">
        <f t="shared" si="6"/>
        <v>15016</v>
      </c>
      <c r="N34" s="125"/>
    </row>
    <row r="35" spans="1:14">
      <c r="A35" s="42"/>
      <c r="B35" s="121"/>
      <c r="C35" s="121"/>
      <c r="D35" s="121"/>
      <c r="E35" s="121"/>
      <c r="F35" s="121"/>
      <c r="G35" s="121"/>
      <c r="H35" s="121"/>
      <c r="I35" s="121"/>
      <c r="J35" s="121"/>
      <c r="K35" s="121"/>
      <c r="L35" s="122"/>
    </row>
    <row r="36" spans="1:14">
      <c r="A36" s="42"/>
      <c r="B36" s="126"/>
      <c r="C36" s="126"/>
      <c r="D36" s="126"/>
      <c r="E36" s="126"/>
      <c r="F36" s="126"/>
      <c r="G36" s="126"/>
      <c r="H36" s="126"/>
      <c r="I36" s="126"/>
      <c r="J36" s="126"/>
      <c r="K36" s="126"/>
      <c r="L36" s="127"/>
    </row>
    <row r="37" spans="1:14">
      <c r="A37" s="123" t="s">
        <v>434</v>
      </c>
      <c r="B37" s="121">
        <f t="shared" si="4"/>
        <v>83494</v>
      </c>
      <c r="C37" s="124" t="s">
        <v>547</v>
      </c>
      <c r="D37" s="121">
        <f t="shared" ref="D37:L37" si="7">SUM(D38:D41)</f>
        <v>1033</v>
      </c>
      <c r="E37" s="121">
        <f t="shared" si="7"/>
        <v>1044</v>
      </c>
      <c r="F37" s="121">
        <f t="shared" si="7"/>
        <v>4461</v>
      </c>
      <c r="G37" s="121">
        <f t="shared" si="7"/>
        <v>4817</v>
      </c>
      <c r="H37" s="121">
        <f t="shared" si="7"/>
        <v>5846</v>
      </c>
      <c r="I37" s="121">
        <f t="shared" si="7"/>
        <v>5350</v>
      </c>
      <c r="J37" s="121">
        <f t="shared" si="7"/>
        <v>31054</v>
      </c>
      <c r="K37" s="121">
        <f t="shared" si="7"/>
        <v>19470</v>
      </c>
      <c r="L37" s="122">
        <f t="shared" si="7"/>
        <v>10419</v>
      </c>
      <c r="N37" s="125"/>
    </row>
    <row r="38" spans="1:14">
      <c r="A38" s="42" t="s">
        <v>565</v>
      </c>
      <c r="B38" s="121">
        <f t="shared" si="4"/>
        <v>34886</v>
      </c>
      <c r="C38" s="121"/>
      <c r="D38" s="121">
        <v>440</v>
      </c>
      <c r="E38" s="121">
        <v>438</v>
      </c>
      <c r="F38" s="121">
        <v>1847</v>
      </c>
      <c r="G38" s="121">
        <v>2012</v>
      </c>
      <c r="H38" s="121">
        <v>2397</v>
      </c>
      <c r="I38" s="121">
        <v>2180</v>
      </c>
      <c r="J38" s="121">
        <v>13018</v>
      </c>
      <c r="K38" s="121">
        <v>8206</v>
      </c>
      <c r="L38" s="122">
        <v>4348</v>
      </c>
      <c r="M38" s="221"/>
    </row>
    <row r="39" spans="1:14">
      <c r="A39" s="42" t="s">
        <v>659</v>
      </c>
      <c r="B39" s="121">
        <f t="shared" si="4"/>
        <v>37156</v>
      </c>
      <c r="C39" s="121"/>
      <c r="D39" s="121">
        <v>460</v>
      </c>
      <c r="E39" s="121">
        <v>460</v>
      </c>
      <c r="F39" s="121">
        <v>1958</v>
      </c>
      <c r="G39" s="121">
        <v>2092</v>
      </c>
      <c r="H39" s="121">
        <v>2652</v>
      </c>
      <c r="I39" s="121">
        <v>2445</v>
      </c>
      <c r="J39" s="121">
        <v>13724</v>
      </c>
      <c r="K39" s="121">
        <v>8725</v>
      </c>
      <c r="L39" s="122">
        <v>4640</v>
      </c>
      <c r="M39" s="221"/>
    </row>
    <row r="40" spans="1:14">
      <c r="A40" s="42" t="s">
        <v>566</v>
      </c>
      <c r="B40" s="121">
        <f t="shared" si="4"/>
        <v>7594</v>
      </c>
      <c r="C40" s="121"/>
      <c r="D40" s="121">
        <v>88</v>
      </c>
      <c r="E40" s="121">
        <v>95</v>
      </c>
      <c r="F40" s="121">
        <v>448</v>
      </c>
      <c r="G40" s="121">
        <v>478</v>
      </c>
      <c r="H40" s="121">
        <v>530</v>
      </c>
      <c r="I40" s="121">
        <v>490</v>
      </c>
      <c r="J40" s="121">
        <v>2850</v>
      </c>
      <c r="K40" s="121">
        <v>1670</v>
      </c>
      <c r="L40" s="122">
        <v>945</v>
      </c>
      <c r="M40" s="221"/>
    </row>
    <row r="41" spans="1:14">
      <c r="A41" s="42" t="s">
        <v>357</v>
      </c>
      <c r="B41" s="121">
        <f t="shared" si="4"/>
        <v>3858</v>
      </c>
      <c r="C41" s="121"/>
      <c r="D41" s="121">
        <v>45</v>
      </c>
      <c r="E41" s="121">
        <v>51</v>
      </c>
      <c r="F41" s="121">
        <v>208</v>
      </c>
      <c r="G41" s="121">
        <v>235</v>
      </c>
      <c r="H41" s="121">
        <v>267</v>
      </c>
      <c r="I41" s="121">
        <v>235</v>
      </c>
      <c r="J41" s="121">
        <v>1462</v>
      </c>
      <c r="K41" s="121">
        <v>869</v>
      </c>
      <c r="L41" s="122">
        <v>486</v>
      </c>
      <c r="M41" s="221"/>
    </row>
    <row r="42" spans="1:14">
      <c r="A42" s="42"/>
      <c r="B42" s="126"/>
      <c r="C42" s="126"/>
      <c r="D42" s="126"/>
      <c r="E42" s="126"/>
      <c r="F42" s="126"/>
      <c r="G42" s="126"/>
      <c r="H42" s="126"/>
      <c r="I42" s="126"/>
      <c r="J42" s="126"/>
      <c r="K42" s="126"/>
      <c r="L42" s="127"/>
    </row>
    <row r="43" spans="1:14">
      <c r="A43" s="123" t="s">
        <v>567</v>
      </c>
      <c r="B43" s="121">
        <f t="shared" si="4"/>
        <v>17645</v>
      </c>
      <c r="C43" s="124" t="s">
        <v>547</v>
      </c>
      <c r="D43" s="121">
        <f t="shared" ref="D43:L43" si="8">SUM(D44:D54)</f>
        <v>213</v>
      </c>
      <c r="E43" s="121">
        <f t="shared" si="8"/>
        <v>214</v>
      </c>
      <c r="F43" s="121">
        <f t="shared" si="8"/>
        <v>891</v>
      </c>
      <c r="G43" s="121">
        <f t="shared" si="8"/>
        <v>920</v>
      </c>
      <c r="H43" s="121">
        <f t="shared" si="8"/>
        <v>1147</v>
      </c>
      <c r="I43" s="121">
        <f t="shared" si="8"/>
        <v>1118</v>
      </c>
      <c r="J43" s="121">
        <f t="shared" si="8"/>
        <v>5885</v>
      </c>
      <c r="K43" s="121">
        <f t="shared" si="8"/>
        <v>4431</v>
      </c>
      <c r="L43" s="122">
        <f t="shared" si="8"/>
        <v>2826</v>
      </c>
      <c r="N43" s="125"/>
    </row>
    <row r="44" spans="1:14">
      <c r="A44" s="42" t="s">
        <v>568</v>
      </c>
      <c r="B44" s="1260">
        <f t="shared" si="4"/>
        <v>5715</v>
      </c>
      <c r="C44" s="1260"/>
      <c r="D44" s="1260">
        <v>59</v>
      </c>
      <c r="E44" s="1260">
        <v>59</v>
      </c>
      <c r="F44" s="1260">
        <v>240</v>
      </c>
      <c r="G44" s="1260">
        <v>247</v>
      </c>
      <c r="H44" s="1260">
        <v>358</v>
      </c>
      <c r="I44" s="1260">
        <v>344</v>
      </c>
      <c r="J44" s="1260">
        <v>1877</v>
      </c>
      <c r="K44" s="1260">
        <v>1494</v>
      </c>
      <c r="L44" s="1261">
        <v>1037</v>
      </c>
      <c r="M44" s="222"/>
    </row>
    <row r="45" spans="1:14">
      <c r="A45" s="42" t="s">
        <v>569</v>
      </c>
      <c r="B45" s="1260">
        <f t="shared" ref="B45:B59" si="9">SUM(D45:L45)</f>
        <v>2507</v>
      </c>
      <c r="C45" s="1260"/>
      <c r="D45" s="1260">
        <v>25</v>
      </c>
      <c r="E45" s="1260">
        <v>26</v>
      </c>
      <c r="F45" s="1260">
        <v>131</v>
      </c>
      <c r="G45" s="1260">
        <v>138</v>
      </c>
      <c r="H45" s="1260">
        <v>155</v>
      </c>
      <c r="I45" s="1260">
        <v>150</v>
      </c>
      <c r="J45" s="1260">
        <v>864</v>
      </c>
      <c r="K45" s="1260">
        <v>630</v>
      </c>
      <c r="L45" s="1261">
        <v>388</v>
      </c>
      <c r="M45" s="222"/>
    </row>
    <row r="46" spans="1:14">
      <c r="A46" s="42" t="s">
        <v>1442</v>
      </c>
      <c r="B46" s="1260">
        <f t="shared" si="9"/>
        <v>1375</v>
      </c>
      <c r="C46" s="1260"/>
      <c r="D46" s="1260">
        <v>19</v>
      </c>
      <c r="E46" s="1260">
        <v>18</v>
      </c>
      <c r="F46" s="1260">
        <v>59</v>
      </c>
      <c r="G46" s="1260">
        <v>63</v>
      </c>
      <c r="H46" s="1260">
        <v>90</v>
      </c>
      <c r="I46" s="1260">
        <v>88</v>
      </c>
      <c r="J46" s="1260">
        <v>465</v>
      </c>
      <c r="K46" s="1260">
        <v>336</v>
      </c>
      <c r="L46" s="1261">
        <v>237</v>
      </c>
      <c r="M46" s="222"/>
    </row>
    <row r="47" spans="1:14">
      <c r="A47" s="42" t="s">
        <v>571</v>
      </c>
      <c r="B47" s="1260">
        <f t="shared" si="9"/>
        <v>1254</v>
      </c>
      <c r="C47" s="1260"/>
      <c r="D47" s="1260">
        <v>15</v>
      </c>
      <c r="E47" s="1260">
        <v>15</v>
      </c>
      <c r="F47" s="1260">
        <v>78</v>
      </c>
      <c r="G47" s="1260">
        <v>78</v>
      </c>
      <c r="H47" s="1260">
        <v>83</v>
      </c>
      <c r="I47" s="1260">
        <v>83</v>
      </c>
      <c r="J47" s="1260">
        <v>415</v>
      </c>
      <c r="K47" s="1260">
        <v>307</v>
      </c>
      <c r="L47" s="1261">
        <v>180</v>
      </c>
      <c r="M47" s="222"/>
    </row>
    <row r="48" spans="1:14">
      <c r="A48" s="42" t="s">
        <v>572</v>
      </c>
      <c r="B48" s="1260">
        <f t="shared" si="9"/>
        <v>1106</v>
      </c>
      <c r="C48" s="1260"/>
      <c r="D48" s="1260">
        <v>15</v>
      </c>
      <c r="E48" s="1260">
        <v>16</v>
      </c>
      <c r="F48" s="1260">
        <v>58</v>
      </c>
      <c r="G48" s="1260">
        <v>59</v>
      </c>
      <c r="H48" s="1260">
        <v>78</v>
      </c>
      <c r="I48" s="1260">
        <v>75</v>
      </c>
      <c r="J48" s="1260">
        <v>367</v>
      </c>
      <c r="K48" s="1260">
        <v>275</v>
      </c>
      <c r="L48" s="1261">
        <v>163</v>
      </c>
      <c r="M48" s="222"/>
    </row>
    <row r="49" spans="1:14">
      <c r="A49" s="42" t="s">
        <v>573</v>
      </c>
      <c r="B49" s="1260">
        <f t="shared" si="9"/>
        <v>1149</v>
      </c>
      <c r="C49" s="1260"/>
      <c r="D49" s="1260">
        <v>15</v>
      </c>
      <c r="E49" s="1260">
        <v>15</v>
      </c>
      <c r="F49" s="1260">
        <v>72</v>
      </c>
      <c r="G49" s="1260">
        <v>73</v>
      </c>
      <c r="H49" s="1260">
        <v>82</v>
      </c>
      <c r="I49" s="1260">
        <v>82</v>
      </c>
      <c r="J49" s="1260">
        <v>394</v>
      </c>
      <c r="K49" s="1260">
        <v>263</v>
      </c>
      <c r="L49" s="1261">
        <v>153</v>
      </c>
      <c r="M49" s="222"/>
    </row>
    <row r="50" spans="1:14">
      <c r="A50" s="42" t="s">
        <v>574</v>
      </c>
      <c r="B50" s="1260">
        <f t="shared" si="9"/>
        <v>1347</v>
      </c>
      <c r="C50" s="1260"/>
      <c r="D50" s="1260">
        <v>17</v>
      </c>
      <c r="E50" s="1260">
        <v>18</v>
      </c>
      <c r="F50" s="1260">
        <v>72</v>
      </c>
      <c r="G50" s="1260">
        <v>74</v>
      </c>
      <c r="H50" s="1260">
        <v>90</v>
      </c>
      <c r="I50" s="1260">
        <v>87</v>
      </c>
      <c r="J50" s="1260">
        <v>456</v>
      </c>
      <c r="K50" s="1260">
        <v>328</v>
      </c>
      <c r="L50" s="1261">
        <v>205</v>
      </c>
      <c r="M50" s="222"/>
    </row>
    <row r="51" spans="1:14">
      <c r="A51" s="42" t="s">
        <v>575</v>
      </c>
      <c r="B51" s="1260">
        <f t="shared" si="9"/>
        <v>1193</v>
      </c>
      <c r="C51" s="1260"/>
      <c r="D51" s="1260">
        <v>17</v>
      </c>
      <c r="E51" s="1260">
        <v>16</v>
      </c>
      <c r="F51" s="1260">
        <v>64</v>
      </c>
      <c r="G51" s="1260">
        <v>66</v>
      </c>
      <c r="H51" s="1260">
        <v>80</v>
      </c>
      <c r="I51" s="1260">
        <v>78</v>
      </c>
      <c r="J51" s="1260">
        <v>402</v>
      </c>
      <c r="K51" s="1260">
        <v>295</v>
      </c>
      <c r="L51" s="1261">
        <v>175</v>
      </c>
      <c r="M51" s="222"/>
    </row>
    <row r="52" spans="1:14">
      <c r="A52" s="42" t="s">
        <v>576</v>
      </c>
      <c r="B52" s="1260">
        <f t="shared" si="9"/>
        <v>1303</v>
      </c>
      <c r="C52" s="1260"/>
      <c r="D52" s="1260">
        <v>19</v>
      </c>
      <c r="E52" s="1260">
        <v>19</v>
      </c>
      <c r="F52" s="1260">
        <v>69</v>
      </c>
      <c r="G52" s="1260">
        <v>74</v>
      </c>
      <c r="H52" s="1260">
        <v>86</v>
      </c>
      <c r="I52" s="1260">
        <v>86</v>
      </c>
      <c r="J52" s="1260">
        <v>430</v>
      </c>
      <c r="K52" s="1260">
        <v>337</v>
      </c>
      <c r="L52" s="1261">
        <v>183</v>
      </c>
      <c r="M52" s="222"/>
    </row>
    <row r="53" spans="1:14">
      <c r="A53" s="42" t="s">
        <v>577</v>
      </c>
      <c r="B53" s="1260">
        <f t="shared" si="9"/>
        <v>322</v>
      </c>
      <c r="C53" s="1260"/>
      <c r="D53" s="1260">
        <v>6</v>
      </c>
      <c r="E53" s="1260">
        <v>6</v>
      </c>
      <c r="F53" s="1260">
        <v>22</v>
      </c>
      <c r="G53" s="1260">
        <v>21</v>
      </c>
      <c r="H53" s="1260">
        <v>22</v>
      </c>
      <c r="I53" s="1260">
        <v>22</v>
      </c>
      <c r="J53" s="1260">
        <v>94</v>
      </c>
      <c r="K53" s="1260">
        <v>77</v>
      </c>
      <c r="L53" s="1261">
        <v>52</v>
      </c>
      <c r="M53" s="222"/>
    </row>
    <row r="54" spans="1:14">
      <c r="A54" s="42" t="s">
        <v>578</v>
      </c>
      <c r="B54" s="1260">
        <f t="shared" si="9"/>
        <v>374</v>
      </c>
      <c r="C54" s="1260"/>
      <c r="D54" s="1260">
        <v>6</v>
      </c>
      <c r="E54" s="1260">
        <v>6</v>
      </c>
      <c r="F54" s="1260">
        <v>26</v>
      </c>
      <c r="G54" s="1260">
        <v>27</v>
      </c>
      <c r="H54" s="1260">
        <v>23</v>
      </c>
      <c r="I54" s="1260">
        <v>23</v>
      </c>
      <c r="J54" s="1260">
        <v>121</v>
      </c>
      <c r="K54" s="1260">
        <v>89</v>
      </c>
      <c r="L54" s="1261">
        <v>53</v>
      </c>
      <c r="M54" s="222"/>
    </row>
    <row r="55" spans="1:14">
      <c r="A55" s="42"/>
      <c r="B55" s="1040"/>
      <c r="C55" s="1260"/>
      <c r="D55" s="1260"/>
      <c r="E55" s="1260"/>
      <c r="F55" s="1260"/>
      <c r="G55" s="1260"/>
      <c r="H55" s="1260"/>
      <c r="I55" s="1260"/>
      <c r="J55" s="1260"/>
      <c r="K55" s="1260"/>
      <c r="L55" s="1261"/>
      <c r="M55" s="222"/>
    </row>
    <row r="56" spans="1:14">
      <c r="A56" s="123" t="s">
        <v>579</v>
      </c>
      <c r="B56" s="121">
        <f t="shared" si="9"/>
        <v>16367</v>
      </c>
      <c r="C56" s="124" t="s">
        <v>547</v>
      </c>
      <c r="D56" s="121">
        <f>SUM(D57:D59)</f>
        <v>200</v>
      </c>
      <c r="E56" s="121">
        <f t="shared" ref="E56:L56" si="10">SUM(E57:E59)</f>
        <v>199</v>
      </c>
      <c r="F56" s="121">
        <f t="shared" si="10"/>
        <v>890</v>
      </c>
      <c r="G56" s="121">
        <f t="shared" si="10"/>
        <v>903</v>
      </c>
      <c r="H56" s="121">
        <f t="shared" si="10"/>
        <v>1075</v>
      </c>
      <c r="I56" s="121">
        <f t="shared" si="10"/>
        <v>1063</v>
      </c>
      <c r="J56" s="121">
        <f t="shared" si="10"/>
        <v>5740</v>
      </c>
      <c r="K56" s="121">
        <f t="shared" si="10"/>
        <v>4116</v>
      </c>
      <c r="L56" s="122">
        <f t="shared" si="10"/>
        <v>2181</v>
      </c>
      <c r="M56" s="128"/>
      <c r="N56" s="125"/>
    </row>
    <row r="57" spans="1:14">
      <c r="A57" s="42" t="s">
        <v>580</v>
      </c>
      <c r="B57" s="121">
        <f t="shared" si="9"/>
        <v>12889</v>
      </c>
      <c r="C57" s="121"/>
      <c r="D57" s="121">
        <v>162</v>
      </c>
      <c r="E57" s="121">
        <v>161</v>
      </c>
      <c r="F57" s="121">
        <v>708</v>
      </c>
      <c r="G57" s="121">
        <v>718</v>
      </c>
      <c r="H57" s="121">
        <v>865</v>
      </c>
      <c r="I57" s="121">
        <v>856</v>
      </c>
      <c r="J57" s="121">
        <v>4569</v>
      </c>
      <c r="K57" s="121">
        <v>3232</v>
      </c>
      <c r="L57" s="122">
        <v>1618</v>
      </c>
      <c r="M57" s="222"/>
    </row>
    <row r="58" spans="1:14">
      <c r="A58" s="42" t="s">
        <v>358</v>
      </c>
      <c r="B58" s="121">
        <f t="shared" si="9"/>
        <v>2103</v>
      </c>
      <c r="C58" s="121"/>
      <c r="D58" s="121">
        <v>22</v>
      </c>
      <c r="E58" s="121">
        <v>20</v>
      </c>
      <c r="F58" s="121">
        <v>105</v>
      </c>
      <c r="G58" s="121">
        <v>106</v>
      </c>
      <c r="H58" s="121">
        <v>120</v>
      </c>
      <c r="I58" s="121">
        <v>118</v>
      </c>
      <c r="J58" s="121">
        <v>696</v>
      </c>
      <c r="K58" s="121">
        <v>548</v>
      </c>
      <c r="L58" s="122">
        <v>368</v>
      </c>
      <c r="M58" s="222"/>
    </row>
    <row r="59" spans="1:14">
      <c r="A59" s="42" t="s">
        <v>581</v>
      </c>
      <c r="B59" s="121">
        <f t="shared" si="9"/>
        <v>1375</v>
      </c>
      <c r="C59" s="121"/>
      <c r="D59" s="121">
        <v>16</v>
      </c>
      <c r="E59" s="121">
        <v>18</v>
      </c>
      <c r="F59" s="121">
        <v>77</v>
      </c>
      <c r="G59" s="121">
        <v>79</v>
      </c>
      <c r="H59" s="121">
        <v>90</v>
      </c>
      <c r="I59" s="121">
        <v>89</v>
      </c>
      <c r="J59" s="121">
        <v>475</v>
      </c>
      <c r="K59" s="121">
        <v>336</v>
      </c>
      <c r="L59" s="122">
        <v>195</v>
      </c>
      <c r="M59" s="222"/>
    </row>
    <row r="60" spans="1:14">
      <c r="A60" s="42"/>
      <c r="B60" s="1040"/>
      <c r="C60" s="121"/>
      <c r="D60" s="121"/>
      <c r="E60" s="121"/>
      <c r="F60" s="121"/>
      <c r="G60" s="121"/>
      <c r="H60" s="121"/>
      <c r="I60" s="121"/>
      <c r="J60" s="121"/>
      <c r="K60" s="121"/>
      <c r="L60" s="122"/>
    </row>
    <row r="61" spans="1:14">
      <c r="A61" s="123" t="s">
        <v>582</v>
      </c>
      <c r="B61" s="121">
        <f t="shared" ref="B61:B76" si="11">SUM(D61:L61)</f>
        <v>7633</v>
      </c>
      <c r="C61" s="124" t="s">
        <v>547</v>
      </c>
      <c r="D61" s="121">
        <f>SUM(D62:D65)</f>
        <v>95</v>
      </c>
      <c r="E61" s="121">
        <f t="shared" ref="E61:L61" si="12">SUM(E62:E65)</f>
        <v>94</v>
      </c>
      <c r="F61" s="121">
        <f t="shared" si="12"/>
        <v>393</v>
      </c>
      <c r="G61" s="121">
        <f t="shared" si="12"/>
        <v>410</v>
      </c>
      <c r="H61" s="121">
        <f t="shared" si="12"/>
        <v>542</v>
      </c>
      <c r="I61" s="121">
        <f t="shared" si="12"/>
        <v>476</v>
      </c>
      <c r="J61" s="121">
        <f t="shared" si="12"/>
        <v>2715</v>
      </c>
      <c r="K61" s="121">
        <f t="shared" si="12"/>
        <v>1944</v>
      </c>
      <c r="L61" s="122">
        <f t="shared" si="12"/>
        <v>964</v>
      </c>
      <c r="N61" s="125"/>
    </row>
    <row r="62" spans="1:14">
      <c r="A62" s="42" t="s">
        <v>583</v>
      </c>
      <c r="B62" s="121">
        <f t="shared" si="11"/>
        <v>5137</v>
      </c>
      <c r="C62" s="121"/>
      <c r="D62" s="121">
        <v>57</v>
      </c>
      <c r="E62" s="121">
        <v>56</v>
      </c>
      <c r="F62" s="121">
        <v>249</v>
      </c>
      <c r="G62" s="121">
        <v>257</v>
      </c>
      <c r="H62" s="121">
        <v>344</v>
      </c>
      <c r="I62" s="121">
        <v>303</v>
      </c>
      <c r="J62" s="121">
        <v>1810</v>
      </c>
      <c r="K62" s="121">
        <v>1400</v>
      </c>
      <c r="L62" s="122">
        <v>661</v>
      </c>
      <c r="M62" s="222"/>
    </row>
    <row r="63" spans="1:14">
      <c r="A63" s="42" t="s">
        <v>584</v>
      </c>
      <c r="B63" s="121">
        <f t="shared" si="11"/>
        <v>608</v>
      </c>
      <c r="C63" s="121"/>
      <c r="D63" s="121">
        <v>10</v>
      </c>
      <c r="E63" s="121">
        <v>10</v>
      </c>
      <c r="F63" s="121">
        <v>32</v>
      </c>
      <c r="G63" s="121">
        <v>34</v>
      </c>
      <c r="H63" s="121">
        <v>42</v>
      </c>
      <c r="I63" s="121">
        <v>37</v>
      </c>
      <c r="J63" s="121">
        <v>225</v>
      </c>
      <c r="K63" s="121">
        <v>143</v>
      </c>
      <c r="L63" s="122">
        <v>75</v>
      </c>
      <c r="M63" s="222"/>
    </row>
    <row r="64" spans="1:14">
      <c r="A64" s="42" t="s">
        <v>585</v>
      </c>
      <c r="B64" s="121">
        <f t="shared" si="11"/>
        <v>817</v>
      </c>
      <c r="C64" s="121"/>
      <c r="D64" s="121">
        <v>12</v>
      </c>
      <c r="E64" s="121">
        <v>12</v>
      </c>
      <c r="F64" s="121">
        <v>46</v>
      </c>
      <c r="G64" s="121">
        <v>49</v>
      </c>
      <c r="H64" s="121">
        <v>71</v>
      </c>
      <c r="I64" s="121">
        <v>57</v>
      </c>
      <c r="J64" s="121">
        <v>298</v>
      </c>
      <c r="K64" s="121">
        <v>176</v>
      </c>
      <c r="L64" s="122">
        <v>96</v>
      </c>
      <c r="M64" s="222"/>
    </row>
    <row r="65" spans="1:21">
      <c r="A65" s="42" t="s">
        <v>586</v>
      </c>
      <c r="B65" s="121">
        <f t="shared" si="11"/>
        <v>1071</v>
      </c>
      <c r="C65" s="121"/>
      <c r="D65" s="121">
        <v>16</v>
      </c>
      <c r="E65" s="121">
        <v>16</v>
      </c>
      <c r="F65" s="121">
        <v>66</v>
      </c>
      <c r="G65" s="121">
        <v>70</v>
      </c>
      <c r="H65" s="121">
        <v>85</v>
      </c>
      <c r="I65" s="121">
        <v>79</v>
      </c>
      <c r="J65" s="121">
        <v>382</v>
      </c>
      <c r="K65" s="121">
        <v>225</v>
      </c>
      <c r="L65" s="122">
        <v>132</v>
      </c>
      <c r="M65" s="222"/>
    </row>
    <row r="66" spans="1:21">
      <c r="A66" s="42"/>
      <c r="B66" s="121"/>
      <c r="C66" s="121"/>
      <c r="D66" s="121"/>
      <c r="E66" s="121"/>
      <c r="F66" s="121"/>
      <c r="G66" s="121"/>
      <c r="H66" s="121"/>
      <c r="I66" s="121"/>
      <c r="J66" s="121"/>
      <c r="K66" s="121"/>
      <c r="L66" s="122"/>
    </row>
    <row r="67" spans="1:21">
      <c r="A67" s="123" t="s">
        <v>587</v>
      </c>
      <c r="B67" s="121">
        <f t="shared" si="11"/>
        <v>26533</v>
      </c>
      <c r="C67" s="124" t="s">
        <v>547</v>
      </c>
      <c r="D67" s="121">
        <f>SUM(D68:D71)</f>
        <v>333</v>
      </c>
      <c r="E67" s="121">
        <f t="shared" ref="E67:L67" si="13">SUM(E68:E71)</f>
        <v>320</v>
      </c>
      <c r="F67" s="121">
        <f t="shared" si="13"/>
        <v>1537</v>
      </c>
      <c r="G67" s="121">
        <f t="shared" si="13"/>
        <v>1467</v>
      </c>
      <c r="H67" s="121">
        <f t="shared" si="13"/>
        <v>1795</v>
      </c>
      <c r="I67" s="121">
        <f t="shared" si="13"/>
        <v>1622</v>
      </c>
      <c r="J67" s="121">
        <f t="shared" si="13"/>
        <v>9409</v>
      </c>
      <c r="K67" s="121">
        <f t="shared" si="13"/>
        <v>6523</v>
      </c>
      <c r="L67" s="122">
        <f t="shared" si="13"/>
        <v>3527</v>
      </c>
      <c r="N67" s="125"/>
    </row>
    <row r="68" spans="1:21">
      <c r="A68" s="42" t="s">
        <v>588</v>
      </c>
      <c r="B68" s="121">
        <f t="shared" si="11"/>
        <v>21603</v>
      </c>
      <c r="C68" s="121"/>
      <c r="D68" s="121">
        <v>278</v>
      </c>
      <c r="E68" s="121">
        <v>271</v>
      </c>
      <c r="F68" s="121">
        <v>1329</v>
      </c>
      <c r="G68" s="121">
        <v>1257</v>
      </c>
      <c r="H68" s="121">
        <v>1555</v>
      </c>
      <c r="I68" s="121">
        <v>1400</v>
      </c>
      <c r="J68" s="121">
        <v>7566</v>
      </c>
      <c r="K68" s="121">
        <v>5197</v>
      </c>
      <c r="L68" s="122">
        <v>2750</v>
      </c>
      <c r="M68" s="221"/>
    </row>
    <row r="69" spans="1:21">
      <c r="A69" s="42" t="s">
        <v>589</v>
      </c>
      <c r="B69" s="121">
        <f t="shared" si="11"/>
        <v>579</v>
      </c>
      <c r="C69" s="121"/>
      <c r="D69" s="121">
        <v>10</v>
      </c>
      <c r="E69" s="121">
        <v>8</v>
      </c>
      <c r="F69" s="121">
        <v>19</v>
      </c>
      <c r="G69" s="121">
        <v>19</v>
      </c>
      <c r="H69" s="121">
        <v>26</v>
      </c>
      <c r="I69" s="121">
        <v>21</v>
      </c>
      <c r="J69" s="121">
        <v>165</v>
      </c>
      <c r="K69" s="121">
        <v>165</v>
      </c>
      <c r="L69" s="122">
        <v>146</v>
      </c>
      <c r="M69" s="221"/>
    </row>
    <row r="70" spans="1:21">
      <c r="A70" s="42" t="s">
        <v>590</v>
      </c>
      <c r="B70" s="121">
        <f t="shared" si="11"/>
        <v>2822</v>
      </c>
      <c r="C70" s="121"/>
      <c r="D70" s="121">
        <v>28</v>
      </c>
      <c r="E70" s="121">
        <v>26</v>
      </c>
      <c r="F70" s="121">
        <v>122</v>
      </c>
      <c r="G70" s="121">
        <v>124</v>
      </c>
      <c r="H70" s="121">
        <v>140</v>
      </c>
      <c r="I70" s="121">
        <v>133</v>
      </c>
      <c r="J70" s="121">
        <v>1088</v>
      </c>
      <c r="K70" s="121">
        <v>760</v>
      </c>
      <c r="L70" s="122">
        <v>401</v>
      </c>
      <c r="M70" s="221"/>
    </row>
    <row r="71" spans="1:21">
      <c r="A71" s="42" t="s">
        <v>591</v>
      </c>
      <c r="B71" s="121">
        <f t="shared" si="11"/>
        <v>1529</v>
      </c>
      <c r="C71" s="121"/>
      <c r="D71" s="121">
        <v>17</v>
      </c>
      <c r="E71" s="121">
        <v>15</v>
      </c>
      <c r="F71" s="121">
        <v>67</v>
      </c>
      <c r="G71" s="121">
        <v>67</v>
      </c>
      <c r="H71" s="121">
        <v>74</v>
      </c>
      <c r="I71" s="121">
        <v>68</v>
      </c>
      <c r="J71" s="121">
        <v>590</v>
      </c>
      <c r="K71" s="121">
        <v>401</v>
      </c>
      <c r="L71" s="122">
        <v>230</v>
      </c>
      <c r="M71" s="221"/>
    </row>
    <row r="72" spans="1:21">
      <c r="A72" s="42"/>
      <c r="B72" s="1040"/>
      <c r="C72" s="121"/>
      <c r="D72" s="1040"/>
      <c r="E72" s="1040"/>
      <c r="F72" s="1040"/>
      <c r="G72" s="1040"/>
      <c r="H72" s="1040"/>
      <c r="I72" s="1040"/>
      <c r="J72" s="1040"/>
      <c r="K72" s="1040"/>
      <c r="L72" s="1041"/>
    </row>
    <row r="73" spans="1:21">
      <c r="A73" s="123" t="s">
        <v>592</v>
      </c>
      <c r="B73" s="121">
        <f t="shared" si="11"/>
        <v>15213</v>
      </c>
      <c r="C73" s="124" t="s">
        <v>547</v>
      </c>
      <c r="D73" s="121">
        <f>SUM(D74:D83)</f>
        <v>172</v>
      </c>
      <c r="E73" s="121">
        <f t="shared" ref="E73:L73" si="14">SUM(E74:E83)</f>
        <v>178</v>
      </c>
      <c r="F73" s="121">
        <f t="shared" si="14"/>
        <v>815</v>
      </c>
      <c r="G73" s="121">
        <f t="shared" si="14"/>
        <v>844</v>
      </c>
      <c r="H73" s="121">
        <f t="shared" si="14"/>
        <v>1046</v>
      </c>
      <c r="I73" s="121">
        <f t="shared" si="14"/>
        <v>946</v>
      </c>
      <c r="J73" s="121">
        <f t="shared" si="14"/>
        <v>5414</v>
      </c>
      <c r="K73" s="121">
        <f t="shared" si="14"/>
        <v>3673</v>
      </c>
      <c r="L73" s="122">
        <f t="shared" si="14"/>
        <v>2125</v>
      </c>
      <c r="N73" s="125"/>
    </row>
    <row r="74" spans="1:21">
      <c r="A74" s="42" t="s">
        <v>593</v>
      </c>
      <c r="B74" s="121">
        <f t="shared" si="11"/>
        <v>8349</v>
      </c>
      <c r="C74" s="121"/>
      <c r="D74" s="121">
        <v>83</v>
      </c>
      <c r="E74" s="121">
        <v>83</v>
      </c>
      <c r="F74" s="121">
        <v>445</v>
      </c>
      <c r="G74" s="121">
        <v>447</v>
      </c>
      <c r="H74" s="121">
        <v>596</v>
      </c>
      <c r="I74" s="121">
        <v>535</v>
      </c>
      <c r="J74" s="121">
        <v>2921</v>
      </c>
      <c r="K74" s="121">
        <v>2061</v>
      </c>
      <c r="L74" s="122">
        <v>1178</v>
      </c>
      <c r="M74" s="222"/>
    </row>
    <row r="75" spans="1:21">
      <c r="A75" s="42" t="s">
        <v>299</v>
      </c>
      <c r="B75" s="121">
        <f t="shared" si="11"/>
        <v>1507</v>
      </c>
      <c r="C75" s="121"/>
      <c r="D75" s="121">
        <v>13</v>
      </c>
      <c r="E75" s="121">
        <v>22</v>
      </c>
      <c r="F75" s="121">
        <v>91</v>
      </c>
      <c r="G75" s="121">
        <v>96</v>
      </c>
      <c r="H75" s="121">
        <v>99</v>
      </c>
      <c r="I75" s="121">
        <v>86</v>
      </c>
      <c r="J75" s="121">
        <v>475</v>
      </c>
      <c r="K75" s="121">
        <v>369</v>
      </c>
      <c r="L75" s="122">
        <v>256</v>
      </c>
      <c r="M75" s="121"/>
      <c r="N75" s="121"/>
      <c r="O75" s="121"/>
      <c r="P75" s="121"/>
      <c r="Q75" s="121"/>
      <c r="R75" s="121"/>
      <c r="S75" s="121"/>
      <c r="T75" s="121"/>
      <c r="U75" s="121"/>
    </row>
    <row r="76" spans="1:21">
      <c r="A76" s="42" t="s">
        <v>594</v>
      </c>
      <c r="B76" s="121">
        <f t="shared" si="11"/>
        <v>1235</v>
      </c>
      <c r="C76" s="121"/>
      <c r="D76" s="121">
        <v>17</v>
      </c>
      <c r="E76" s="121">
        <v>16</v>
      </c>
      <c r="F76" s="121">
        <v>65</v>
      </c>
      <c r="G76" s="121">
        <v>66</v>
      </c>
      <c r="H76" s="121">
        <v>77</v>
      </c>
      <c r="I76" s="121">
        <v>73</v>
      </c>
      <c r="J76" s="121">
        <v>456</v>
      </c>
      <c r="K76" s="121">
        <v>299</v>
      </c>
      <c r="L76" s="122">
        <v>166</v>
      </c>
      <c r="M76" s="222"/>
    </row>
    <row r="77" spans="1:21">
      <c r="A77" s="42" t="s">
        <v>595</v>
      </c>
      <c r="B77" s="121">
        <f t="shared" ref="B77:B87" si="15">SUM(D77:L77)</f>
        <v>334</v>
      </c>
      <c r="C77" s="121"/>
      <c r="D77" s="121">
        <v>6</v>
      </c>
      <c r="E77" s="121">
        <v>6</v>
      </c>
      <c r="F77" s="121">
        <v>16</v>
      </c>
      <c r="G77" s="121">
        <v>18</v>
      </c>
      <c r="H77" s="121">
        <v>22</v>
      </c>
      <c r="I77" s="121">
        <v>20</v>
      </c>
      <c r="J77" s="121">
        <v>117</v>
      </c>
      <c r="K77" s="121">
        <v>83</v>
      </c>
      <c r="L77" s="122">
        <v>46</v>
      </c>
      <c r="M77" s="222"/>
    </row>
    <row r="78" spans="1:21">
      <c r="A78" s="42" t="s">
        <v>596</v>
      </c>
      <c r="B78" s="121">
        <f t="shared" si="15"/>
        <v>717</v>
      </c>
      <c r="C78" s="121"/>
      <c r="D78" s="121">
        <v>10</v>
      </c>
      <c r="E78" s="121">
        <v>10</v>
      </c>
      <c r="F78" s="121">
        <v>37</v>
      </c>
      <c r="G78" s="121">
        <v>40</v>
      </c>
      <c r="H78" s="121">
        <v>46</v>
      </c>
      <c r="I78" s="121">
        <v>44</v>
      </c>
      <c r="J78" s="121">
        <v>279</v>
      </c>
      <c r="K78" s="121">
        <v>163</v>
      </c>
      <c r="L78" s="122">
        <v>88</v>
      </c>
      <c r="M78" s="222"/>
    </row>
    <row r="79" spans="1:21">
      <c r="A79" s="42" t="s">
        <v>597</v>
      </c>
      <c r="B79" s="121">
        <f t="shared" si="15"/>
        <v>619</v>
      </c>
      <c r="C79" s="121"/>
      <c r="D79" s="121">
        <v>10</v>
      </c>
      <c r="E79" s="121">
        <v>9</v>
      </c>
      <c r="F79" s="121">
        <v>32</v>
      </c>
      <c r="G79" s="121">
        <v>35</v>
      </c>
      <c r="H79" s="121">
        <v>40</v>
      </c>
      <c r="I79" s="121">
        <v>38</v>
      </c>
      <c r="J79" s="121">
        <v>239</v>
      </c>
      <c r="K79" s="121">
        <v>139</v>
      </c>
      <c r="L79" s="122">
        <v>77</v>
      </c>
      <c r="M79" s="222"/>
    </row>
    <row r="80" spans="1:21">
      <c r="A80" s="42" t="s">
        <v>598</v>
      </c>
      <c r="B80" s="121">
        <f t="shared" si="15"/>
        <v>317</v>
      </c>
      <c r="C80" s="121"/>
      <c r="D80" s="121">
        <v>6</v>
      </c>
      <c r="E80" s="121">
        <v>6</v>
      </c>
      <c r="F80" s="121">
        <v>14</v>
      </c>
      <c r="G80" s="121">
        <v>17</v>
      </c>
      <c r="H80" s="121">
        <v>20</v>
      </c>
      <c r="I80" s="121">
        <v>18</v>
      </c>
      <c r="J80" s="121">
        <v>121</v>
      </c>
      <c r="K80" s="121">
        <v>71</v>
      </c>
      <c r="L80" s="122">
        <v>44</v>
      </c>
      <c r="M80" s="222"/>
    </row>
    <row r="81" spans="1:14">
      <c r="A81" s="42" t="s">
        <v>599</v>
      </c>
      <c r="B81" s="121">
        <f t="shared" si="15"/>
        <v>261</v>
      </c>
      <c r="C81" s="121"/>
      <c r="D81" s="121">
        <v>5</v>
      </c>
      <c r="E81" s="121">
        <v>5</v>
      </c>
      <c r="F81" s="121">
        <v>13</v>
      </c>
      <c r="G81" s="121">
        <v>15</v>
      </c>
      <c r="H81" s="121">
        <v>18</v>
      </c>
      <c r="I81" s="121">
        <v>16</v>
      </c>
      <c r="J81" s="121">
        <v>94</v>
      </c>
      <c r="K81" s="121">
        <v>60</v>
      </c>
      <c r="L81" s="122">
        <v>35</v>
      </c>
      <c r="M81" s="222"/>
    </row>
    <row r="82" spans="1:14">
      <c r="A82" s="42" t="s">
        <v>600</v>
      </c>
      <c r="B82" s="121">
        <f t="shared" si="15"/>
        <v>1625</v>
      </c>
      <c r="C82" s="121"/>
      <c r="D82" s="121">
        <v>17</v>
      </c>
      <c r="E82" s="121">
        <v>16</v>
      </c>
      <c r="F82" s="121">
        <v>89</v>
      </c>
      <c r="G82" s="121">
        <v>95</v>
      </c>
      <c r="H82" s="121">
        <v>110</v>
      </c>
      <c r="I82" s="121">
        <v>100</v>
      </c>
      <c r="J82" s="121">
        <v>624</v>
      </c>
      <c r="K82" s="121">
        <v>372</v>
      </c>
      <c r="L82" s="122">
        <v>202</v>
      </c>
      <c r="M82" s="222"/>
    </row>
    <row r="83" spans="1:14">
      <c r="A83" s="42" t="s">
        <v>601</v>
      </c>
      <c r="B83" s="121">
        <f t="shared" si="15"/>
        <v>249</v>
      </c>
      <c r="C83" s="121"/>
      <c r="D83" s="121">
        <v>5</v>
      </c>
      <c r="E83" s="121">
        <v>5</v>
      </c>
      <c r="F83" s="121">
        <v>13</v>
      </c>
      <c r="G83" s="121">
        <v>15</v>
      </c>
      <c r="H83" s="121">
        <v>18</v>
      </c>
      <c r="I83" s="121">
        <v>16</v>
      </c>
      <c r="J83" s="121">
        <v>88</v>
      </c>
      <c r="K83" s="121">
        <v>56</v>
      </c>
      <c r="L83" s="122">
        <v>33</v>
      </c>
      <c r="M83" s="222"/>
    </row>
    <row r="84" spans="1:14">
      <c r="A84" s="42"/>
      <c r="B84" s="121"/>
      <c r="C84" s="121"/>
      <c r="D84" s="121"/>
      <c r="E84" s="121"/>
      <c r="F84" s="121"/>
      <c r="G84" s="121"/>
      <c r="H84" s="121"/>
      <c r="I84" s="121"/>
      <c r="J84" s="121"/>
      <c r="K84" s="121"/>
      <c r="L84" s="122"/>
      <c r="M84" s="222"/>
    </row>
    <row r="85" spans="1:14">
      <c r="A85" s="123" t="s">
        <v>602</v>
      </c>
      <c r="B85" s="121">
        <f t="shared" si="15"/>
        <v>166885</v>
      </c>
      <c r="C85" s="124" t="s">
        <v>547</v>
      </c>
      <c r="D85" s="121">
        <f>+D73+D67+D61+D56+D43+D37</f>
        <v>2046</v>
      </c>
      <c r="E85" s="121">
        <f t="shared" ref="E85:L85" si="16">+E73+E67+E61+E56+E43+E37</f>
        <v>2049</v>
      </c>
      <c r="F85" s="121">
        <f t="shared" si="16"/>
        <v>8987</v>
      </c>
      <c r="G85" s="121">
        <f t="shared" si="16"/>
        <v>9361</v>
      </c>
      <c r="H85" s="121">
        <f t="shared" si="16"/>
        <v>11451</v>
      </c>
      <c r="I85" s="121">
        <f t="shared" si="16"/>
        <v>10575</v>
      </c>
      <c r="J85" s="121">
        <f t="shared" si="16"/>
        <v>60217</v>
      </c>
      <c r="K85" s="121">
        <f t="shared" si="16"/>
        <v>40157</v>
      </c>
      <c r="L85" s="122">
        <f t="shared" si="16"/>
        <v>22042</v>
      </c>
      <c r="N85" s="125"/>
    </row>
    <row r="86" spans="1:14">
      <c r="A86" s="42"/>
      <c r="B86" s="139"/>
      <c r="C86" s="121"/>
      <c r="D86" s="121"/>
      <c r="E86" s="121"/>
      <c r="F86" s="121"/>
      <c r="G86" s="121"/>
      <c r="H86" s="121"/>
      <c r="I86" s="121"/>
      <c r="J86" s="121"/>
      <c r="K86" s="121"/>
      <c r="L86" s="122"/>
    </row>
    <row r="87" spans="1:14" ht="18.75" customHeight="1">
      <c r="A87" s="129" t="s">
        <v>603</v>
      </c>
      <c r="B87" s="130">
        <f t="shared" si="15"/>
        <v>283366</v>
      </c>
      <c r="C87" s="131" t="s">
        <v>547</v>
      </c>
      <c r="D87" s="130">
        <f t="shared" ref="D87:L87" si="17">+D34+D85</f>
        <v>3504</v>
      </c>
      <c r="E87" s="130">
        <f t="shared" si="17"/>
        <v>3512</v>
      </c>
      <c r="F87" s="130">
        <f t="shared" si="17"/>
        <v>15317</v>
      </c>
      <c r="G87" s="130">
        <f t="shared" si="17"/>
        <v>16045</v>
      </c>
      <c r="H87" s="130">
        <f t="shared" si="17"/>
        <v>19497</v>
      </c>
      <c r="I87" s="130">
        <f t="shared" si="17"/>
        <v>17989</v>
      </c>
      <c r="J87" s="130">
        <f t="shared" si="17"/>
        <v>102195</v>
      </c>
      <c r="K87" s="130">
        <f t="shared" si="17"/>
        <v>68249</v>
      </c>
      <c r="L87" s="132">
        <f t="shared" si="17"/>
        <v>37058</v>
      </c>
      <c r="N87" s="125"/>
    </row>
    <row r="88" spans="1:14">
      <c r="A88" s="213" t="s">
        <v>1581</v>
      </c>
      <c r="B88" s="1077"/>
    </row>
    <row r="89" spans="1:14">
      <c r="B89" s="125"/>
      <c r="D89" s="133"/>
      <c r="E89" s="133"/>
      <c r="F89" s="1400"/>
      <c r="G89" s="133"/>
      <c r="H89" s="133"/>
      <c r="I89" s="133"/>
      <c r="J89" s="133"/>
      <c r="K89" s="133"/>
      <c r="L89" s="133"/>
    </row>
    <row r="90" spans="1:14">
      <c r="B90" s="125"/>
      <c r="D90" s="133"/>
      <c r="E90" s="133"/>
      <c r="F90" s="133"/>
      <c r="G90" s="133"/>
      <c r="H90" s="133"/>
      <c r="I90" s="133"/>
      <c r="J90" s="133"/>
      <c r="K90" s="133"/>
      <c r="L90" s="133"/>
    </row>
    <row r="91" spans="1:14">
      <c r="D91" s="115"/>
      <c r="F91" s="134"/>
      <c r="H91" s="115"/>
      <c r="I91" s="115"/>
    </row>
  </sheetData>
  <phoneticPr fontId="19" type="noConversion"/>
  <pageMargins left="0.98425196850393704" right="0.59055118110236227" top="0.59055118110236227" bottom="0.59055118110236227" header="0.51181102362204722" footer="0.51181102362204722"/>
  <pageSetup paperSize="5" scale="7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1"/>
  <sheetViews>
    <sheetView topLeftCell="A7" zoomScaleNormal="100" workbookViewId="0">
      <pane xSplit="3" ySplit="1" topLeftCell="D74" activePane="bottomRight" state="frozen"/>
      <selection activeCell="A7" sqref="A7"/>
      <selection pane="topRight" activeCell="D7" sqref="D7"/>
      <selection pane="bottomLeft" activeCell="A8" sqref="A8"/>
      <selection pane="bottomRight" activeCell="B89" sqref="B89"/>
    </sheetView>
  </sheetViews>
  <sheetFormatPr baseColWidth="10" defaultRowHeight="13.2"/>
  <cols>
    <col min="1" max="1" width="21.21875" customWidth="1"/>
    <col min="2" max="2" width="9.44140625" customWidth="1"/>
    <col min="3" max="3" width="2.21875" customWidth="1"/>
    <col min="4" max="4" width="8.21875" customWidth="1"/>
    <col min="5" max="5" width="8.77734375" customWidth="1"/>
    <col min="6" max="7" width="9.21875" customWidth="1"/>
    <col min="8" max="10" width="8.77734375" customWidth="1"/>
    <col min="11" max="11" width="9.44140625" customWidth="1"/>
  </cols>
  <sheetData>
    <row r="1" spans="1:12" ht="15.6">
      <c r="A1" s="135" t="s">
        <v>604</v>
      </c>
      <c r="B1" s="113"/>
      <c r="C1" s="113"/>
      <c r="D1" s="113"/>
      <c r="E1" s="113"/>
      <c r="F1" s="113"/>
      <c r="G1" s="113"/>
      <c r="H1" s="113"/>
      <c r="I1" s="113"/>
      <c r="J1" s="113"/>
      <c r="K1" s="113"/>
    </row>
    <row r="2" spans="1:12">
      <c r="A2" s="113"/>
      <c r="B2" s="113"/>
      <c r="C2" s="113"/>
      <c r="D2" s="113"/>
      <c r="E2" s="113"/>
      <c r="F2" s="113"/>
      <c r="G2" s="113"/>
      <c r="H2" s="113"/>
      <c r="I2" s="113"/>
      <c r="J2" s="113"/>
      <c r="K2" s="113"/>
    </row>
    <row r="3" spans="1:12">
      <c r="A3" s="3">
        <f>+'8'!A3</f>
        <v>2020</v>
      </c>
      <c r="B3" s="113"/>
      <c r="C3" s="113"/>
      <c r="D3" s="113"/>
      <c r="E3" s="113"/>
      <c r="F3" s="113"/>
      <c r="G3" s="113"/>
      <c r="H3" s="113"/>
      <c r="I3" s="113"/>
      <c r="J3" s="113"/>
      <c r="K3" s="113"/>
    </row>
    <row r="5" spans="1:12">
      <c r="B5" s="115"/>
      <c r="D5" s="115"/>
      <c r="E5" s="115"/>
      <c r="F5" s="115"/>
      <c r="G5" s="115"/>
      <c r="H5" s="115"/>
      <c r="I5" s="115"/>
      <c r="J5" s="115"/>
      <c r="K5" s="115"/>
    </row>
    <row r="7" spans="1:12" ht="24.75" customHeight="1">
      <c r="A7" s="116" t="s">
        <v>536</v>
      </c>
      <c r="B7" s="117" t="s">
        <v>517</v>
      </c>
      <c r="C7" s="118"/>
      <c r="D7" s="119" t="s">
        <v>605</v>
      </c>
      <c r="E7" s="136" t="s">
        <v>541</v>
      </c>
      <c r="F7" s="118" t="s">
        <v>542</v>
      </c>
      <c r="G7" s="118" t="s">
        <v>543</v>
      </c>
      <c r="H7" s="118" t="s">
        <v>606</v>
      </c>
      <c r="I7" s="118" t="s">
        <v>607</v>
      </c>
      <c r="J7" s="120" t="s">
        <v>545</v>
      </c>
      <c r="K7" s="137" t="s">
        <v>608</v>
      </c>
    </row>
    <row r="8" spans="1:12">
      <c r="A8" s="62"/>
      <c r="B8" s="128"/>
      <c r="C8" s="128"/>
      <c r="D8" s="128"/>
      <c r="E8" s="128"/>
      <c r="F8" s="128"/>
      <c r="G8" s="128"/>
      <c r="H8" s="128"/>
      <c r="I8" s="128"/>
      <c r="J8" s="128"/>
      <c r="K8" s="138"/>
    </row>
    <row r="9" spans="1:12">
      <c r="A9" s="123" t="s">
        <v>546</v>
      </c>
      <c r="B9" s="121">
        <f>SUM(B10:B15)</f>
        <v>34779.044600000001</v>
      </c>
      <c r="C9" s="124" t="s">
        <v>547</v>
      </c>
      <c r="D9" s="121">
        <f t="shared" ref="D9:K9" si="0">SUM(D10:D15)</f>
        <v>4412.7780000000002</v>
      </c>
      <c r="E9" s="121">
        <f t="shared" si="0"/>
        <v>2335.9006999999997</v>
      </c>
      <c r="F9" s="121">
        <f t="shared" si="0"/>
        <v>2187.3580000000002</v>
      </c>
      <c r="G9" s="121">
        <f t="shared" si="0"/>
        <v>12125.235699999999</v>
      </c>
      <c r="H9" s="121">
        <f t="shared" si="0"/>
        <v>2288.913</v>
      </c>
      <c r="I9" s="121">
        <f t="shared" si="0"/>
        <v>6350.9745000000003</v>
      </c>
      <c r="J9" s="121">
        <f t="shared" si="0"/>
        <v>5077.8846999999996</v>
      </c>
      <c r="K9" s="122">
        <f t="shared" si="0"/>
        <v>1144.3920000000001</v>
      </c>
    </row>
    <row r="10" spans="1:12">
      <c r="A10" s="42" t="s">
        <v>1569</v>
      </c>
      <c r="B10" s="121">
        <f t="shared" ref="B10:B15" si="1">SUM(D10:J10)</f>
        <v>16829.896100000002</v>
      </c>
      <c r="C10" s="121"/>
      <c r="D10" s="121">
        <f>+SUM('8'!D10:G10)*0.498</f>
        <v>2070.1860000000001</v>
      </c>
      <c r="E10" s="121">
        <f>+'8'!H10*0.5003</f>
        <v>1106.1632999999999</v>
      </c>
      <c r="F10" s="121">
        <f>+'8'!I10*0.499</f>
        <v>1064.866</v>
      </c>
      <c r="G10" s="121">
        <f>+'8'!J10*0.4923</f>
        <v>5949.9378000000006</v>
      </c>
      <c r="H10" s="121">
        <f>+'8'!K10*0.139</f>
        <v>1101.575</v>
      </c>
      <c r="I10" s="121">
        <f>+'8'!K10*0.3857</f>
        <v>3056.6724999999997</v>
      </c>
      <c r="J10" s="121">
        <f>+'8'!L10*0.5593</f>
        <v>2480.4955</v>
      </c>
      <c r="K10" s="122">
        <f>+'8'!D10*1.35</f>
        <v>521.1</v>
      </c>
      <c r="L10" s="230"/>
    </row>
    <row r="11" spans="1:12">
      <c r="A11" s="42" t="s">
        <v>1412</v>
      </c>
      <c r="B11" s="121">
        <f t="shared" si="1"/>
        <v>10113.324200000001</v>
      </c>
      <c r="C11" s="121"/>
      <c r="D11" s="121">
        <f>+SUM('8'!D11:G11)*0.498</f>
        <v>1227.57</v>
      </c>
      <c r="E11" s="121">
        <f>+'8'!H11*0.5003</f>
        <v>681.40859999999998</v>
      </c>
      <c r="F11" s="121">
        <f>+'8'!I11*0.498</f>
        <v>624.99</v>
      </c>
      <c r="G11" s="121">
        <f>+'8'!J11*0.4923</f>
        <v>3382.1010000000001</v>
      </c>
      <c r="H11" s="121">
        <f>+'8'!K11*0.139</f>
        <v>704.45200000000011</v>
      </c>
      <c r="I11" s="121">
        <f>+'8'!K11*0.3857</f>
        <v>1954.7275999999999</v>
      </c>
      <c r="J11" s="121">
        <f>+'8'!L11*0.5593</f>
        <v>1538.075</v>
      </c>
      <c r="K11" s="122">
        <f>+'8'!D11*1.298</f>
        <v>290.75200000000001</v>
      </c>
    </row>
    <row r="12" spans="1:12">
      <c r="A12" s="42" t="s">
        <v>356</v>
      </c>
      <c r="B12" s="121">
        <f t="shared" si="1"/>
        <v>1854.884</v>
      </c>
      <c r="C12" s="121"/>
      <c r="D12" s="121">
        <f>+SUM('8'!D12:G12)*0.498</f>
        <v>275.892</v>
      </c>
      <c r="E12" s="121">
        <f>+'8'!H12*0.5003</f>
        <v>127.5765</v>
      </c>
      <c r="F12" s="121">
        <f>+'8'!I12*0.498</f>
        <v>108.066</v>
      </c>
      <c r="G12" s="121">
        <f>+'8'!J12*0.4923</f>
        <v>656.72820000000002</v>
      </c>
      <c r="H12" s="121">
        <f>+'8'!K12*0.139</f>
        <v>119.54</v>
      </c>
      <c r="I12" s="121">
        <f>+'8'!K12*0.3856</f>
        <v>331.61599999999999</v>
      </c>
      <c r="J12" s="121">
        <f>+'8'!L12*0.5593</f>
        <v>235.46530000000001</v>
      </c>
      <c r="K12" s="122">
        <f>+'8'!D12*1.34</f>
        <v>68.34</v>
      </c>
    </row>
    <row r="13" spans="1:12">
      <c r="A13" s="42" t="s">
        <v>548</v>
      </c>
      <c r="B13" s="121">
        <f t="shared" si="1"/>
        <v>954.93239999999992</v>
      </c>
      <c r="C13" s="121"/>
      <c r="D13" s="121">
        <f>+SUM('8'!D13:G13)*0.498</f>
        <v>155.874</v>
      </c>
      <c r="E13" s="121">
        <f>+'8'!H13*0.5003</f>
        <v>77.546499999999995</v>
      </c>
      <c r="F13" s="121">
        <f>+'8'!I13*0.498</f>
        <v>65.238</v>
      </c>
      <c r="G13" s="121">
        <f>+'8'!J13*0.4923</f>
        <v>270.27269999999999</v>
      </c>
      <c r="H13" s="121">
        <f>+'8'!K13*0.139</f>
        <v>64.635000000000005</v>
      </c>
      <c r="I13" s="121">
        <f>+'8'!K13*0.3856</f>
        <v>179.304</v>
      </c>
      <c r="J13" s="121">
        <f>+'8'!L13*0.5593</f>
        <v>142.06220000000002</v>
      </c>
      <c r="K13" s="122">
        <v>44</v>
      </c>
      <c r="L13" s="229"/>
    </row>
    <row r="14" spans="1:12">
      <c r="A14" s="42" t="s">
        <v>549</v>
      </c>
      <c r="B14" s="121">
        <f t="shared" si="1"/>
        <v>2990.5553</v>
      </c>
      <c r="C14" s="121"/>
      <c r="D14" s="121">
        <f>+SUM('8'!D14:G14)*0.498</f>
        <v>363.54</v>
      </c>
      <c r="E14" s="121">
        <f>+'8'!H14*0.5003</f>
        <v>185.11099999999999</v>
      </c>
      <c r="F14" s="121">
        <f>+'8'!I14*0.498</f>
        <v>179.28</v>
      </c>
      <c r="G14" s="121">
        <f>+'8'!J14*0.4924</f>
        <v>1157.1400000000001</v>
      </c>
      <c r="H14" s="121">
        <f>+'8'!K14*0.139</f>
        <v>166.8</v>
      </c>
      <c r="I14" s="121">
        <f>+'8'!K14*0.3856</f>
        <v>462.71999999999997</v>
      </c>
      <c r="J14" s="121">
        <f>+'8'!L14*0.5593</f>
        <v>475.96430000000004</v>
      </c>
      <c r="K14" s="122">
        <f>+'8'!D14*1.56</f>
        <v>109.2</v>
      </c>
    </row>
    <row r="15" spans="1:12">
      <c r="A15" s="42" t="s">
        <v>550</v>
      </c>
      <c r="B15" s="121">
        <f t="shared" si="1"/>
        <v>2035.4526000000001</v>
      </c>
      <c r="C15" s="121"/>
      <c r="D15" s="121">
        <f>+SUM('8'!D15:G15)*0.498</f>
        <v>319.71600000000001</v>
      </c>
      <c r="E15" s="121">
        <f>+'8'!H15*0.5003</f>
        <v>158.09479999999999</v>
      </c>
      <c r="F15" s="121">
        <f>+'8'!I15*0.498</f>
        <v>144.91800000000001</v>
      </c>
      <c r="G15" s="121">
        <f>+'8'!J15*0.4924</f>
        <v>709.05600000000004</v>
      </c>
      <c r="H15" s="121">
        <f>+'8'!K15*0.139</f>
        <v>131.911</v>
      </c>
      <c r="I15" s="121">
        <f>+'8'!K15*0.3856</f>
        <v>365.93439999999998</v>
      </c>
      <c r="J15" s="121">
        <f>+'8'!L15*0.5593</f>
        <v>205.82240000000002</v>
      </c>
      <c r="K15" s="122">
        <v>111</v>
      </c>
      <c r="L15" s="229"/>
    </row>
    <row r="16" spans="1:12">
      <c r="A16" s="42"/>
      <c r="B16" s="121"/>
      <c r="C16" s="121"/>
      <c r="D16" s="1040"/>
      <c r="E16" s="1040"/>
      <c r="F16" s="121"/>
      <c r="G16" s="1040"/>
      <c r="H16" s="1040"/>
      <c r="I16" s="1040"/>
      <c r="J16" s="1040"/>
      <c r="K16" s="1041"/>
      <c r="L16" s="229"/>
    </row>
    <row r="17" spans="1:11">
      <c r="A17" s="123" t="s">
        <v>551</v>
      </c>
      <c r="B17" s="121">
        <f>SUM(B18:B23)</f>
        <v>10470.831</v>
      </c>
      <c r="C17" s="124" t="s">
        <v>547</v>
      </c>
      <c r="D17" s="121">
        <f t="shared" ref="D17:K17" si="2">SUM(D18:D23)</f>
        <v>1440.4750000000001</v>
      </c>
      <c r="E17" s="121">
        <f t="shared" si="2"/>
        <v>715.279</v>
      </c>
      <c r="F17" s="121">
        <f t="shared" si="2"/>
        <v>623.58979999999997</v>
      </c>
      <c r="G17" s="121">
        <f t="shared" si="2"/>
        <v>3745.7200000000007</v>
      </c>
      <c r="H17" s="121">
        <f t="shared" si="2"/>
        <v>725.28120000000001</v>
      </c>
      <c r="I17" s="121">
        <f t="shared" si="2"/>
        <v>1841.538</v>
      </c>
      <c r="J17" s="121">
        <f t="shared" si="2"/>
        <v>1378.9480000000001</v>
      </c>
      <c r="K17" s="122">
        <f t="shared" si="2"/>
        <v>425.53999999999996</v>
      </c>
    </row>
    <row r="18" spans="1:11">
      <c r="A18" s="42" t="s">
        <v>552</v>
      </c>
      <c r="B18" s="121">
        <f t="shared" ref="B18:B23" si="3">SUM(D18:J18)</f>
        <v>5982.8149999999996</v>
      </c>
      <c r="C18" s="121"/>
      <c r="D18" s="121">
        <f>+SUM('8'!D18:G18)*0.495</f>
        <v>836.55</v>
      </c>
      <c r="E18" s="121">
        <f>+'8'!H18*0.502</f>
        <v>428.20600000000002</v>
      </c>
      <c r="F18" s="121">
        <f>+'8'!I18*0.4794</f>
        <v>360.98820000000001</v>
      </c>
      <c r="G18" s="121">
        <f>+'8'!J18*0.5138</f>
        <v>2121.9940000000001</v>
      </c>
      <c r="H18" s="121">
        <f>+'8'!K18*0.1428</f>
        <v>413.54880000000003</v>
      </c>
      <c r="I18" s="121">
        <f>+'8'!K18*0.36</f>
        <v>1042.56</v>
      </c>
      <c r="J18" s="121">
        <f>+'8'!L18*0.5235</f>
        <v>778.96799999999996</v>
      </c>
      <c r="K18" s="122">
        <f>+'8'!D18*1.7</f>
        <v>229.5</v>
      </c>
    </row>
    <row r="19" spans="1:11">
      <c r="A19" s="42" t="s">
        <v>553</v>
      </c>
      <c r="B19" s="121">
        <f t="shared" si="3"/>
        <v>856.84120000000007</v>
      </c>
      <c r="C19" s="121"/>
      <c r="D19" s="121">
        <f>+SUM('8'!D19:G19)*0.493</f>
        <v>114.869</v>
      </c>
      <c r="E19" s="121">
        <f>+'8'!H19*0.501</f>
        <v>52.604999999999997</v>
      </c>
      <c r="F19" s="121">
        <f>+'8'!I19*0.4792</f>
        <v>48.3992</v>
      </c>
      <c r="G19" s="121">
        <f>+'8'!J19*0.514</f>
        <v>308.40000000000003</v>
      </c>
      <c r="H19" s="121">
        <f>+'8'!K19*0.1428</f>
        <v>60.690000000000005</v>
      </c>
      <c r="I19" s="121">
        <f>+'8'!K19*0.366</f>
        <v>155.54999999999998</v>
      </c>
      <c r="J19" s="121">
        <f>+'8'!L19*0.524</f>
        <v>116.328</v>
      </c>
      <c r="K19" s="122">
        <f>+'8'!D19*1.69</f>
        <v>37.18</v>
      </c>
    </row>
    <row r="20" spans="1:11">
      <c r="A20" s="42" t="s">
        <v>463</v>
      </c>
      <c r="B20" s="121">
        <f t="shared" si="3"/>
        <v>2109.8832000000002</v>
      </c>
      <c r="C20" s="121"/>
      <c r="D20" s="121">
        <f>+SUM('8'!D20:G20)*0.493</f>
        <v>289.39100000000002</v>
      </c>
      <c r="E20" s="121">
        <f>+'8'!H20*0.501</f>
        <v>144.78899999999999</v>
      </c>
      <c r="F20" s="121">
        <f>+'8'!I20*0.4792</f>
        <v>133.2176</v>
      </c>
      <c r="G20" s="121">
        <f>+'8'!J20*0.514</f>
        <v>749.41200000000003</v>
      </c>
      <c r="H20" s="121">
        <f>+'8'!K20*0.1428</f>
        <v>145.22760000000002</v>
      </c>
      <c r="I20" s="121">
        <f>+'8'!K20*0.366</f>
        <v>372.22199999999998</v>
      </c>
      <c r="J20" s="121">
        <f>+'8'!L20*0.524</f>
        <v>275.62400000000002</v>
      </c>
      <c r="K20" s="122">
        <f>+'8'!D20*1.69</f>
        <v>87.88</v>
      </c>
    </row>
    <row r="21" spans="1:11">
      <c r="A21" s="42" t="s">
        <v>554</v>
      </c>
      <c r="B21" s="121">
        <f t="shared" si="3"/>
        <v>802.13779999999997</v>
      </c>
      <c r="C21" s="121"/>
      <c r="D21" s="121">
        <f>+SUM('8'!D21:G21)*0.493</f>
        <v>111.911</v>
      </c>
      <c r="E21" s="121">
        <f>+'8'!H21*0.501</f>
        <v>51.101999999999997</v>
      </c>
      <c r="F21" s="121">
        <f>+'8'!I21*0.4792</f>
        <v>47.440800000000003</v>
      </c>
      <c r="G21" s="121">
        <f>+'8'!J21*0.514</f>
        <v>295.036</v>
      </c>
      <c r="H21" s="121">
        <f>+'8'!K21*0.1428</f>
        <v>53.550000000000004</v>
      </c>
      <c r="I21" s="121">
        <f>+'8'!K21*0.366</f>
        <v>137.25</v>
      </c>
      <c r="J21" s="121">
        <f>+'8'!L21*0.524</f>
        <v>105.848</v>
      </c>
      <c r="K21" s="122">
        <f>+'8'!D21*1.69</f>
        <v>37.18</v>
      </c>
    </row>
    <row r="22" spans="1:11">
      <c r="A22" s="42" t="s">
        <v>555</v>
      </c>
      <c r="B22" s="121">
        <f t="shared" si="3"/>
        <v>431.96120000000002</v>
      </c>
      <c r="C22" s="121"/>
      <c r="D22" s="121">
        <f>+SUM('8'!D22:G22)*0.493</f>
        <v>57.680999999999997</v>
      </c>
      <c r="E22" s="121">
        <f>+'8'!H22*0.501</f>
        <v>27.555</v>
      </c>
      <c r="F22" s="121">
        <f>+'8'!I22*0.4792</f>
        <v>24.918400000000002</v>
      </c>
      <c r="G22" s="121">
        <f>+'8'!J22*0.514</f>
        <v>154.714</v>
      </c>
      <c r="H22" s="121">
        <f>+'8'!K22*0.1428</f>
        <v>30.130800000000001</v>
      </c>
      <c r="I22" s="121">
        <f>+'8'!K22*0.366</f>
        <v>77.225999999999999</v>
      </c>
      <c r="J22" s="121">
        <f>+'8'!L22*0.524</f>
        <v>59.736000000000004</v>
      </c>
      <c r="K22" s="122">
        <f>+'8'!D22*1.69</f>
        <v>18.59</v>
      </c>
    </row>
    <row r="23" spans="1:11">
      <c r="A23" s="42" t="s">
        <v>556</v>
      </c>
      <c r="B23" s="121">
        <f t="shared" si="3"/>
        <v>287.19259999999997</v>
      </c>
      <c r="C23" s="121"/>
      <c r="D23" s="121">
        <f>+SUM('8'!D23:G23)*0.493</f>
        <v>30.073</v>
      </c>
      <c r="E23" s="121">
        <f>+'8'!H23*0.501</f>
        <v>11.022</v>
      </c>
      <c r="F23" s="121">
        <f>+'8'!I23*0.4792</f>
        <v>8.6256000000000004</v>
      </c>
      <c r="G23" s="121">
        <f>+'8'!J23*0.514</f>
        <v>116.164</v>
      </c>
      <c r="H23" s="121">
        <f>+'8'!K23*0.1428</f>
        <v>22.134</v>
      </c>
      <c r="I23" s="121">
        <f>+'8'!K23*0.366</f>
        <v>56.73</v>
      </c>
      <c r="J23" s="121">
        <f>+'8'!L23*0.524</f>
        <v>42.444000000000003</v>
      </c>
      <c r="K23" s="122">
        <f>+'8'!D23*1.69</f>
        <v>15.209999999999999</v>
      </c>
    </row>
    <row r="24" spans="1:11">
      <c r="A24" s="42"/>
      <c r="B24" s="121"/>
      <c r="C24" s="121"/>
      <c r="D24" s="1040"/>
      <c r="E24" s="1040"/>
      <c r="F24" s="1040"/>
      <c r="G24" s="1040"/>
      <c r="H24" s="1040"/>
      <c r="I24" s="1040"/>
      <c r="J24" s="1040"/>
      <c r="K24" s="121"/>
    </row>
    <row r="25" spans="1:11">
      <c r="A25" s="123" t="s">
        <v>557</v>
      </c>
      <c r="B25" s="121">
        <f>SUM(B26:B27)</f>
        <v>8363.6427999999996</v>
      </c>
      <c r="C25" s="124" t="s">
        <v>547</v>
      </c>
      <c r="D25" s="121">
        <f t="shared" ref="D25:K25" si="4">SUM(D26:D27)</f>
        <v>1222.2064</v>
      </c>
      <c r="E25" s="121">
        <f t="shared" si="4"/>
        <v>569.5154</v>
      </c>
      <c r="F25" s="121">
        <f t="shared" si="4"/>
        <v>501.30719999999997</v>
      </c>
      <c r="G25" s="121">
        <f t="shared" si="4"/>
        <v>3052.2251999999999</v>
      </c>
      <c r="H25" s="121">
        <f t="shared" si="4"/>
        <v>568.66810000000009</v>
      </c>
      <c r="I25" s="121">
        <f t="shared" si="4"/>
        <v>1423.4831000000001</v>
      </c>
      <c r="J25" s="121">
        <f t="shared" si="4"/>
        <v>1026.2374</v>
      </c>
      <c r="K25" s="122">
        <f t="shared" si="4"/>
        <v>411.18</v>
      </c>
    </row>
    <row r="26" spans="1:11">
      <c r="A26" s="42" t="s">
        <v>558</v>
      </c>
      <c r="B26" s="121">
        <f>SUM(D26:J26)</f>
        <v>7052.9928</v>
      </c>
      <c r="C26" s="121"/>
      <c r="D26" s="121">
        <f>+SUM('8'!D26:G26)*0.4975</f>
        <v>1006.4425</v>
      </c>
      <c r="E26" s="121">
        <f>+'8'!H26*0.4987</f>
        <v>469.27670000000001</v>
      </c>
      <c r="F26" s="121">
        <f>+'8'!I26*0.484</f>
        <v>430.76</v>
      </c>
      <c r="G26" s="121">
        <f>+'8'!J26*0.5113</f>
        <v>2650.5791999999997</v>
      </c>
      <c r="H26" s="121">
        <f>+'8'!K26*0.1463</f>
        <v>475.47500000000002</v>
      </c>
      <c r="I26" s="121">
        <f>+'8'!K26*0.3662</f>
        <v>1190.1500000000001</v>
      </c>
      <c r="J26" s="121">
        <f>+'8'!L26*0.5154</f>
        <v>830.30939999999998</v>
      </c>
      <c r="K26" s="122">
        <f>+'8'!D26*1.78</f>
        <v>359.56</v>
      </c>
    </row>
    <row r="27" spans="1:11">
      <c r="A27" s="42" t="s">
        <v>559</v>
      </c>
      <c r="B27" s="121">
        <f>SUM(D27:J27)</f>
        <v>1310.6499999999999</v>
      </c>
      <c r="C27" s="121"/>
      <c r="D27" s="121">
        <f>+SUM('8'!D27:G27)*0.4983</f>
        <v>215.76390000000001</v>
      </c>
      <c r="E27" s="121">
        <f>+'8'!H27*0.4987</f>
        <v>100.23869999999999</v>
      </c>
      <c r="F27" s="121">
        <f>+'8'!I27*0.4832</f>
        <v>70.547200000000004</v>
      </c>
      <c r="G27" s="121">
        <f>+'8'!J27*0.511</f>
        <v>401.64600000000002</v>
      </c>
      <c r="H27" s="121">
        <f>+'8'!K27*0.1463</f>
        <v>93.193100000000015</v>
      </c>
      <c r="I27" s="121">
        <f>+'8'!K27*0.3663</f>
        <v>233.3331</v>
      </c>
      <c r="J27" s="121">
        <f>+'8'!L27*0.5156</f>
        <v>195.92799999999997</v>
      </c>
      <c r="K27" s="122">
        <f>+'8'!D27*1.78</f>
        <v>51.62</v>
      </c>
    </row>
    <row r="28" spans="1:11">
      <c r="A28" s="42"/>
      <c r="B28" s="121"/>
      <c r="C28" s="121"/>
      <c r="D28" s="121"/>
      <c r="E28" s="121"/>
      <c r="F28" s="121"/>
      <c r="G28" s="121"/>
      <c r="H28" s="121"/>
      <c r="I28" s="121"/>
      <c r="J28" s="121"/>
      <c r="K28" s="122"/>
    </row>
    <row r="29" spans="1:11">
      <c r="A29" s="123" t="s">
        <v>560</v>
      </c>
      <c r="B29" s="121">
        <f>SUM(B30:B32)</f>
        <v>5670.2780000000002</v>
      </c>
      <c r="C29" s="124" t="s">
        <v>547</v>
      </c>
      <c r="D29" s="121">
        <f t="shared" ref="D29:K29" si="5">SUM(D30:D32)</f>
        <v>814.88429999999994</v>
      </c>
      <c r="E29" s="121">
        <f t="shared" si="5"/>
        <v>401.66849999999994</v>
      </c>
      <c r="F29" s="121">
        <f t="shared" si="5"/>
        <v>333.06259999999997</v>
      </c>
      <c r="G29" s="121">
        <f t="shared" si="5"/>
        <v>2112.0389999999998</v>
      </c>
      <c r="H29" s="121">
        <f t="shared" si="5"/>
        <v>404.16799999999995</v>
      </c>
      <c r="I29" s="121">
        <f t="shared" si="5"/>
        <v>912.03700000000015</v>
      </c>
      <c r="J29" s="121">
        <f t="shared" si="5"/>
        <v>692.41859999999997</v>
      </c>
      <c r="K29" s="122">
        <f t="shared" si="5"/>
        <v>218.06</v>
      </c>
    </row>
    <row r="30" spans="1:11">
      <c r="A30" s="42" t="s">
        <v>561</v>
      </c>
      <c r="B30" s="121">
        <f>SUM(D30:J30)</f>
        <v>4492.6032999999998</v>
      </c>
      <c r="C30" s="121"/>
      <c r="D30" s="121">
        <f>+SUM('8'!D30:G30)*0.4785</f>
        <v>648.846</v>
      </c>
      <c r="E30" s="121">
        <f>+'8'!H30*0.4965</f>
        <v>326.20049999999998</v>
      </c>
      <c r="F30" s="121">
        <f>+'8'!I30*0.4834</f>
        <v>264.41980000000001</v>
      </c>
      <c r="G30" s="121">
        <f>+'8'!J30*0.5165</f>
        <v>1651.7669999999998</v>
      </c>
      <c r="H30" s="121">
        <f>+'8'!K30*0.152</f>
        <v>325.73599999999999</v>
      </c>
      <c r="I30" s="121">
        <f>+'8'!K30*0.343</f>
        <v>735.04900000000009</v>
      </c>
      <c r="J30" s="121">
        <f>+'8'!L30*0.5274</f>
        <v>540.58499999999992</v>
      </c>
      <c r="K30" s="122">
        <f>+'8'!D30*1.505</f>
        <v>168.56</v>
      </c>
    </row>
    <row r="31" spans="1:11">
      <c r="A31" s="42" t="s">
        <v>562</v>
      </c>
      <c r="B31" s="121">
        <f>SUM(D31:J31)</f>
        <v>669.96630000000005</v>
      </c>
      <c r="C31" s="121"/>
      <c r="D31" s="121">
        <f>+SUM('8'!D31:G31)*0.4782</f>
        <v>95.64</v>
      </c>
      <c r="E31" s="121">
        <f>+'8'!H31*0.4965</f>
        <v>44.188499999999998</v>
      </c>
      <c r="F31" s="121">
        <f>+'8'!I31*0.4834</f>
        <v>40.605600000000003</v>
      </c>
      <c r="G31" s="121">
        <f>+'8'!J31*0.516</f>
        <v>253.35599999999999</v>
      </c>
      <c r="H31" s="121">
        <f>+'8'!K31*0.152</f>
        <v>44.839999999999996</v>
      </c>
      <c r="I31" s="121">
        <f>+'8'!K31*0.343</f>
        <v>101.185</v>
      </c>
      <c r="J31" s="121">
        <f>+'8'!L31*0.5272</f>
        <v>90.151200000000003</v>
      </c>
      <c r="K31" s="122">
        <f>+'8'!D31*1.5</f>
        <v>27</v>
      </c>
    </row>
    <row r="32" spans="1:11">
      <c r="A32" s="42" t="s">
        <v>563</v>
      </c>
      <c r="B32" s="121">
        <f>SUM(D32:J32)</f>
        <v>507.70839999999998</v>
      </c>
      <c r="C32" s="121"/>
      <c r="D32" s="121">
        <f>+SUM('8'!D32:G32)*0.4789</f>
        <v>70.398299999999992</v>
      </c>
      <c r="E32" s="121">
        <f>+'8'!H32*0.4965</f>
        <v>31.279499999999999</v>
      </c>
      <c r="F32" s="121">
        <f>+'8'!I32*0.4834</f>
        <v>28.037199999999999</v>
      </c>
      <c r="G32" s="121">
        <f>+'8'!J32*0.516</f>
        <v>206.916</v>
      </c>
      <c r="H32" s="121">
        <f>+'8'!K32*0.152</f>
        <v>33.591999999999999</v>
      </c>
      <c r="I32" s="121">
        <f>+'8'!K32*0.343</f>
        <v>75.803000000000011</v>
      </c>
      <c r="J32" s="121">
        <f>+'8'!L32*0.5272</f>
        <v>61.682400000000001</v>
      </c>
      <c r="K32" s="122">
        <f>+'8'!D32*1.5</f>
        <v>22.5</v>
      </c>
    </row>
    <row r="33" spans="1:12">
      <c r="A33" s="42"/>
      <c r="B33" s="121"/>
      <c r="C33" s="121"/>
      <c r="D33" s="121"/>
      <c r="E33" s="121"/>
      <c r="F33" s="121"/>
      <c r="G33" s="121"/>
      <c r="H33" s="121"/>
      <c r="I33" s="121"/>
      <c r="J33" s="121"/>
      <c r="K33" s="122"/>
    </row>
    <row r="34" spans="1:12">
      <c r="A34" s="123" t="s">
        <v>564</v>
      </c>
      <c r="B34" s="121">
        <f>SUM(D34:J34)</f>
        <v>59283.796399999999</v>
      </c>
      <c r="C34" s="124" t="s">
        <v>547</v>
      </c>
      <c r="D34" s="121">
        <f t="shared" ref="D34:K34" si="6">+D29+D25+D17+D9</f>
        <v>7890.3437000000004</v>
      </c>
      <c r="E34" s="121">
        <f t="shared" si="6"/>
        <v>4022.3635999999997</v>
      </c>
      <c r="F34" s="121">
        <f t="shared" si="6"/>
        <v>3645.3176000000003</v>
      </c>
      <c r="G34" s="121">
        <f t="shared" si="6"/>
        <v>21035.2199</v>
      </c>
      <c r="H34" s="121">
        <f t="shared" si="6"/>
        <v>3987.0302999999999</v>
      </c>
      <c r="I34" s="121">
        <f t="shared" si="6"/>
        <v>10528.0326</v>
      </c>
      <c r="J34" s="121">
        <f t="shared" si="6"/>
        <v>8175.4886999999999</v>
      </c>
      <c r="K34" s="122">
        <f t="shared" si="6"/>
        <v>2199.172</v>
      </c>
    </row>
    <row r="35" spans="1:12">
      <c r="A35" s="42"/>
      <c r="B35" s="121"/>
      <c r="C35" s="121"/>
      <c r="D35" s="121"/>
      <c r="E35" s="121"/>
      <c r="F35" s="121"/>
      <c r="G35" s="121"/>
      <c r="H35" s="121"/>
      <c r="I35" s="121"/>
      <c r="J35" s="121"/>
      <c r="K35" s="122"/>
    </row>
    <row r="36" spans="1:12">
      <c r="A36" s="42"/>
      <c r="B36" s="139"/>
      <c r="C36" s="121"/>
      <c r="D36" s="121"/>
      <c r="E36" s="121"/>
      <c r="F36" s="121"/>
      <c r="G36" s="121"/>
      <c r="H36" s="121"/>
      <c r="I36" s="121"/>
      <c r="J36" s="121"/>
      <c r="K36" s="122"/>
    </row>
    <row r="37" spans="1:12">
      <c r="A37" s="123" t="s">
        <v>434</v>
      </c>
      <c r="B37" s="121">
        <f>SUM(B38:B41)</f>
        <v>42648.274999999994</v>
      </c>
      <c r="C37" s="124" t="s">
        <v>547</v>
      </c>
      <c r="D37" s="121">
        <f t="shared" ref="D37:K37" si="7">SUM(D38:D41)</f>
        <v>5554.8659999999991</v>
      </c>
      <c r="E37" s="121">
        <f t="shared" si="7"/>
        <v>2952.23</v>
      </c>
      <c r="F37" s="121">
        <f t="shared" si="7"/>
        <v>2620.7750000000001</v>
      </c>
      <c r="G37" s="121">
        <f t="shared" si="7"/>
        <v>15459.983</v>
      </c>
      <c r="H37" s="121">
        <f t="shared" si="7"/>
        <v>2578.9544000000001</v>
      </c>
      <c r="I37" s="121">
        <f t="shared" si="7"/>
        <v>7554.3600000000006</v>
      </c>
      <c r="J37" s="121">
        <f t="shared" si="7"/>
        <v>5927.1065999999992</v>
      </c>
      <c r="K37" s="122">
        <f t="shared" si="7"/>
        <v>1493.68</v>
      </c>
    </row>
    <row r="38" spans="1:12">
      <c r="A38" s="42" t="s">
        <v>565</v>
      </c>
      <c r="B38" s="121">
        <f>SUM(D38:J38)</f>
        <v>17820.797599999998</v>
      </c>
      <c r="C38" s="121"/>
      <c r="D38" s="121">
        <f>+SUM('8'!D38:G38)*0.4892</f>
        <v>2317.3404</v>
      </c>
      <c r="E38" s="121">
        <f>+'8'!H38*0.505</f>
        <v>1210.4849999999999</v>
      </c>
      <c r="F38" s="121">
        <f>+'8'!I38*0.49</f>
        <v>1068.2</v>
      </c>
      <c r="G38" s="121">
        <f>+'8'!J38*0.4979</f>
        <v>6481.6621999999998</v>
      </c>
      <c r="H38" s="121">
        <f>+'8'!K38*0.1324</f>
        <v>1086.4743999999998</v>
      </c>
      <c r="I38" s="121">
        <f>+'8'!K38*0.388</f>
        <v>3183.9279999999999</v>
      </c>
      <c r="J38" s="121">
        <f>+'8'!L38*0.5687</f>
        <v>2472.7075999999997</v>
      </c>
      <c r="K38" s="122">
        <f>+'8'!D38*1.44</f>
        <v>633.6</v>
      </c>
    </row>
    <row r="39" spans="1:12">
      <c r="A39" s="42" t="s">
        <v>659</v>
      </c>
      <c r="B39" s="121">
        <f>SUM(D39:J39)</f>
        <v>18981.9637</v>
      </c>
      <c r="C39" s="121"/>
      <c r="D39" s="121">
        <f>+SUM('8'!D39:G39)*0.4892</f>
        <v>2431.3240000000001</v>
      </c>
      <c r="E39" s="121">
        <f>+'8'!H39*0.505</f>
        <v>1339.26</v>
      </c>
      <c r="F39" s="121">
        <f>+'8'!I39*0.49</f>
        <v>1198.05</v>
      </c>
      <c r="G39" s="121">
        <f>+'8'!J39*0.4978</f>
        <v>6831.8072000000002</v>
      </c>
      <c r="H39" s="121">
        <f>+'8'!K39*0.1325</f>
        <v>1156.0625</v>
      </c>
      <c r="I39" s="121">
        <f>+'8'!K39*0.388</f>
        <v>3385.3</v>
      </c>
      <c r="J39" s="121">
        <f>+'8'!L39*0.569</f>
        <v>2640.16</v>
      </c>
      <c r="K39" s="122">
        <f>+'8'!D39*1.44</f>
        <v>662.4</v>
      </c>
    </row>
    <row r="40" spans="1:12">
      <c r="A40" s="42" t="s">
        <v>566</v>
      </c>
      <c r="B40" s="121">
        <f>SUM(D40:J40)</f>
        <v>3875.4528</v>
      </c>
      <c r="C40" s="121"/>
      <c r="D40" s="121">
        <f>+SUM('8'!D40:G40)*0.4892</f>
        <v>542.52280000000007</v>
      </c>
      <c r="E40" s="121">
        <f>+'8'!H40*0.505</f>
        <v>267.64999999999998</v>
      </c>
      <c r="F40" s="121">
        <f>+'8'!I40*0.489</f>
        <v>239.60999999999999</v>
      </c>
      <c r="G40" s="121">
        <f>+'8'!J40*0.4978</f>
        <v>1418.73</v>
      </c>
      <c r="H40" s="121">
        <f>+'8'!K40*0.1325</f>
        <v>221.27500000000001</v>
      </c>
      <c r="I40" s="121">
        <f>+'8'!K40*0.388</f>
        <v>647.96</v>
      </c>
      <c r="J40" s="121">
        <f>+'8'!L40*0.569</f>
        <v>537.70499999999993</v>
      </c>
      <c r="K40" s="122">
        <f>+'8'!D40*1.51</f>
        <v>132.88</v>
      </c>
    </row>
    <row r="41" spans="1:12">
      <c r="A41" s="42" t="s">
        <v>357</v>
      </c>
      <c r="B41" s="121">
        <f>SUM(D41:J41)</f>
        <v>1970.0608999999999</v>
      </c>
      <c r="C41" s="121"/>
      <c r="D41" s="121">
        <f>+SUM('8'!D41:G41)*0.4892</f>
        <v>263.67880000000002</v>
      </c>
      <c r="E41" s="121">
        <f>+'8'!H41*0.505</f>
        <v>134.83500000000001</v>
      </c>
      <c r="F41" s="121">
        <f>+'8'!I41*0.489</f>
        <v>114.91499999999999</v>
      </c>
      <c r="G41" s="121">
        <f>+'8'!J41*0.4978</f>
        <v>727.78359999999998</v>
      </c>
      <c r="H41" s="121">
        <f>+'8'!K41*0.1325</f>
        <v>115.14250000000001</v>
      </c>
      <c r="I41" s="121">
        <f>+'8'!K41*0.388</f>
        <v>337.17200000000003</v>
      </c>
      <c r="J41" s="121">
        <f>+'8'!L41*0.569</f>
        <v>276.53399999999999</v>
      </c>
      <c r="K41" s="122">
        <f>+'8'!D41*1.44</f>
        <v>64.8</v>
      </c>
    </row>
    <row r="42" spans="1:12">
      <c r="A42" s="42"/>
      <c r="B42" s="121"/>
      <c r="C42" s="121"/>
      <c r="D42" s="121"/>
      <c r="E42" s="121"/>
      <c r="F42" s="121"/>
      <c r="G42" s="121"/>
      <c r="H42" s="121"/>
      <c r="I42" s="121"/>
      <c r="J42" s="121"/>
      <c r="K42" s="122"/>
      <c r="L42" s="115"/>
    </row>
    <row r="43" spans="1:12">
      <c r="A43" s="123" t="s">
        <v>567</v>
      </c>
      <c r="B43" s="121">
        <f>SUM(B44:B54)</f>
        <v>8919.2469999999994</v>
      </c>
      <c r="C43" s="124" t="s">
        <v>547</v>
      </c>
      <c r="D43" s="121">
        <f t="shared" ref="D43:K43" si="8">SUM(D44:D54)</f>
        <v>1121.8430000000001</v>
      </c>
      <c r="E43" s="121">
        <f t="shared" si="8"/>
        <v>555.14800000000002</v>
      </c>
      <c r="F43" s="121">
        <f t="shared" si="8"/>
        <v>537.75799999999992</v>
      </c>
      <c r="G43" s="121">
        <f t="shared" si="8"/>
        <v>2961.6579999999999</v>
      </c>
      <c r="H43" s="121">
        <f t="shared" si="8"/>
        <v>568.55700000000002</v>
      </c>
      <c r="I43" s="121">
        <f t="shared" si="8"/>
        <v>1637.9759999999999</v>
      </c>
      <c r="J43" s="121">
        <f t="shared" si="8"/>
        <v>1536.307</v>
      </c>
      <c r="K43" s="122">
        <f t="shared" si="8"/>
        <v>331.80000000000007</v>
      </c>
    </row>
    <row r="44" spans="1:12">
      <c r="A44" s="42" t="s">
        <v>568</v>
      </c>
      <c r="B44" s="121">
        <f>SUM(D44:J44)</f>
        <v>2892.1859999999997</v>
      </c>
      <c r="C44" s="121"/>
      <c r="D44" s="121">
        <f>+SUM('8'!D44:G44)*0.502</f>
        <v>303.70999999999998</v>
      </c>
      <c r="E44" s="121">
        <f>+'8'!H44*0.484</f>
        <v>173.27199999999999</v>
      </c>
      <c r="F44" s="121">
        <f>+'8'!I44*0.481</f>
        <v>165.464</v>
      </c>
      <c r="G44" s="121">
        <f>+'8'!J44*0.503</f>
        <v>944.13099999999997</v>
      </c>
      <c r="H44" s="121">
        <f>+'8'!K44*0.128</f>
        <v>191.232</v>
      </c>
      <c r="I44" s="121">
        <f>+'8'!K44*0.369</f>
        <v>551.28599999999994</v>
      </c>
      <c r="J44" s="121">
        <f>+'8'!L44*0.543</f>
        <v>563.09100000000001</v>
      </c>
      <c r="K44" s="122">
        <f>+'8'!D44*1.56</f>
        <v>92.04</v>
      </c>
    </row>
    <row r="45" spans="1:12">
      <c r="A45" s="42" t="s">
        <v>569</v>
      </c>
      <c r="B45" s="121">
        <f>SUM(D45:J45)</f>
        <v>1266.8939999999998</v>
      </c>
      <c r="C45" s="121"/>
      <c r="D45" s="121">
        <f>+SUM('8'!D45:G45)*0.501</f>
        <v>160.32</v>
      </c>
      <c r="E45" s="121">
        <f>+'8'!H45*0.484</f>
        <v>75.02</v>
      </c>
      <c r="F45" s="121">
        <f>+'8'!I45*0.481</f>
        <v>72.149999999999991</v>
      </c>
      <c r="G45" s="121">
        <f>+'8'!J45*0.503</f>
        <v>434.59199999999998</v>
      </c>
      <c r="H45" s="121">
        <f>+'8'!K45*0.128</f>
        <v>80.64</v>
      </c>
      <c r="I45" s="121">
        <f>+'8'!K45*0.37</f>
        <v>233.1</v>
      </c>
      <c r="J45" s="121">
        <f>+'8'!L45*0.544</f>
        <v>211.072</v>
      </c>
      <c r="K45" s="122">
        <f>+'8'!D45*1.56</f>
        <v>39</v>
      </c>
    </row>
    <row r="46" spans="1:12">
      <c r="A46" s="42" t="s">
        <v>570</v>
      </c>
      <c r="B46" s="121">
        <f>SUM(D46:J46)</f>
        <v>695.69799999999998</v>
      </c>
      <c r="C46" s="121"/>
      <c r="D46" s="121">
        <f>+SUM('8'!D46:G46)*0.501</f>
        <v>79.659000000000006</v>
      </c>
      <c r="E46" s="121">
        <f>+'8'!H46*0.484</f>
        <v>43.56</v>
      </c>
      <c r="F46" s="121">
        <f>+'8'!I46*0.481</f>
        <v>42.327999999999996</v>
      </c>
      <c r="G46" s="121">
        <f>+'8'!J46*0.503</f>
        <v>233.89500000000001</v>
      </c>
      <c r="H46" s="121">
        <f>+'8'!K46*0.128</f>
        <v>43.008000000000003</v>
      </c>
      <c r="I46" s="121">
        <f>+'8'!K46*0.37</f>
        <v>124.32</v>
      </c>
      <c r="J46" s="121">
        <f>+'8'!L46*0.544</f>
        <v>128.928</v>
      </c>
      <c r="K46" s="122">
        <f>+'8'!D46*1.56</f>
        <v>29.64</v>
      </c>
    </row>
    <row r="47" spans="1:12">
      <c r="A47" s="42" t="s">
        <v>571</v>
      </c>
      <c r="B47" s="121">
        <f>SUM(D47:J47)</f>
        <v>632.83199999999999</v>
      </c>
      <c r="C47" s="121"/>
      <c r="D47" s="121">
        <f>+SUM('8'!D47:G47)*0.501</f>
        <v>93.186000000000007</v>
      </c>
      <c r="E47" s="121">
        <f>+'8'!H47*0.484</f>
        <v>40.171999999999997</v>
      </c>
      <c r="F47" s="121">
        <f>+'8'!I47*0.481</f>
        <v>39.923000000000002</v>
      </c>
      <c r="G47" s="121">
        <f>+'8'!J47*0.503</f>
        <v>208.745</v>
      </c>
      <c r="H47" s="121">
        <f>+'8'!K47*0.128</f>
        <v>39.295999999999999</v>
      </c>
      <c r="I47" s="121">
        <f>+'8'!K47*0.37</f>
        <v>113.59</v>
      </c>
      <c r="J47" s="121">
        <f>+'8'!L47*0.544</f>
        <v>97.92</v>
      </c>
      <c r="K47" s="122">
        <f>+'8'!D47*1.56</f>
        <v>23.400000000000002</v>
      </c>
    </row>
    <row r="48" spans="1:12">
      <c r="A48" s="42" t="s">
        <v>572</v>
      </c>
      <c r="B48" s="121">
        <f t="shared" ref="B48:B53" si="9">SUM(D48:J48)</f>
        <v>558.19799999999998</v>
      </c>
      <c r="C48" s="121"/>
      <c r="D48" s="121">
        <f>+SUM('8'!D48:G48)*0.501</f>
        <v>74.147999999999996</v>
      </c>
      <c r="E48" s="121">
        <f>+'8'!H48*0.484</f>
        <v>37.751999999999995</v>
      </c>
      <c r="F48" s="121">
        <f>+'8'!I48*0.481</f>
        <v>36.074999999999996</v>
      </c>
      <c r="G48" s="121">
        <f>+'8'!J48*0.503</f>
        <v>184.601</v>
      </c>
      <c r="H48" s="121">
        <f>+'8'!K48*0.128</f>
        <v>35.200000000000003</v>
      </c>
      <c r="I48" s="121">
        <f>+'8'!K48*0.37</f>
        <v>101.75</v>
      </c>
      <c r="J48" s="121">
        <f>+'8'!L48*0.544</f>
        <v>88.672000000000011</v>
      </c>
      <c r="K48" s="122">
        <f>+'8'!D48*1.56</f>
        <v>23.400000000000002</v>
      </c>
    </row>
    <row r="49" spans="1:13">
      <c r="A49" s="42" t="s">
        <v>573</v>
      </c>
      <c r="B49" s="121">
        <f t="shared" si="9"/>
        <v>579.45600000000002</v>
      </c>
      <c r="C49" s="121"/>
      <c r="D49" s="121">
        <f>+SUM('8'!D49:G49)*0.501</f>
        <v>87.674999999999997</v>
      </c>
      <c r="E49" s="121">
        <f>+'8'!H49*0.484</f>
        <v>39.688000000000002</v>
      </c>
      <c r="F49" s="121">
        <f>+'8'!I49*0.481</f>
        <v>39.442</v>
      </c>
      <c r="G49" s="121">
        <f>+'8'!J49*0.503</f>
        <v>198.18199999999999</v>
      </c>
      <c r="H49" s="121">
        <f>+'8'!K49*0.129</f>
        <v>33.927</v>
      </c>
      <c r="I49" s="121">
        <f>+'8'!K49*0.37</f>
        <v>97.31</v>
      </c>
      <c r="J49" s="121">
        <f>+'8'!L49*0.544</f>
        <v>83.231999999999999</v>
      </c>
      <c r="K49" s="122">
        <f>+'8'!D49*1.56</f>
        <v>23.400000000000002</v>
      </c>
    </row>
    <row r="50" spans="1:13">
      <c r="A50" s="42" t="s">
        <v>574</v>
      </c>
      <c r="B50" s="121">
        <f t="shared" si="9"/>
        <v>681.10400000000004</v>
      </c>
      <c r="C50" s="121"/>
      <c r="D50" s="121">
        <f>+SUM('8'!D50:G50)*0.501</f>
        <v>90.680999999999997</v>
      </c>
      <c r="E50" s="121">
        <f>+'8'!H50*0.484</f>
        <v>43.56</v>
      </c>
      <c r="F50" s="121">
        <f>+'8'!I50*0.481</f>
        <v>41.847000000000001</v>
      </c>
      <c r="G50" s="121">
        <f>+'8'!J50*0.504</f>
        <v>229.82400000000001</v>
      </c>
      <c r="H50" s="121">
        <f>+'8'!K50*0.129</f>
        <v>42.311999999999998</v>
      </c>
      <c r="I50" s="121">
        <f>+'8'!K50*0.37</f>
        <v>121.36</v>
      </c>
      <c r="J50" s="121">
        <f>+'8'!L50*0.544</f>
        <v>111.52000000000001</v>
      </c>
      <c r="K50" s="122">
        <f>+'8'!D50*1.56</f>
        <v>26.52</v>
      </c>
    </row>
    <row r="51" spans="1:13">
      <c r="A51" s="42" t="s">
        <v>575</v>
      </c>
      <c r="B51" s="121">
        <f t="shared" si="9"/>
        <v>602.9140000000001</v>
      </c>
      <c r="C51" s="121"/>
      <c r="D51" s="121">
        <f>+SUM('8'!D51:G51)*0.501</f>
        <v>81.662999999999997</v>
      </c>
      <c r="E51" s="121">
        <f>+'8'!H51*0.484</f>
        <v>38.72</v>
      </c>
      <c r="F51" s="121">
        <f>+'8'!I51*0.481</f>
        <v>37.518000000000001</v>
      </c>
      <c r="G51" s="121">
        <f>+'8'!J51*0.504</f>
        <v>202.608</v>
      </c>
      <c r="H51" s="121">
        <f>+'8'!K51*0.129</f>
        <v>38.055</v>
      </c>
      <c r="I51" s="121">
        <f>+'8'!K51*0.37</f>
        <v>109.15</v>
      </c>
      <c r="J51" s="121">
        <f>+'8'!L51*0.544</f>
        <v>95.2</v>
      </c>
      <c r="K51" s="122">
        <f>+'8'!D51*1.55</f>
        <v>26.35</v>
      </c>
    </row>
    <row r="52" spans="1:13">
      <c r="A52" s="42" t="s">
        <v>576</v>
      </c>
      <c r="B52" s="121">
        <f t="shared" si="9"/>
        <v>658.10599999999999</v>
      </c>
      <c r="C52" s="121"/>
      <c r="D52" s="121">
        <f>+SUM('8'!D52:G52)*0.501</f>
        <v>90.680999999999997</v>
      </c>
      <c r="E52" s="121">
        <f>+'8'!H52*0.484</f>
        <v>41.623999999999995</v>
      </c>
      <c r="F52" s="121">
        <f>+'8'!I52*0.481</f>
        <v>41.366</v>
      </c>
      <c r="G52" s="121">
        <f>+'8'!J52*0.504</f>
        <v>216.72</v>
      </c>
      <c r="H52" s="121">
        <f>+'8'!K52*0.129</f>
        <v>43.472999999999999</v>
      </c>
      <c r="I52" s="121">
        <f>+'8'!K52*0.37</f>
        <v>124.69</v>
      </c>
      <c r="J52" s="121">
        <f>+'8'!L52*0.544</f>
        <v>99.552000000000007</v>
      </c>
      <c r="K52" s="122">
        <f>+'8'!D52*1.55</f>
        <v>29.45</v>
      </c>
    </row>
    <row r="53" spans="1:13">
      <c r="A53" s="42" t="s">
        <v>577</v>
      </c>
      <c r="B53" s="121">
        <f t="shared" si="9"/>
        <v>162.87200000000001</v>
      </c>
      <c r="C53" s="121"/>
      <c r="D53" s="121">
        <f>+SUM('8'!D53:G53)*0.501</f>
        <v>27.555</v>
      </c>
      <c r="E53" s="121">
        <f>+'8'!H53*0.484</f>
        <v>10.648</v>
      </c>
      <c r="F53" s="121">
        <f>+'8'!I53*0.481</f>
        <v>10.581999999999999</v>
      </c>
      <c r="G53" s="121">
        <f>+'8'!J53*0.504</f>
        <v>47.375999999999998</v>
      </c>
      <c r="H53" s="121">
        <f>+'8'!K53*0.129</f>
        <v>9.9329999999999998</v>
      </c>
      <c r="I53" s="121">
        <f>+'8'!K53*0.37</f>
        <v>28.49</v>
      </c>
      <c r="J53" s="121">
        <f>+'8'!L53*0.544</f>
        <v>28.288000000000004</v>
      </c>
      <c r="K53" s="122">
        <f>+'8'!D53*1.55</f>
        <v>9.3000000000000007</v>
      </c>
    </row>
    <row r="54" spans="1:13">
      <c r="A54" s="42" t="s">
        <v>578</v>
      </c>
      <c r="B54" s="121">
        <f>SUM(D54:J54)</f>
        <v>188.98699999999999</v>
      </c>
      <c r="C54" s="121"/>
      <c r="D54" s="121">
        <f>+SUM('8'!D54:G54)*0.501</f>
        <v>32.564999999999998</v>
      </c>
      <c r="E54" s="121">
        <f>+'8'!H54*0.484</f>
        <v>11.132</v>
      </c>
      <c r="F54" s="121">
        <f>+'8'!I54*0.481</f>
        <v>11.062999999999999</v>
      </c>
      <c r="G54" s="121">
        <f>+'8'!J54*0.504</f>
        <v>60.984000000000002</v>
      </c>
      <c r="H54" s="121">
        <f>+'8'!K54*0.129</f>
        <v>11.481</v>
      </c>
      <c r="I54" s="121">
        <f>+'8'!K54*0.37</f>
        <v>32.93</v>
      </c>
      <c r="J54" s="121">
        <f>+'8'!L54*0.544</f>
        <v>28.832000000000001</v>
      </c>
      <c r="K54" s="122">
        <f>+'8'!D54*1.55</f>
        <v>9.3000000000000007</v>
      </c>
    </row>
    <row r="55" spans="1:13">
      <c r="A55" s="42"/>
      <c r="B55" s="121"/>
      <c r="C55" s="121"/>
      <c r="D55" s="1040"/>
      <c r="E55" s="1040"/>
      <c r="F55" s="1040"/>
      <c r="G55" s="1040"/>
      <c r="H55" s="1040"/>
      <c r="I55" s="1040"/>
      <c r="J55" s="1040"/>
      <c r="K55" s="122"/>
    </row>
    <row r="56" spans="1:13">
      <c r="A56" s="123" t="s">
        <v>579</v>
      </c>
      <c r="B56" s="121">
        <f>SUM(B57:B59)</f>
        <v>8261.5759999999991</v>
      </c>
      <c r="C56" s="124" t="s">
        <v>547</v>
      </c>
      <c r="D56" s="121">
        <f t="shared" ref="D56:K56" si="10">SUM(D57:D59)</f>
        <v>1060.0419999999999</v>
      </c>
      <c r="E56" s="121">
        <f t="shared" si="10"/>
        <v>518.15</v>
      </c>
      <c r="F56" s="121">
        <f t="shared" si="10"/>
        <v>528.96</v>
      </c>
      <c r="G56" s="121">
        <f t="shared" si="10"/>
        <v>2898.7</v>
      </c>
      <c r="H56" s="121">
        <f t="shared" si="10"/>
        <v>516.55799999999999</v>
      </c>
      <c r="I56" s="121">
        <f t="shared" si="10"/>
        <v>1594.95</v>
      </c>
      <c r="J56" s="121">
        <f t="shared" si="10"/>
        <v>1144.2159999999999</v>
      </c>
      <c r="K56" s="122">
        <f t="shared" si="10"/>
        <v>303.38399999999996</v>
      </c>
      <c r="L56" s="128"/>
      <c r="M56" s="128"/>
    </row>
    <row r="57" spans="1:13">
      <c r="A57" s="42" t="s">
        <v>580</v>
      </c>
      <c r="B57" s="121">
        <f>SUM(D57:J57)</f>
        <v>6503.735999999999</v>
      </c>
      <c r="C57" s="121"/>
      <c r="D57" s="121">
        <f>+SUM('8'!D57:G57)*0.484</f>
        <v>846.51599999999996</v>
      </c>
      <c r="E57" s="121">
        <f>+'8'!H57*0.482</f>
        <v>416.93</v>
      </c>
      <c r="F57" s="121">
        <f>+'8'!I57*0.498</f>
        <v>426.28800000000001</v>
      </c>
      <c r="G57" s="121">
        <f>+'8'!J57*0.505</f>
        <v>2307.3449999999998</v>
      </c>
      <c r="H57" s="121">
        <f>+'8'!K57*0.1255</f>
        <v>405.61599999999999</v>
      </c>
      <c r="I57" s="121">
        <f>+'8'!K57*0.3875</f>
        <v>1252.4000000000001</v>
      </c>
      <c r="J57" s="121">
        <f>+'8'!L57*0.5245</f>
        <v>848.64099999999996</v>
      </c>
      <c r="K57" s="122">
        <f>+'8'!D57*1.442</f>
        <v>233.60399999999998</v>
      </c>
    </row>
    <row r="58" spans="1:13">
      <c r="A58" s="42" t="s">
        <v>358</v>
      </c>
      <c r="B58" s="121">
        <f>SUM(D58:J58)</f>
        <v>1064.1179999999999</v>
      </c>
      <c r="C58" s="121"/>
      <c r="D58" s="121">
        <f>+SUM('8'!D58:G58)*0.482</f>
        <v>121.946</v>
      </c>
      <c r="E58" s="121">
        <f>+'8'!H58*0.482</f>
        <v>57.839999999999996</v>
      </c>
      <c r="F58" s="121">
        <f>+'8'!I58*0.496</f>
        <v>58.527999999999999</v>
      </c>
      <c r="G58" s="121">
        <f>+'8'!J58*0.505</f>
        <v>351.48</v>
      </c>
      <c r="H58" s="121">
        <f>+'8'!K58*0.1255</f>
        <v>68.774000000000001</v>
      </c>
      <c r="I58" s="121">
        <f>+'8'!K58*0.3875</f>
        <v>212.35</v>
      </c>
      <c r="J58" s="121">
        <f>+'8'!L58*0.525</f>
        <v>193.20000000000002</v>
      </c>
      <c r="K58" s="122">
        <f>+'8'!D58*1.79</f>
        <v>39.380000000000003</v>
      </c>
    </row>
    <row r="59" spans="1:13">
      <c r="A59" s="42" t="s">
        <v>581</v>
      </c>
      <c r="B59" s="121">
        <f>SUM(D59:J59)</f>
        <v>693.72199999999998</v>
      </c>
      <c r="C59" s="121"/>
      <c r="D59" s="121">
        <f>+SUM('8'!D59:G59)*0.482</f>
        <v>91.58</v>
      </c>
      <c r="E59" s="121">
        <f>+'8'!H59*0.482</f>
        <v>43.379999999999995</v>
      </c>
      <c r="F59" s="121">
        <f>+'8'!I59*0.496</f>
        <v>44.143999999999998</v>
      </c>
      <c r="G59" s="121">
        <f>+'8'!J59*0.505</f>
        <v>239.875</v>
      </c>
      <c r="H59" s="121">
        <f>+'8'!K59*0.1255</f>
        <v>42.167999999999999</v>
      </c>
      <c r="I59" s="121">
        <f>+'8'!K59*0.3875</f>
        <v>130.20000000000002</v>
      </c>
      <c r="J59" s="121">
        <f>+'8'!L59*0.525</f>
        <v>102.375</v>
      </c>
      <c r="K59" s="122">
        <f>+'8'!D59*1.9</f>
        <v>30.4</v>
      </c>
    </row>
    <row r="60" spans="1:13">
      <c r="A60" s="42"/>
      <c r="B60" s="121"/>
      <c r="C60" s="121"/>
      <c r="D60" s="121"/>
      <c r="E60" s="121"/>
      <c r="F60" s="121"/>
      <c r="G60" s="121"/>
      <c r="H60" s="121"/>
      <c r="I60" s="121"/>
      <c r="J60" s="121"/>
      <c r="K60" s="122"/>
    </row>
    <row r="61" spans="1:13">
      <c r="A61" s="123" t="s">
        <v>582</v>
      </c>
      <c r="B61" s="121">
        <f>SUM(B62:B65)</f>
        <v>3830.7126000000003</v>
      </c>
      <c r="C61" s="124" t="s">
        <v>547</v>
      </c>
      <c r="D61" s="121">
        <f t="shared" ref="D61:K61" si="11">SUM(D62:D65)</f>
        <v>456.93900000000008</v>
      </c>
      <c r="E61" s="121">
        <f t="shared" si="11"/>
        <v>270.31200000000001</v>
      </c>
      <c r="F61" s="121">
        <f t="shared" si="11"/>
        <v>240.68300000000002</v>
      </c>
      <c r="G61" s="121">
        <f t="shared" si="11"/>
        <v>1360.5970000000002</v>
      </c>
      <c r="H61" s="121">
        <f t="shared" si="11"/>
        <v>256.41360000000003</v>
      </c>
      <c r="I61" s="121">
        <f t="shared" si="11"/>
        <v>736.77599999999995</v>
      </c>
      <c r="J61" s="121">
        <f t="shared" si="11"/>
        <v>508.99200000000008</v>
      </c>
      <c r="K61" s="122">
        <f t="shared" si="11"/>
        <v>117.41999999999999</v>
      </c>
    </row>
    <row r="62" spans="1:13">
      <c r="A62" s="42" t="s">
        <v>583</v>
      </c>
      <c r="B62" s="121">
        <f>SUM(D62:J62)</f>
        <v>2581.067</v>
      </c>
      <c r="C62" s="121"/>
      <c r="D62" s="121">
        <f>+SUM('8'!D62:G62)*0.461</f>
        <v>285.35900000000004</v>
      </c>
      <c r="E62" s="121">
        <f>+'8'!H62*0.498</f>
        <v>171.31200000000001</v>
      </c>
      <c r="F62" s="121">
        <f>+'8'!I62*0.506</f>
        <v>153.31800000000001</v>
      </c>
      <c r="G62" s="121">
        <f>+'8'!J62*0.501</f>
        <v>906.81</v>
      </c>
      <c r="H62" s="121">
        <f>+'8'!K62*0.1319</f>
        <v>184.66</v>
      </c>
      <c r="I62" s="121">
        <f>+'8'!K62*0.379</f>
        <v>530.6</v>
      </c>
      <c r="J62" s="121">
        <f>+'8'!L62*0.528</f>
        <v>349.00800000000004</v>
      </c>
      <c r="K62" s="122">
        <f>+'8'!D62*1.24</f>
        <v>70.679999999999993</v>
      </c>
    </row>
    <row r="63" spans="1:13">
      <c r="A63" s="42" t="s">
        <v>584</v>
      </c>
      <c r="B63" s="121">
        <f>SUM(D63:J63)</f>
        <v>304.62870000000004</v>
      </c>
      <c r="C63" s="121"/>
      <c r="D63" s="121">
        <f>+SUM('8'!D63:G63)*0.46</f>
        <v>39.56</v>
      </c>
      <c r="E63" s="121">
        <f>+'8'!H63*0.5</f>
        <v>21</v>
      </c>
      <c r="F63" s="121">
        <f>+'8'!I63*0.505</f>
        <v>18.684999999999999</v>
      </c>
      <c r="G63" s="121">
        <f>+'8'!J63*0.501</f>
        <v>112.72499999999999</v>
      </c>
      <c r="H63" s="121">
        <f>+'8'!K63*0.1319</f>
        <v>18.861699999999999</v>
      </c>
      <c r="I63" s="121">
        <f>+'8'!K63*0.379</f>
        <v>54.197000000000003</v>
      </c>
      <c r="J63" s="121">
        <f>+'8'!L63*0.528</f>
        <v>39.6</v>
      </c>
      <c r="K63" s="122">
        <f>+'8'!D63*1.23</f>
        <v>12.3</v>
      </c>
    </row>
    <row r="64" spans="1:13">
      <c r="A64" s="42" t="s">
        <v>585</v>
      </c>
      <c r="B64" s="121">
        <f>SUM(D64:J64)</f>
        <v>408.92939999999999</v>
      </c>
      <c r="C64" s="121"/>
      <c r="D64" s="121">
        <f>+SUM('8'!D64:G64)*0.46</f>
        <v>54.74</v>
      </c>
      <c r="E64" s="121">
        <f>+'8'!H64*0.5</f>
        <v>35.5</v>
      </c>
      <c r="F64" s="121">
        <f>+'8'!I64*0.505</f>
        <v>28.785</v>
      </c>
      <c r="G64" s="121">
        <f>+'8'!J64*0.501</f>
        <v>149.298</v>
      </c>
      <c r="H64" s="121">
        <f>+'8'!K64*0.1319</f>
        <v>23.214399999999998</v>
      </c>
      <c r="I64" s="121">
        <f>+'8'!K64*0.379</f>
        <v>66.704000000000008</v>
      </c>
      <c r="J64" s="121">
        <f>+'8'!L64*0.528</f>
        <v>50.688000000000002</v>
      </c>
      <c r="K64" s="122">
        <f>+'8'!D64*1.23</f>
        <v>14.76</v>
      </c>
    </row>
    <row r="65" spans="1:11">
      <c r="A65" s="42" t="s">
        <v>586</v>
      </c>
      <c r="B65" s="121">
        <f>SUM(D65:J65)</f>
        <v>536.08750000000009</v>
      </c>
      <c r="C65" s="121"/>
      <c r="D65" s="121">
        <f>+SUM('8'!D65:G65)*0.46</f>
        <v>77.28</v>
      </c>
      <c r="E65" s="121">
        <f>+'8'!H65*0.5</f>
        <v>42.5</v>
      </c>
      <c r="F65" s="121">
        <f>+'8'!I65*0.505</f>
        <v>39.895000000000003</v>
      </c>
      <c r="G65" s="121">
        <f>+'8'!J65*0.502</f>
        <v>191.76400000000001</v>
      </c>
      <c r="H65" s="121">
        <f>+'8'!K65*0.1319</f>
        <v>29.677499999999998</v>
      </c>
      <c r="I65" s="121">
        <f>+'8'!K65*0.379</f>
        <v>85.275000000000006</v>
      </c>
      <c r="J65" s="121">
        <f>+'8'!L65*0.528</f>
        <v>69.695999999999998</v>
      </c>
      <c r="K65" s="122">
        <f>+'8'!D65*1.23</f>
        <v>19.68</v>
      </c>
    </row>
    <row r="66" spans="1:11">
      <c r="A66" s="42"/>
      <c r="B66" s="121"/>
      <c r="C66" s="121"/>
      <c r="D66" s="121"/>
      <c r="E66" s="121"/>
      <c r="F66" s="121"/>
      <c r="G66" s="121"/>
      <c r="H66" s="121"/>
      <c r="I66" s="121"/>
      <c r="J66" s="121"/>
      <c r="K66" s="122"/>
    </row>
    <row r="67" spans="1:11">
      <c r="A67" s="123" t="s">
        <v>587</v>
      </c>
      <c r="B67" s="121">
        <f>SUM(B68:B71)</f>
        <v>13407.409399999999</v>
      </c>
      <c r="C67" s="124" t="s">
        <v>547</v>
      </c>
      <c r="D67" s="121">
        <f t="shared" ref="D67:K67" si="12">SUM(D68:D71)</f>
        <v>1777.9289999999999</v>
      </c>
      <c r="E67" s="121">
        <f t="shared" si="12"/>
        <v>866.9849999999999</v>
      </c>
      <c r="F67" s="121">
        <f t="shared" si="12"/>
        <v>841.54600000000005</v>
      </c>
      <c r="G67" s="121">
        <f t="shared" si="12"/>
        <v>4746.8404999999993</v>
      </c>
      <c r="H67" s="121">
        <f t="shared" si="12"/>
        <v>887.12800000000016</v>
      </c>
      <c r="I67" s="121">
        <f t="shared" si="12"/>
        <v>2408.1479999999997</v>
      </c>
      <c r="J67" s="121">
        <f t="shared" si="12"/>
        <v>1878.8328999999999</v>
      </c>
      <c r="K67" s="122">
        <f t="shared" si="12"/>
        <v>582.75</v>
      </c>
    </row>
    <row r="68" spans="1:11">
      <c r="A68" s="42" t="s">
        <v>588</v>
      </c>
      <c r="B68" s="121">
        <f>SUM(D68:J68)</f>
        <v>10908.358999999999</v>
      </c>
      <c r="C68" s="121"/>
      <c r="D68" s="121">
        <f>+SUM('8'!D68:G68)*0.4862</f>
        <v>1524.2370000000001</v>
      </c>
      <c r="E68" s="121">
        <f>+'8'!H68*0.483</f>
        <v>751.06499999999994</v>
      </c>
      <c r="F68" s="121">
        <f>+'8'!I68*0.519</f>
        <v>726.6</v>
      </c>
      <c r="G68" s="121">
        <f>+'8'!J68*0.5045</f>
        <v>3817.0469999999996</v>
      </c>
      <c r="H68" s="121">
        <f>+'8'!K68*0.136</f>
        <v>706.79200000000003</v>
      </c>
      <c r="I68" s="121">
        <f>+'8'!K68*0.369</f>
        <v>1917.693</v>
      </c>
      <c r="J68" s="121">
        <f>+'8'!L68*0.5327</f>
        <v>1464.925</v>
      </c>
      <c r="K68" s="122">
        <f>+'8'!D68*1.75</f>
        <v>486.5</v>
      </c>
    </row>
    <row r="69" spans="1:11">
      <c r="A69" s="42" t="s">
        <v>589</v>
      </c>
      <c r="B69" s="121">
        <f>SUM(D69:J69)</f>
        <v>295.0147</v>
      </c>
      <c r="C69" s="121"/>
      <c r="D69" s="121">
        <f>+SUM('8'!D69:G69)*0.486</f>
        <v>27.216000000000001</v>
      </c>
      <c r="E69" s="121">
        <f>+'8'!H69*0.483</f>
        <v>12.558</v>
      </c>
      <c r="F69" s="121">
        <f>+'8'!I69*0.519</f>
        <v>10.899000000000001</v>
      </c>
      <c r="G69" s="121">
        <f>+'8'!J69*0.5045</f>
        <v>83.242499999999993</v>
      </c>
      <c r="H69" s="121">
        <f>+'8'!K69*0.136</f>
        <v>22.44</v>
      </c>
      <c r="I69" s="121">
        <f>+'8'!K69*0.369</f>
        <v>60.884999999999998</v>
      </c>
      <c r="J69" s="121">
        <f>+'8'!L69*0.5327</f>
        <v>77.774199999999993</v>
      </c>
      <c r="K69" s="122">
        <f>+'8'!D69*1.75</f>
        <v>17.5</v>
      </c>
    </row>
    <row r="70" spans="1:11">
      <c r="A70" s="42" t="s">
        <v>590</v>
      </c>
      <c r="B70" s="121">
        <f>SUM(D70:J70)</f>
        <v>1429.5156999999999</v>
      </c>
      <c r="C70" s="121"/>
      <c r="D70" s="121">
        <f>+SUM('8'!D70:G70)*0.486</f>
        <v>145.79999999999998</v>
      </c>
      <c r="E70" s="121">
        <f>+'8'!H70*0.483</f>
        <v>67.62</v>
      </c>
      <c r="F70" s="121">
        <f>+'8'!I70*0.519</f>
        <v>69.027000000000001</v>
      </c>
      <c r="G70" s="121">
        <f>+'8'!J70*0.5045</f>
        <v>548.89599999999996</v>
      </c>
      <c r="H70" s="121">
        <f>+'8'!K70*0.136</f>
        <v>103.36000000000001</v>
      </c>
      <c r="I70" s="121">
        <f>+'8'!K70*0.37</f>
        <v>281.2</v>
      </c>
      <c r="J70" s="121">
        <f>+'8'!L70*0.5327</f>
        <v>213.61269999999999</v>
      </c>
      <c r="K70" s="122">
        <f>+'8'!D70*1.75</f>
        <v>49</v>
      </c>
    </row>
    <row r="71" spans="1:11">
      <c r="A71" s="42" t="s">
        <v>591</v>
      </c>
      <c r="B71" s="121">
        <f>SUM(D71:J71)</f>
        <v>774.52</v>
      </c>
      <c r="C71" s="121"/>
      <c r="D71" s="121">
        <f>+SUM('8'!D71:G71)*0.486</f>
        <v>80.676000000000002</v>
      </c>
      <c r="E71" s="121">
        <f>+'8'!H71*0.483</f>
        <v>35.741999999999997</v>
      </c>
      <c r="F71" s="121">
        <f>+'8'!I71*0.515</f>
        <v>35.020000000000003</v>
      </c>
      <c r="G71" s="121">
        <f>+'8'!J71*0.5045</f>
        <v>297.65499999999997</v>
      </c>
      <c r="H71" s="121">
        <f>+'8'!K71*0.136</f>
        <v>54.536000000000001</v>
      </c>
      <c r="I71" s="121">
        <f>+'8'!K71*0.37</f>
        <v>148.37</v>
      </c>
      <c r="J71" s="121">
        <f>+'8'!L71*0.5327</f>
        <v>122.52099999999999</v>
      </c>
      <c r="K71" s="122">
        <f>+'8'!D71*1.75</f>
        <v>29.75</v>
      </c>
    </row>
    <row r="72" spans="1:11">
      <c r="A72" s="42"/>
      <c r="B72" s="121"/>
      <c r="C72" s="121"/>
      <c r="D72" s="121"/>
      <c r="E72" s="121"/>
      <c r="F72" s="121"/>
      <c r="G72" s="121"/>
      <c r="H72" s="121"/>
      <c r="I72" s="121"/>
      <c r="J72" s="121"/>
      <c r="K72" s="122"/>
    </row>
    <row r="73" spans="1:11">
      <c r="A73" s="123" t="s">
        <v>592</v>
      </c>
      <c r="B73" s="121">
        <f>SUM(B74:B83)</f>
        <v>7658.9694999999992</v>
      </c>
      <c r="C73" s="124" t="s">
        <v>547</v>
      </c>
      <c r="D73" s="121">
        <f t="shared" ref="D73:K73" si="13">SUM(D74:D83)</f>
        <v>1017.612</v>
      </c>
      <c r="E73" s="121">
        <f t="shared" si="13"/>
        <v>531.62400000000002</v>
      </c>
      <c r="F73" s="121">
        <f t="shared" si="13"/>
        <v>450.8309999999999</v>
      </c>
      <c r="G73" s="121">
        <f t="shared" si="13"/>
        <v>2736.5630000000001</v>
      </c>
      <c r="H73" s="121">
        <f t="shared" si="13"/>
        <v>496.553</v>
      </c>
      <c r="I73" s="121">
        <f t="shared" si="13"/>
        <v>1344.3739999999998</v>
      </c>
      <c r="J73" s="121">
        <f t="shared" si="13"/>
        <v>1081.4124999999999</v>
      </c>
      <c r="K73" s="122">
        <f t="shared" si="13"/>
        <v>259.72000000000003</v>
      </c>
    </row>
    <row r="74" spans="1:11">
      <c r="A74" s="42" t="s">
        <v>593</v>
      </c>
      <c r="B74" s="121">
        <f t="shared" ref="B74:B87" si="14">SUM(D74:J74)</f>
        <v>4199.4582</v>
      </c>
      <c r="C74" s="121"/>
      <c r="D74" s="121">
        <f>+SUM('8'!D74:G74)*0.507</f>
        <v>536.40600000000006</v>
      </c>
      <c r="E74" s="121">
        <f>+'8'!H74*0.508</f>
        <v>302.76800000000003</v>
      </c>
      <c r="F74" s="121">
        <f>+'8'!I74*0.477</f>
        <v>255.19499999999999</v>
      </c>
      <c r="G74" s="121">
        <f>+'8'!J74*0.505</f>
        <v>1475.105</v>
      </c>
      <c r="H74" s="121">
        <f>+'8'!K74*0.135</f>
        <v>278.23500000000001</v>
      </c>
      <c r="I74" s="121">
        <f>+'8'!K74*0.365</f>
        <v>752.26499999999999</v>
      </c>
      <c r="J74" s="121">
        <f>+'8'!L74*0.5089</f>
        <v>599.48419999999999</v>
      </c>
      <c r="K74" s="122">
        <f>+'8'!D74*1.51</f>
        <v>125.33</v>
      </c>
    </row>
    <row r="75" spans="1:11">
      <c r="A75" s="42" t="s">
        <v>299</v>
      </c>
      <c r="B75" s="121">
        <f t="shared" si="14"/>
        <v>758.68840000000012</v>
      </c>
      <c r="C75" s="121"/>
      <c r="D75" s="121">
        <f>+SUM('8'!D75:G75)*0.506</f>
        <v>112.33200000000001</v>
      </c>
      <c r="E75" s="121">
        <f>+'8'!H75*0.508</f>
        <v>50.292000000000002</v>
      </c>
      <c r="F75" s="121">
        <f>+'8'!I75*0.476</f>
        <v>40.936</v>
      </c>
      <c r="G75" s="121">
        <f>+'8'!J75*0.506</f>
        <v>240.35</v>
      </c>
      <c r="H75" s="121">
        <f>+'8'!K75*0.135</f>
        <v>49.815000000000005</v>
      </c>
      <c r="I75" s="121">
        <f>+'8'!K75*0.365</f>
        <v>134.685</v>
      </c>
      <c r="J75" s="121">
        <f>+'8'!L75*0.5089</f>
        <v>130.2784</v>
      </c>
      <c r="K75" s="122">
        <f>+'8'!D75*1.51</f>
        <v>19.63</v>
      </c>
    </row>
    <row r="76" spans="1:11">
      <c r="A76" s="42" t="s">
        <v>594</v>
      </c>
      <c r="B76" s="121">
        <f>SUM(D76:J76)</f>
        <v>622.45839999999998</v>
      </c>
      <c r="C76" s="121"/>
      <c r="D76" s="121">
        <f>+SUM('8'!D76:G76)*0.506</f>
        <v>82.983999999999995</v>
      </c>
      <c r="E76" s="121">
        <f>+'8'!H76*0.508</f>
        <v>39.116</v>
      </c>
      <c r="F76" s="121">
        <f>+'8'!I76*0.476</f>
        <v>34.747999999999998</v>
      </c>
      <c r="G76" s="121">
        <f>+'8'!J76*0.506</f>
        <v>230.73599999999999</v>
      </c>
      <c r="H76" s="121">
        <f>+'8'!K76*0.135</f>
        <v>40.365000000000002</v>
      </c>
      <c r="I76" s="121">
        <f>+'8'!K76*0.368</f>
        <v>110.032</v>
      </c>
      <c r="J76" s="121">
        <f>+'8'!L76*0.5089</f>
        <v>84.477400000000003</v>
      </c>
      <c r="K76" s="122">
        <f>+'8'!D76*1.51</f>
        <v>25.67</v>
      </c>
    </row>
    <row r="77" spans="1:11">
      <c r="A77" s="42" t="s">
        <v>595</v>
      </c>
      <c r="B77" s="121">
        <f t="shared" si="14"/>
        <v>168.33240000000001</v>
      </c>
      <c r="C77" s="121"/>
      <c r="D77" s="121">
        <f>+SUM('8'!D77:G77)*0.506</f>
        <v>23.276</v>
      </c>
      <c r="E77" s="121">
        <f>+'8'!H77*0.508</f>
        <v>11.176</v>
      </c>
      <c r="F77" s="121">
        <f>+'8'!I77*0.476</f>
        <v>9.52</v>
      </c>
      <c r="G77" s="121">
        <f>+'8'!J77*0.506</f>
        <v>59.201999999999998</v>
      </c>
      <c r="H77" s="121">
        <f>+'8'!K77*0.135</f>
        <v>11.205</v>
      </c>
      <c r="I77" s="121">
        <f>+'8'!K77*0.368</f>
        <v>30.544</v>
      </c>
      <c r="J77" s="121">
        <f>+'8'!L77*0.5089</f>
        <v>23.409400000000002</v>
      </c>
      <c r="K77" s="122">
        <f>+'8'!D77*1.51</f>
        <v>9.06</v>
      </c>
    </row>
    <row r="78" spans="1:11">
      <c r="A78" s="42" t="s">
        <v>596</v>
      </c>
      <c r="B78" s="121">
        <f t="shared" si="14"/>
        <v>361.34020000000004</v>
      </c>
      <c r="C78" s="121"/>
      <c r="D78" s="121">
        <f>+SUM('8'!D78:G78)*0.506</f>
        <v>49.082000000000001</v>
      </c>
      <c r="E78" s="121">
        <f>+'8'!H78*0.508</f>
        <v>23.368000000000002</v>
      </c>
      <c r="F78" s="121">
        <f>+'8'!I78*0.476</f>
        <v>20.943999999999999</v>
      </c>
      <c r="G78" s="121">
        <f>+'8'!J78*0.506</f>
        <v>141.17400000000001</v>
      </c>
      <c r="H78" s="121">
        <f>+'8'!K78*0.135</f>
        <v>22.005000000000003</v>
      </c>
      <c r="I78" s="121">
        <f>+'8'!K78*0.368</f>
        <v>59.984000000000002</v>
      </c>
      <c r="J78" s="121">
        <f>+'8'!L78*0.5089</f>
        <v>44.783200000000001</v>
      </c>
      <c r="K78" s="122">
        <f>+'8'!D78*1.51</f>
        <v>15.1</v>
      </c>
    </row>
    <row r="79" spans="1:11">
      <c r="A79" s="42" t="s">
        <v>597</v>
      </c>
      <c r="B79" s="121">
        <f t="shared" si="14"/>
        <v>312.09929999999997</v>
      </c>
      <c r="C79" s="121"/>
      <c r="D79" s="121">
        <f>+SUM('8'!D79:G79)*0.506</f>
        <v>43.515999999999998</v>
      </c>
      <c r="E79" s="121">
        <f>+'8'!H79*0.508</f>
        <v>20.32</v>
      </c>
      <c r="F79" s="121">
        <f>+'8'!I79*0.476</f>
        <v>18.088000000000001</v>
      </c>
      <c r="G79" s="121">
        <f>+'8'!J79*0.506</f>
        <v>120.934</v>
      </c>
      <c r="H79" s="121">
        <f>+'8'!K79*0.136</f>
        <v>18.904</v>
      </c>
      <c r="I79" s="121">
        <f>+'8'!K79*0.368</f>
        <v>51.152000000000001</v>
      </c>
      <c r="J79" s="121">
        <f>+'8'!L79*0.5089</f>
        <v>39.185299999999998</v>
      </c>
      <c r="K79" s="122">
        <f>+'8'!D79*1.51</f>
        <v>15.1</v>
      </c>
    </row>
    <row r="80" spans="1:11">
      <c r="A80" s="42" t="s">
        <v>598</v>
      </c>
      <c r="B80" s="121">
        <f t="shared" si="14"/>
        <v>159.88759999999999</v>
      </c>
      <c r="C80" s="121"/>
      <c r="D80" s="121">
        <f>+SUM('8'!D80:G80)*0.506</f>
        <v>21.757999999999999</v>
      </c>
      <c r="E80" s="121">
        <f>+'8'!H80*0.508</f>
        <v>10.16</v>
      </c>
      <c r="F80" s="121">
        <f>+'8'!I80*0.476</f>
        <v>8.5679999999999996</v>
      </c>
      <c r="G80" s="121">
        <f>+'8'!J80*0.506</f>
        <v>61.225999999999999</v>
      </c>
      <c r="H80" s="121">
        <f>+'8'!K80*0.136</f>
        <v>9.6560000000000006</v>
      </c>
      <c r="I80" s="121">
        <f>+'8'!K80*0.368</f>
        <v>26.128</v>
      </c>
      <c r="J80" s="121">
        <f>+'8'!L80*0.5089</f>
        <v>22.3916</v>
      </c>
      <c r="K80" s="122">
        <f>+'8'!D80*1.51</f>
        <v>9.06</v>
      </c>
    </row>
    <row r="81" spans="1:11">
      <c r="A81" s="42" t="s">
        <v>599</v>
      </c>
      <c r="B81" s="121">
        <f t="shared" si="14"/>
        <v>131.6035</v>
      </c>
      <c r="C81" s="121"/>
      <c r="D81" s="121">
        <f>+SUM('8'!D81:G81)*0.506</f>
        <v>19.228000000000002</v>
      </c>
      <c r="E81" s="121">
        <f>+'8'!H81*0.508</f>
        <v>9.1440000000000001</v>
      </c>
      <c r="F81" s="121">
        <f>+'8'!I81*0.476</f>
        <v>7.6159999999999997</v>
      </c>
      <c r="G81" s="121">
        <f>+'8'!J81*0.506</f>
        <v>47.564</v>
      </c>
      <c r="H81" s="121">
        <f>+'8'!K81*0.136</f>
        <v>8.16</v>
      </c>
      <c r="I81" s="121">
        <f>+'8'!K81*0.368</f>
        <v>22.08</v>
      </c>
      <c r="J81" s="121">
        <f>+'8'!L81*0.5089</f>
        <v>17.811500000000002</v>
      </c>
      <c r="K81" s="122">
        <f>+'8'!D81*1.51</f>
        <v>7.55</v>
      </c>
    </row>
    <row r="82" spans="1:11">
      <c r="A82" s="42" t="s">
        <v>600</v>
      </c>
      <c r="B82" s="121">
        <f t="shared" si="14"/>
        <v>819.53180000000009</v>
      </c>
      <c r="C82" s="121"/>
      <c r="D82" s="121">
        <f>+SUM('8'!D82:G82)*0.506</f>
        <v>109.80200000000001</v>
      </c>
      <c r="E82" s="121">
        <f>+'8'!H82*0.51</f>
        <v>56.1</v>
      </c>
      <c r="F82" s="121">
        <f>+'8'!I82*0.476</f>
        <v>47.599999999999994</v>
      </c>
      <c r="G82" s="121">
        <f>+'8'!J82*0.506</f>
        <v>315.74400000000003</v>
      </c>
      <c r="H82" s="121">
        <f>+'8'!K82*0.136</f>
        <v>50.592000000000006</v>
      </c>
      <c r="I82" s="121">
        <f>+'8'!K82*0.368</f>
        <v>136.89599999999999</v>
      </c>
      <c r="J82" s="121">
        <f>+'8'!L82*0.5089</f>
        <v>102.79780000000001</v>
      </c>
      <c r="K82" s="122">
        <f>+'8'!D82*1.51</f>
        <v>25.67</v>
      </c>
    </row>
    <row r="83" spans="1:11">
      <c r="A83" s="42" t="s">
        <v>601</v>
      </c>
      <c r="B83" s="121">
        <f t="shared" si="14"/>
        <v>125.5697</v>
      </c>
      <c r="C83" s="121"/>
      <c r="D83" s="121">
        <f>+SUM('8'!D83:G83)*0.506</f>
        <v>19.228000000000002</v>
      </c>
      <c r="E83" s="121">
        <f>+'8'!H83*0.51</f>
        <v>9.18</v>
      </c>
      <c r="F83" s="121">
        <f>+'8'!I83*0.476</f>
        <v>7.6159999999999997</v>
      </c>
      <c r="G83" s="121">
        <f>+'8'!J83*0.506</f>
        <v>44.527999999999999</v>
      </c>
      <c r="H83" s="121">
        <f>+'8'!K83*0.136</f>
        <v>7.6160000000000005</v>
      </c>
      <c r="I83" s="121">
        <f>+'8'!K83*0.368</f>
        <v>20.608000000000001</v>
      </c>
      <c r="J83" s="121">
        <f>+'8'!L83*0.5089</f>
        <v>16.793700000000001</v>
      </c>
      <c r="K83" s="122">
        <f>+'8'!D83*1.51</f>
        <v>7.55</v>
      </c>
    </row>
    <row r="84" spans="1:11">
      <c r="A84" s="42"/>
      <c r="B84" s="121"/>
      <c r="C84" s="121"/>
      <c r="D84" s="1040"/>
      <c r="E84" s="1040"/>
      <c r="F84" s="1040"/>
      <c r="G84" s="1040"/>
      <c r="H84" s="1040"/>
      <c r="I84" s="1040"/>
      <c r="J84" s="1040"/>
      <c r="K84" s="122"/>
    </row>
    <row r="85" spans="1:11">
      <c r="A85" s="123" t="s">
        <v>602</v>
      </c>
      <c r="B85" s="121">
        <f t="shared" si="14"/>
        <v>84726.189500000008</v>
      </c>
      <c r="C85" s="124" t="s">
        <v>547</v>
      </c>
      <c r="D85" s="121">
        <f t="shared" ref="D85:K85" si="15">+D73+D67+D61+D56+D43+D37</f>
        <v>10989.230999999998</v>
      </c>
      <c r="E85" s="121">
        <f t="shared" si="15"/>
        <v>5694.4490000000005</v>
      </c>
      <c r="F85" s="121">
        <f t="shared" si="15"/>
        <v>5220.5529999999999</v>
      </c>
      <c r="G85" s="121">
        <f t="shared" si="15"/>
        <v>30164.341499999999</v>
      </c>
      <c r="H85" s="121">
        <f t="shared" si="15"/>
        <v>5304.1640000000007</v>
      </c>
      <c r="I85" s="121">
        <f t="shared" si="15"/>
        <v>15276.583999999999</v>
      </c>
      <c r="J85" s="121">
        <f t="shared" si="15"/>
        <v>12076.866999999998</v>
      </c>
      <c r="K85" s="122">
        <f t="shared" si="15"/>
        <v>3088.7539999999999</v>
      </c>
    </row>
    <row r="86" spans="1:11">
      <c r="A86" s="42"/>
      <c r="B86" s="121"/>
      <c r="C86" s="121"/>
      <c r="D86" s="121"/>
      <c r="E86" s="121"/>
      <c r="F86" s="121"/>
      <c r="G86" s="121"/>
      <c r="H86" s="121"/>
      <c r="I86" s="121"/>
      <c r="J86" s="121"/>
      <c r="K86" s="122"/>
    </row>
    <row r="87" spans="1:11" ht="18.75" customHeight="1">
      <c r="A87" s="129" t="s">
        <v>603</v>
      </c>
      <c r="B87" s="130">
        <f t="shared" si="14"/>
        <v>144009.98590000003</v>
      </c>
      <c r="C87" s="131" t="s">
        <v>547</v>
      </c>
      <c r="D87" s="130">
        <f t="shared" ref="D87:K87" si="16">+D34+D85</f>
        <v>18879.574699999997</v>
      </c>
      <c r="E87" s="140">
        <f t="shared" si="16"/>
        <v>9716.8126000000011</v>
      </c>
      <c r="F87" s="140">
        <f t="shared" si="16"/>
        <v>8865.8706000000002</v>
      </c>
      <c r="G87" s="140">
        <f t="shared" si="16"/>
        <v>51199.561399999999</v>
      </c>
      <c r="H87" s="140">
        <f t="shared" si="16"/>
        <v>9291.194300000001</v>
      </c>
      <c r="I87" s="140">
        <f t="shared" si="16"/>
        <v>25804.616600000001</v>
      </c>
      <c r="J87" s="140">
        <f t="shared" si="16"/>
        <v>20252.3557</v>
      </c>
      <c r="K87" s="141">
        <f t="shared" si="16"/>
        <v>5287.9259999999995</v>
      </c>
    </row>
    <row r="88" spans="1:11">
      <c r="A88" t="str">
        <f>+'8'!A88</f>
        <v>Nota: *  Proyección  Censo  2017</v>
      </c>
    </row>
    <row r="89" spans="1:11">
      <c r="B89" s="115"/>
      <c r="D89" s="115"/>
      <c r="E89" s="115"/>
      <c r="F89" s="115"/>
      <c r="G89" s="115"/>
      <c r="H89" s="115"/>
      <c r="I89" s="115"/>
      <c r="J89" s="115"/>
      <c r="K89" s="115"/>
    </row>
    <row r="90" spans="1:11">
      <c r="D90" s="115"/>
      <c r="E90" s="115"/>
      <c r="F90" s="115"/>
      <c r="G90" s="115"/>
      <c r="H90" s="115"/>
      <c r="I90" s="115"/>
      <c r="J90" s="115"/>
      <c r="K90" s="115"/>
    </row>
    <row r="91" spans="1:11">
      <c r="D91" s="115"/>
      <c r="E91" s="115"/>
      <c r="F91" s="115"/>
      <c r="G91" s="115"/>
      <c r="H91" s="115"/>
      <c r="I91" s="115"/>
      <c r="J91" s="115"/>
    </row>
  </sheetData>
  <phoneticPr fontId="19" type="noConversion"/>
  <pageMargins left="1.5748031496062993" right="0.74" top="0.62" bottom="0.59055118110236227" header="0.51181102362204722" footer="0.51181102362204722"/>
  <pageSetup paperSize="5" scale="75" orientation="portrait" horizontalDpi="300" verticalDpi="300" r:id="rId1"/>
  <headerFooter alignWithMargins="0"/>
  <ignoredErrors>
    <ignoredError sqref="D1:D9 D72:D73 D16:D17 D24:D25 D28:D29 D42:D43 D55:D56 D60:D61 D93:D1048576 D66:D67 D84:D88 D33:D3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topLeftCell="A73" workbookViewId="0">
      <selection activeCell="B31" sqref="B31"/>
    </sheetView>
  </sheetViews>
  <sheetFormatPr baseColWidth="10" defaultRowHeight="13.2"/>
  <sheetData>
    <row r="1" spans="1:3" ht="36">
      <c r="A1" s="73" t="s">
        <v>487</v>
      </c>
      <c r="B1" s="1563">
        <v>1990</v>
      </c>
      <c r="C1" s="1564"/>
    </row>
    <row r="2" spans="1:3">
      <c r="A2" s="74" t="s">
        <v>488</v>
      </c>
      <c r="B2" t="s">
        <v>489</v>
      </c>
      <c r="C2" t="s">
        <v>490</v>
      </c>
    </row>
    <row r="3" spans="1:3">
      <c r="A3" s="75" t="s">
        <v>491</v>
      </c>
      <c r="B3">
        <f>SUM(B4:B20)</f>
        <v>-95851</v>
      </c>
      <c r="C3">
        <v>95510</v>
      </c>
    </row>
    <row r="4" spans="1:3">
      <c r="A4" s="76" t="s">
        <v>492</v>
      </c>
      <c r="B4">
        <v>-10691</v>
      </c>
      <c r="C4">
        <v>10398</v>
      </c>
    </row>
    <row r="5" spans="1:3">
      <c r="A5" s="76" t="s">
        <v>493</v>
      </c>
      <c r="B5">
        <v>-9882</v>
      </c>
      <c r="C5">
        <v>9628</v>
      </c>
    </row>
    <row r="6" spans="1:3">
      <c r="A6" s="76" t="s">
        <v>494</v>
      </c>
      <c r="B6">
        <v>-9065</v>
      </c>
      <c r="C6">
        <v>8566</v>
      </c>
    </row>
    <row r="7" spans="1:3">
      <c r="A7" s="76" t="s">
        <v>495</v>
      </c>
      <c r="B7">
        <v>-8589</v>
      </c>
      <c r="C7">
        <v>8468</v>
      </c>
    </row>
    <row r="8" spans="1:3">
      <c r="A8" s="76" t="s">
        <v>496</v>
      </c>
      <c r="B8">
        <v>-8182</v>
      </c>
      <c r="C8">
        <v>8273</v>
      </c>
    </row>
    <row r="9" spans="1:3">
      <c r="A9" s="76" t="s">
        <v>497</v>
      </c>
      <c r="B9">
        <v>-9329</v>
      </c>
      <c r="C9">
        <v>9153</v>
      </c>
    </row>
    <row r="10" spans="1:3">
      <c r="A10" s="76" t="s">
        <v>498</v>
      </c>
      <c r="B10">
        <v>-8085</v>
      </c>
      <c r="C10">
        <v>7794</v>
      </c>
    </row>
    <row r="11" spans="1:3">
      <c r="A11" s="76" t="s">
        <v>499</v>
      </c>
      <c r="B11">
        <v>-6485</v>
      </c>
      <c r="C11">
        <v>6425</v>
      </c>
    </row>
    <row r="12" spans="1:3">
      <c r="A12" s="76" t="s">
        <v>500</v>
      </c>
      <c r="B12">
        <v>-5697</v>
      </c>
      <c r="C12">
        <v>5440</v>
      </c>
    </row>
    <row r="13" spans="1:3">
      <c r="A13" s="76" t="s">
        <v>501</v>
      </c>
      <c r="B13">
        <v>-4926</v>
      </c>
      <c r="C13">
        <v>4615</v>
      </c>
    </row>
    <row r="14" spans="1:3">
      <c r="A14" s="76" t="s">
        <v>502</v>
      </c>
      <c r="B14">
        <v>-3596</v>
      </c>
      <c r="C14">
        <v>3579</v>
      </c>
    </row>
    <row r="15" spans="1:3">
      <c r="A15" s="76" t="s">
        <v>503</v>
      </c>
      <c r="B15">
        <v>-3190</v>
      </c>
      <c r="C15">
        <v>3395</v>
      </c>
    </row>
    <row r="16" spans="1:3">
      <c r="A16" s="76" t="s">
        <v>504</v>
      </c>
      <c r="B16">
        <v>-2747</v>
      </c>
      <c r="C16">
        <v>3067</v>
      </c>
    </row>
    <row r="17" spans="1:3">
      <c r="A17" s="76" t="s">
        <v>505</v>
      </c>
      <c r="B17">
        <v>-1966</v>
      </c>
      <c r="C17">
        <v>2348</v>
      </c>
    </row>
    <row r="18" spans="1:3">
      <c r="A18" s="76" t="s">
        <v>506</v>
      </c>
      <c r="B18">
        <v>-1668</v>
      </c>
      <c r="C18">
        <v>1893</v>
      </c>
    </row>
    <row r="19" spans="1:3">
      <c r="A19" s="76" t="s">
        <v>507</v>
      </c>
      <c r="B19">
        <v>-969</v>
      </c>
      <c r="C19">
        <v>1312</v>
      </c>
    </row>
    <row r="20" spans="1:3">
      <c r="A20" s="77" t="s">
        <v>508</v>
      </c>
      <c r="B20">
        <v>-784</v>
      </c>
      <c r="C20">
        <v>1156</v>
      </c>
    </row>
    <row r="21" spans="1:3">
      <c r="A21" s="76"/>
    </row>
    <row r="22" spans="1:3">
      <c r="A22" s="76"/>
    </row>
    <row r="23" spans="1:3">
      <c r="A23" s="76"/>
    </row>
    <row r="24" spans="1:3">
      <c r="A24" s="76"/>
    </row>
    <row r="25" spans="1:3">
      <c r="A25" s="76" t="s">
        <v>492</v>
      </c>
      <c r="B25">
        <v>-9246</v>
      </c>
      <c r="C25">
        <v>8943</v>
      </c>
    </row>
    <row r="26" spans="1:3">
      <c r="A26" s="76" t="s">
        <v>493</v>
      </c>
      <c r="B26">
        <v>-10253</v>
      </c>
      <c r="C26">
        <v>9936</v>
      </c>
    </row>
    <row r="27" spans="1:3">
      <c r="A27" s="76" t="s">
        <v>494</v>
      </c>
      <c r="B27">
        <v>-9780</v>
      </c>
      <c r="C27">
        <v>9717</v>
      </c>
    </row>
    <row r="28" spans="1:3">
      <c r="A28" s="76" t="s">
        <v>495</v>
      </c>
      <c r="B28">
        <v>-9121</v>
      </c>
      <c r="C28">
        <v>8868</v>
      </c>
    </row>
    <row r="29" spans="1:3">
      <c r="A29" s="76" t="s">
        <v>496</v>
      </c>
      <c r="B29">
        <v>-9272</v>
      </c>
      <c r="C29">
        <v>9203</v>
      </c>
    </row>
    <row r="30" spans="1:3">
      <c r="A30" s="76" t="s">
        <v>497</v>
      </c>
      <c r="B30">
        <v>-10957</v>
      </c>
      <c r="C30">
        <v>11031</v>
      </c>
    </row>
    <row r="31" spans="1:3">
      <c r="A31" s="76" t="s">
        <v>498</v>
      </c>
      <c r="B31">
        <v>-10710</v>
      </c>
      <c r="C31">
        <v>10779</v>
      </c>
    </row>
    <row r="32" spans="1:3">
      <c r="A32" s="76" t="s">
        <v>499</v>
      </c>
      <c r="B32">
        <v>-10553</v>
      </c>
      <c r="C32">
        <v>10413</v>
      </c>
    </row>
    <row r="33" spans="1:3">
      <c r="A33" s="76" t="s">
        <v>500</v>
      </c>
      <c r="B33">
        <v>-9501</v>
      </c>
      <c r="C33">
        <v>9776</v>
      </c>
    </row>
    <row r="34" spans="1:3">
      <c r="A34" s="76" t="s">
        <v>501</v>
      </c>
      <c r="B34">
        <v>-8847</v>
      </c>
      <c r="C34">
        <v>9293</v>
      </c>
    </row>
    <row r="35" spans="1:3">
      <c r="A35" s="76" t="s">
        <v>502</v>
      </c>
      <c r="B35">
        <v>-8751</v>
      </c>
      <c r="C35">
        <v>9188</v>
      </c>
    </row>
    <row r="36" spans="1:3">
      <c r="A36" s="76" t="s">
        <v>503</v>
      </c>
      <c r="B36">
        <v>-8243</v>
      </c>
      <c r="C36">
        <v>8756</v>
      </c>
    </row>
    <row r="37" spans="1:3">
      <c r="A37" s="76" t="s">
        <v>504</v>
      </c>
      <c r="B37">
        <v>-7312</v>
      </c>
      <c r="C37">
        <v>7859</v>
      </c>
    </row>
    <row r="38" spans="1:3">
      <c r="A38" s="76" t="s">
        <v>505</v>
      </c>
      <c r="B38">
        <v>-6146</v>
      </c>
      <c r="C38">
        <v>6423</v>
      </c>
    </row>
    <row r="39" spans="1:3">
      <c r="A39" s="76" t="s">
        <v>506</v>
      </c>
      <c r="B39">
        <v>-4437</v>
      </c>
      <c r="C39">
        <v>4858</v>
      </c>
    </row>
    <row r="40" spans="1:3">
      <c r="A40" s="76" t="s">
        <v>507</v>
      </c>
      <c r="B40">
        <v>-2913</v>
      </c>
      <c r="C40">
        <v>3652</v>
      </c>
    </row>
    <row r="41" spans="1:3">
      <c r="A41" s="77" t="s">
        <v>508</v>
      </c>
      <c r="B41">
        <v>-3311</v>
      </c>
      <c r="C41">
        <v>5318</v>
      </c>
    </row>
    <row r="42" spans="1:3">
      <c r="A42" s="78"/>
      <c r="B42">
        <f>SUM(B25:B41)</f>
        <v>-139353</v>
      </c>
      <c r="C42">
        <f>SUM(C25:C41)</f>
        <v>144013</v>
      </c>
    </row>
    <row r="43" spans="1:3">
      <c r="A43" s="79"/>
    </row>
    <row r="44" spans="1:3">
      <c r="A44" s="79"/>
    </row>
    <row r="45" spans="1:3">
      <c r="A45" s="79"/>
    </row>
    <row r="46" spans="1:3">
      <c r="A46" s="79"/>
    </row>
    <row r="47" spans="1:3">
      <c r="A47" s="79"/>
    </row>
    <row r="48" spans="1:3">
      <c r="A48" s="79"/>
    </row>
    <row r="49" spans="1:1">
      <c r="A49" s="79"/>
    </row>
    <row r="50" spans="1:1">
      <c r="A50" s="79"/>
    </row>
    <row r="51" spans="1:1">
      <c r="A51" s="79"/>
    </row>
    <row r="52" spans="1:1">
      <c r="A52" s="79"/>
    </row>
    <row r="53" spans="1:1">
      <c r="A53" s="79"/>
    </row>
    <row r="54" spans="1:1">
      <c r="A54" s="79"/>
    </row>
    <row r="55" spans="1:1">
      <c r="A55" s="79"/>
    </row>
    <row r="56" spans="1:1">
      <c r="A56" s="79"/>
    </row>
    <row r="57" spans="1:1">
      <c r="A57" s="79"/>
    </row>
    <row r="58" spans="1:1">
      <c r="A58" s="79"/>
    </row>
    <row r="59" spans="1:1">
      <c r="A59" s="79"/>
    </row>
    <row r="60" spans="1:1">
      <c r="A60" s="79"/>
    </row>
    <row r="61" spans="1:1">
      <c r="A61" s="79"/>
    </row>
    <row r="62" spans="1:1">
      <c r="A62" s="79"/>
    </row>
    <row r="63" spans="1:1">
      <c r="A63" s="79"/>
    </row>
    <row r="64" spans="1:1">
      <c r="A64" s="79"/>
    </row>
    <row r="65" spans="1:1">
      <c r="A65" s="79"/>
    </row>
    <row r="66" spans="1:1">
      <c r="A66" s="79"/>
    </row>
    <row r="67" spans="1:1">
      <c r="A67" s="79"/>
    </row>
    <row r="68" spans="1:1">
      <c r="A68" s="79"/>
    </row>
    <row r="69" spans="1:1">
      <c r="A69" s="79"/>
    </row>
    <row r="70" spans="1:1">
      <c r="A70" s="79"/>
    </row>
    <row r="71" spans="1:1">
      <c r="A71" s="79"/>
    </row>
    <row r="72" spans="1:1">
      <c r="A72" s="79"/>
    </row>
    <row r="73" spans="1:1">
      <c r="A73" s="79"/>
    </row>
    <row r="74" spans="1:1">
      <c r="A74" s="79"/>
    </row>
    <row r="75" spans="1:1">
      <c r="A75" s="79"/>
    </row>
    <row r="76" spans="1:1">
      <c r="A76" s="79"/>
    </row>
    <row r="77" spans="1:1">
      <c r="A77" s="79"/>
    </row>
    <row r="78" spans="1:1">
      <c r="A78" s="79"/>
    </row>
    <row r="79" spans="1:1">
      <c r="A79" s="79"/>
    </row>
    <row r="80" spans="1:1">
      <c r="A80" s="79"/>
    </row>
    <row r="81" spans="1:1">
      <c r="A81" s="79"/>
    </row>
  </sheetData>
  <mergeCells count="1">
    <mergeCell ref="B1:C1"/>
  </mergeCells>
  <phoneticPr fontId="19" type="noConversion"/>
  <pageMargins left="1.9685039370078741" right="0.78740157480314965" top="1.3779527559055118" bottom="0.98425196850393704" header="0.51181102362204722" footer="0"/>
  <pageSetup paperSize="5"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topLeftCell="A13" zoomScale="75" workbookViewId="0">
      <selection activeCell="K21" sqref="K21"/>
    </sheetView>
  </sheetViews>
  <sheetFormatPr baseColWidth="10" defaultRowHeight="13.2"/>
  <cols>
    <col min="1" max="1" width="21.21875" customWidth="1"/>
    <col min="2" max="10" width="7.44140625" customWidth="1"/>
  </cols>
  <sheetData>
    <row r="1" spans="1:11">
      <c r="A1" s="1565" t="s">
        <v>626</v>
      </c>
      <c r="B1" s="1565"/>
      <c r="C1" s="1565"/>
      <c r="D1" s="1565"/>
      <c r="E1" s="1565"/>
      <c r="F1" s="1565"/>
      <c r="G1" s="1565"/>
      <c r="H1" s="1565"/>
      <c r="I1" s="1565"/>
      <c r="J1" s="1565"/>
    </row>
    <row r="2" spans="1:11">
      <c r="A2" s="176"/>
      <c r="B2" s="177"/>
    </row>
    <row r="3" spans="1:11">
      <c r="A3" s="1565" t="s">
        <v>627</v>
      </c>
      <c r="B3" s="1565"/>
      <c r="C3" s="1565"/>
      <c r="D3" s="1565"/>
      <c r="E3" s="1565"/>
      <c r="F3" s="1565"/>
      <c r="G3" s="1565"/>
      <c r="H3" s="1565"/>
      <c r="I3" s="1565"/>
      <c r="J3" s="1565"/>
    </row>
    <row r="4" spans="1:11">
      <c r="A4" s="113"/>
    </row>
    <row r="5" spans="1:11">
      <c r="A5" s="113"/>
    </row>
    <row r="7" spans="1:11" s="6" customFormat="1" ht="30" customHeight="1">
      <c r="A7" s="65" t="s">
        <v>536</v>
      </c>
      <c r="B7" s="220">
        <v>2011</v>
      </c>
      <c r="C7" s="220">
        <v>2012</v>
      </c>
      <c r="D7" s="220">
        <v>2013</v>
      </c>
      <c r="E7" s="220">
        <v>2014</v>
      </c>
      <c r="F7" s="220">
        <v>2015</v>
      </c>
      <c r="G7" s="220">
        <v>2016</v>
      </c>
      <c r="H7" s="220">
        <v>2017</v>
      </c>
      <c r="I7" s="220">
        <v>2018</v>
      </c>
      <c r="J7" s="220">
        <v>2019</v>
      </c>
      <c r="K7" s="220">
        <v>2020</v>
      </c>
    </row>
    <row r="8" spans="1:11" s="6" customFormat="1" ht="29.25" customHeight="1">
      <c r="A8" s="51" t="s">
        <v>630</v>
      </c>
      <c r="B8" s="217">
        <f>(+'18'!$J11-'26'!$J11)/'7'!$F11*100</f>
        <v>0.86189523942395641</v>
      </c>
      <c r="C8" s="217">
        <f>(+'18'!$J12-'26'!$J12)/'7'!$F12*100</f>
        <v>0.88164120901986776</v>
      </c>
      <c r="D8" s="217">
        <f>(+'18'!$J13-'26'!$J13)/'7'!$F13*100</f>
        <v>0.92674993095406144</v>
      </c>
      <c r="E8" s="217">
        <f>(+'18'!$J14-'26'!$J14)/'7'!$F14*100</f>
        <v>0.94212856924721333</v>
      </c>
      <c r="F8" s="217">
        <f>(+'18'!$J15-'26'!$J15)/'7'!$F15*100</f>
        <v>0.85977730856283507</v>
      </c>
      <c r="G8" s="217">
        <f>(+'18'!$J16-'26'!$J16)/'7'!$F16*100</f>
        <v>0.69528415961305923</v>
      </c>
      <c r="H8" s="217">
        <f>(+'18'!$J17-'26'!$J17)/'7'!$F17*100</f>
        <v>0.39355885357207232</v>
      </c>
      <c r="I8" s="217">
        <f>(+'18'!$J18-'26'!$J18)/'7'!$F18*100</f>
        <v>0.41895901358262139</v>
      </c>
      <c r="J8" s="217">
        <f>(+'18'!$J19-'26'!$J19)/'7'!$F19*100</f>
        <v>0.4527765858277969</v>
      </c>
      <c r="K8" s="217">
        <f>(+'18'!$J20-'26'!$J20)/'7'!$F20*100</f>
        <v>7.1960407090302964E-2</v>
      </c>
    </row>
    <row r="9" spans="1:11" s="6" customFormat="1" ht="29.25" customHeight="1">
      <c r="A9" s="51" t="s">
        <v>631</v>
      </c>
      <c r="B9" s="217">
        <f>(+'18'!$L11-'26'!$L11)/'7'!$G11*100</f>
        <v>0.79432624113475181</v>
      </c>
      <c r="C9" s="217">
        <f>(+'18'!$L12-'26'!$L12)/'7'!$G12*100</f>
        <v>0.91324200913242004</v>
      </c>
      <c r="D9" s="217">
        <f>(+'18'!$L13-'26'!$L13)/'7'!$G13*100</f>
        <v>0.96353881528522933</v>
      </c>
      <c r="E9" s="217">
        <f>(+'18'!$L14-'26'!$L14)/'7'!$G14*100</f>
        <v>0.78587576703627937</v>
      </c>
      <c r="F9" s="217">
        <f>(+'18'!$L15-'26'!$L15)/'7'!$G15*100</f>
        <v>0.71984332821679986</v>
      </c>
      <c r="G9" s="217">
        <f>(+'18'!$L16-'26'!$L16)/'7'!$G16*100</f>
        <v>0.520751965838671</v>
      </c>
      <c r="H9" s="217">
        <f>(+'18'!$L17-'26'!$L17)/'7'!$G17*100</f>
        <v>0.3735735121027583</v>
      </c>
      <c r="I9" s="217">
        <f>(+'18'!$L18-'26'!$L18)/'7'!$G18*100</f>
        <v>0.38683747802059781</v>
      </c>
      <c r="J9" s="217">
        <f>(+'18'!$L19-'26'!$L19)/'7'!$G19*100</f>
        <v>0.33043992898007496</v>
      </c>
      <c r="K9" s="217">
        <f>(+'18'!$L20-'26'!$L20)/'7'!$G20*100</f>
        <v>0.24221285665843142</v>
      </c>
    </row>
    <row r="10" spans="1:11" s="6" customFormat="1" ht="29.25" customHeight="1">
      <c r="A10" s="51" t="s">
        <v>422</v>
      </c>
      <c r="B10" s="217">
        <f>(+'18'!$N11-'26'!$N11)/'7'!$H11*100</f>
        <v>0.7776282338866457</v>
      </c>
      <c r="C10" s="217">
        <f>(+'18'!$N12-'26'!$N12)/'7'!$H12*100</f>
        <v>0.99897914539886246</v>
      </c>
      <c r="D10" s="217">
        <f>(+'18'!$N13-'26'!$N13)/'7'!$H13*100</f>
        <v>0.81202364840800623</v>
      </c>
      <c r="E10" s="217">
        <f>(+'18'!$N14-'26'!$N14)/'7'!$H14*100</f>
        <v>0.56359588087948786</v>
      </c>
      <c r="F10" s="217">
        <f>(+'18'!$N15-'26'!$N15)/'7'!$H15*100</f>
        <v>1.2115436972502043</v>
      </c>
      <c r="G10" s="217">
        <f>(+'18'!$N16-'26'!$N16)/'7'!$H16*100</f>
        <v>0.87199627238234712</v>
      </c>
      <c r="H10" s="217">
        <f>(+'18'!$N17-'26'!$N17)/'7'!$H17*100</f>
        <v>0.72864485069286322</v>
      </c>
      <c r="I10" s="217">
        <f>(+'18'!$N18-'26'!$N18)/'7'!$H18*100</f>
        <v>0.34298780487804881</v>
      </c>
      <c r="J10" s="217">
        <f>(+'18'!$N19-'26'!$N19)/'7'!$H19*100</f>
        <v>0.57118023219718128</v>
      </c>
      <c r="K10" s="217">
        <f>(+'18'!$N20-'26'!$N20)/'7'!$H20*100</f>
        <v>0.35796626622982647</v>
      </c>
    </row>
    <row r="11" spans="1:11" s="6" customFormat="1" ht="29.25" customHeight="1">
      <c r="A11" s="51" t="s">
        <v>429</v>
      </c>
      <c r="B11" s="217">
        <f>(+'18'!$P11-'26'!$P11)/'7'!$I11*100</f>
        <v>1.1271613044429853</v>
      </c>
      <c r="C11" s="217">
        <f>(+'18'!$P12-'26'!$P12)/'7'!$I12*100</f>
        <v>1.0774482611478557</v>
      </c>
      <c r="D11" s="217">
        <f>(+'18'!$P13-'26'!$P13)/'7'!$I13*100</f>
        <v>1.0104166666666665</v>
      </c>
      <c r="E11" s="217">
        <f>(+'18'!$P14-'26'!$P14)/'7'!$I14*100</f>
        <v>0.78331637843336732</v>
      </c>
      <c r="F11" s="217">
        <f>(+'18'!$P15-'26'!$P15)/'7'!$I15*100</f>
        <v>0.97502736046164562</v>
      </c>
      <c r="G11" s="217">
        <f>(+'18'!$P16-'26'!$P16)/'7'!$I16*100</f>
        <v>0.54474708171206221</v>
      </c>
      <c r="H11" s="217">
        <f>(+'18'!$P17-'26'!$P17)/'7'!$I17*100</f>
        <v>0.85608294492533055</v>
      </c>
      <c r="I11" s="217">
        <f>(+'18'!$P18-'26'!$P18)/'7'!$I18*100</f>
        <v>0.78966926793013736</v>
      </c>
      <c r="J11" s="217">
        <f>(+'18'!$P19-'26'!$P19)/'7'!$I19*100</f>
        <v>0.66303360581289739</v>
      </c>
      <c r="K11" s="217">
        <f>(+'18'!$P20-'26'!$P20)/'7'!$I20*100</f>
        <v>0.30187339074846842</v>
      </c>
    </row>
    <row r="12" spans="1:11" s="6" customFormat="1" ht="29.25" customHeight="1">
      <c r="A12" s="51" t="s">
        <v>632</v>
      </c>
      <c r="B12" s="217">
        <f>(+'18'!$H11-'26'!$H11)/'7'!$E11*100</f>
        <v>0.86290923685568499</v>
      </c>
      <c r="C12" s="217">
        <f>(+'18'!$H12-'26'!$H12)/'7'!$E12*100</f>
        <v>0.91951852725985372</v>
      </c>
      <c r="D12" s="217">
        <f>(+'18'!$H13-'26'!$H13)/'7'!$E13*100</f>
        <v>0.92548492234705226</v>
      </c>
      <c r="E12" s="217">
        <f>(+'18'!$H14-'26'!$H14)/'7'!$E14*100</f>
        <v>0.85065114990302026</v>
      </c>
      <c r="F12" s="217">
        <f>(+'18'!$H15-'26'!$H15)/'7'!$E15*100</f>
        <v>0.89341993477486359</v>
      </c>
      <c r="G12" s="217">
        <f>(+'18'!$H16-'26'!$H16)/'7'!$E16*100</f>
        <v>0.67500406628955589</v>
      </c>
      <c r="H12" s="217">
        <f>(+'18'!$H17-'26'!$H17)/'7'!$E17*100</f>
        <v>0.47947712885166566</v>
      </c>
      <c r="I12" s="217">
        <f>(+'18'!$H18-'26'!$H18)/'7'!$E18*100</f>
        <v>0.43794719960523071</v>
      </c>
      <c r="J12" s="217">
        <f>(+'18'!$H19-'26'!$H19)/'7'!$E19*100</f>
        <v>0.46792374060673536</v>
      </c>
      <c r="K12" s="217">
        <f>(+'18'!$H20-'26'!$H20)/'7'!$E20*100</f>
        <v>0.16483374971025319</v>
      </c>
    </row>
    <row r="13" spans="1:11" s="6" customFormat="1" ht="15" customHeight="1">
      <c r="A13" s="51"/>
      <c r="B13" s="42"/>
      <c r="C13" s="42"/>
      <c r="D13" s="42"/>
      <c r="E13" s="42"/>
      <c r="F13" s="42"/>
      <c r="G13" s="42"/>
      <c r="H13" s="42"/>
      <c r="I13" s="42"/>
      <c r="J13" s="42"/>
      <c r="K13" s="42"/>
    </row>
    <row r="14" spans="1:11" s="6" customFormat="1" ht="29.25" customHeight="1">
      <c r="A14" s="51" t="s">
        <v>633</v>
      </c>
      <c r="B14" s="217">
        <f>(+'18'!$T11-'26'!$T11)/'7'!$K11*100</f>
        <v>0.97513670770142491</v>
      </c>
      <c r="C14" s="217">
        <f>(+'18'!$T12-'26'!$T12)/'7'!$K12*100</f>
        <v>0.99049391743668158</v>
      </c>
      <c r="D14" s="217">
        <f>(+'18'!$T13-'26'!$T13)/'7'!$K13*100</f>
        <v>0.84089923662116173</v>
      </c>
      <c r="E14" s="217">
        <f>(+'18'!$T14-'26'!$T14)/'7'!$K14*100</f>
        <v>0.72574781886165352</v>
      </c>
      <c r="F14" s="217">
        <f>(+'18'!$T15-'26'!$T15)/'7'!$K15*100</f>
        <v>0.86439069433400884</v>
      </c>
      <c r="G14" s="217">
        <f>(+'18'!$T16-'26'!$T16)/'7'!$K16*100</f>
        <v>0.70707198702434204</v>
      </c>
      <c r="H14" s="217">
        <f>(+'18'!$T17-'26'!$T17)/'7'!$K17*100</f>
        <v>0.57277922987456387</v>
      </c>
      <c r="I14" s="217">
        <f>(+'18'!$T18-'26'!$T18)/'7'!$K18*100</f>
        <v>0.67430966469428011</v>
      </c>
      <c r="J14" s="217">
        <f>(+'18'!$T19-'26'!$T19)/'7'!$K19*100</f>
        <v>0.6438915346486539</v>
      </c>
      <c r="K14" s="217">
        <f>(+'18'!$T20-'26'!$T20)/'7'!$K20*100</f>
        <v>0.34972572879488345</v>
      </c>
    </row>
    <row r="15" spans="1:11" s="6" customFormat="1" ht="29.25" customHeight="1">
      <c r="A15" s="51" t="s">
        <v>393</v>
      </c>
      <c r="B15" s="217">
        <f>(+'18'!$V11-'26'!$V11)/'7'!$L11*100</f>
        <v>0.53446369332841881</v>
      </c>
      <c r="C15" s="217">
        <f>(+'18'!$V12-'26'!$V12)/'7'!$L12*100</f>
        <v>0.51132213294375461</v>
      </c>
      <c r="D15" s="217">
        <f>(+'18'!$V13-'26'!$V13)/'7'!$L13*100</f>
        <v>0.50126826911462741</v>
      </c>
      <c r="E15" s="217">
        <f>(+'18'!$V14-'26'!$V14)/'7'!$L14*100</f>
        <v>0.43134435657800141</v>
      </c>
      <c r="F15" s="217">
        <f>(+'18'!$V15-'26'!$V15)/'7'!$L15*100</f>
        <v>0.47536989720125972</v>
      </c>
      <c r="G15" s="217">
        <f>(+'18'!$V16-'26'!$V16)/'7'!$L16*100</f>
        <v>0.21812179449389849</v>
      </c>
      <c r="H15" s="217">
        <f>(+'18'!$V17-'26'!$V17)/'7'!$L17*100</f>
        <v>0.22201448936667445</v>
      </c>
      <c r="I15" s="217">
        <f>(+'18'!$V18-'26'!$V18)/'7'!$L18*100</f>
        <v>0.60143418922044878</v>
      </c>
      <c r="J15" s="217">
        <f>(+'18'!$V19-'26'!$V19)/'7'!$L19*100</f>
        <v>0.1373704996851926</v>
      </c>
      <c r="K15" s="217">
        <f>(+'18'!$V20-'26'!$V20)/'7'!$L20*100</f>
        <v>0.18702181921224142</v>
      </c>
    </row>
    <row r="16" spans="1:11" s="6" customFormat="1" ht="29.25" customHeight="1">
      <c r="A16" s="51" t="s">
        <v>634</v>
      </c>
      <c r="B16" s="217">
        <f>(+'18'!$X11-'26'!$X11)/'7'!$M11*100</f>
        <v>1.1723808874650672</v>
      </c>
      <c r="C16" s="217">
        <f>(+'18'!$X12-'26'!$X12)/'7'!$M12*100</f>
        <v>0.74079062563135567</v>
      </c>
      <c r="D16" s="217">
        <f>(+'18'!$X13-'26'!$X13)/'7'!$M13*100</f>
        <v>0.89255978152268034</v>
      </c>
      <c r="E16" s="217">
        <f>(+'18'!$X14-'26'!$X14)/'7'!$M14*100</f>
        <v>0.58629776021080371</v>
      </c>
      <c r="F16" s="217">
        <f>(+'18'!$X15-'26'!$X15)/'7'!$M15*100</f>
        <v>0.90536051586009247</v>
      </c>
      <c r="G16" s="217">
        <f>(+'18'!$X16-'26'!$X16)/'7'!$M16*100</f>
        <v>0.76650563607085354</v>
      </c>
      <c r="H16" s="217">
        <f>(+'18'!$X17-'26'!$X17)/'7'!$M17*100</f>
        <v>0.29905828455077627</v>
      </c>
      <c r="I16" s="217">
        <f>(+'18'!$X18-'26'!$X18)/'7'!$M18*100</f>
        <v>0.53358443188951665</v>
      </c>
      <c r="J16" s="217">
        <f>(+'18'!$X19-'26'!$X19)/'7'!$M19*100</f>
        <v>0.27244582043343651</v>
      </c>
      <c r="K16" s="217">
        <f>(+'18'!$X20-'26'!$X20)/'7'!$M20*100</f>
        <v>0.26272377344656933</v>
      </c>
    </row>
    <row r="17" spans="1:11" s="6" customFormat="1" ht="29.25" customHeight="1">
      <c r="A17" s="51" t="s">
        <v>416</v>
      </c>
      <c r="B17" s="217">
        <f>(+'18'!$Z11-'26'!$Z11)/'7'!$N11*100</f>
        <v>0.9196378041878891</v>
      </c>
      <c r="C17" s="217">
        <f>(+'18'!$Z12-'26'!$Z12)/'7'!$N12*100</f>
        <v>0.75832046060946501</v>
      </c>
      <c r="D17" s="217">
        <f>(+'18'!$Z13-'26'!$Z13)/'7'!$N13*100</f>
        <v>0.7533482142857143</v>
      </c>
      <c r="E17" s="217">
        <f>(+'18'!$Z14-'26'!$Z14)/'7'!$N14*100</f>
        <v>0.88654938357113178</v>
      </c>
      <c r="F17" s="217">
        <f>(+'18'!$Z15-'26'!$Z15)/'7'!$N15*100</f>
        <v>0.89359362111630458</v>
      </c>
      <c r="G17" s="217">
        <f>(+'18'!$Z16-'26'!$Z16)/'7'!$N16*100</f>
        <v>0.69596069868995636</v>
      </c>
      <c r="H17" s="217">
        <f>(+'18'!$Z17-'26'!$Z17)/'7'!$N17*100</f>
        <v>0.29753854476602654</v>
      </c>
      <c r="I17" s="217">
        <f>(+'18'!$Z18-'26'!$Z18)/'7'!$N18*100</f>
        <v>0.61563169164882225</v>
      </c>
      <c r="J17" s="217">
        <f>(+'18'!$Z19-'26'!$Z19)/'7'!$N19*100</f>
        <v>0.46339202965708987</v>
      </c>
      <c r="K17" s="217">
        <f>(+'18'!$Z20-'26'!$Z20)/'7'!$N20*100</f>
        <v>0.15721210533211058</v>
      </c>
    </row>
    <row r="18" spans="1:11" s="6" customFormat="1" ht="29.25" customHeight="1">
      <c r="A18" s="51" t="s">
        <v>635</v>
      </c>
      <c r="B18" s="217">
        <f>(+'18'!$AB11-'26'!$AB11)/'7'!$O11*100</f>
        <v>0.71487603305785119</v>
      </c>
      <c r="C18" s="217">
        <f>(+'18'!$AB12-'26'!$AB12)/'7'!$O12*100</f>
        <v>1.0021679551683231</v>
      </c>
      <c r="D18" s="217">
        <f>(+'18'!$AB13-'26'!$AB13)/'7'!$O13*100</f>
        <v>0.89589751905302417</v>
      </c>
      <c r="E18" s="217">
        <f>(+'18'!$AB14-'26'!$AB14)/'7'!$O14*100</f>
        <v>0.89174533038762804</v>
      </c>
      <c r="F18" s="217">
        <f>(+'18'!$AB15-'26'!$AB15)/'7'!$O15*100</f>
        <v>0.8316752884998011</v>
      </c>
      <c r="G18" s="217">
        <f>(+'18'!$AB16-'26'!$AB16)/'7'!$O16*100</f>
        <v>0.46130189646335212</v>
      </c>
      <c r="H18" s="217">
        <f>(+'18'!$AB17-'26'!$AB17)/'7'!$O17*100</f>
        <v>0.44876297510341062</v>
      </c>
      <c r="I18" s="217">
        <f>(+'18'!$AB18-'26'!$AB18)/'7'!$O18*100</f>
        <v>0.51301832208293152</v>
      </c>
      <c r="J18" s="217">
        <f>(+'18'!$AB19-'26'!$AB19)/'7'!$O19*100</f>
        <v>0.57563281488258611</v>
      </c>
      <c r="K18" s="217">
        <f>(+'18'!$AB20-'26'!$AB20)/'7'!$O20*100</f>
        <v>0.20352014472543623</v>
      </c>
    </row>
    <row r="19" spans="1:11" s="6" customFormat="1" ht="29.25" customHeight="1">
      <c r="A19" s="51" t="s">
        <v>418</v>
      </c>
      <c r="B19" s="217">
        <f>(+'18'!$AD11-'26'!$AD11)/'7'!$P11*100</f>
        <v>0.76435903035597286</v>
      </c>
      <c r="C19" s="217">
        <f>(+'18'!$AD12-'26'!$AD12)/'7'!$P12*100</f>
        <v>0.76297415964874404</v>
      </c>
      <c r="D19" s="217">
        <f>(+'18'!$AD13-'26'!$AD13)/'7'!$P13*100</f>
        <v>0.79093629756306105</v>
      </c>
      <c r="E19" s="217">
        <f>(+'18'!$AD14-'26'!$AD14)/'7'!$P14*100</f>
        <v>0.84632202553071445</v>
      </c>
      <c r="F19" s="217">
        <f>(+'18'!$AD15-'26'!$AD15)/'7'!$P15*100</f>
        <v>0.71184311536045786</v>
      </c>
      <c r="G19" s="217">
        <f>(+'18'!$AD16-'26'!$AD16)/'7'!$P16*100</f>
        <v>0.47661808385715276</v>
      </c>
      <c r="H19" s="217">
        <f>(+'18'!$AD17-'26'!$AD17)/'7'!$P17*100</f>
        <v>0.52584852830704099</v>
      </c>
      <c r="I19" s="217">
        <f>(+'18'!$AD18-'26'!$AD18)/'7'!$P18*100</f>
        <v>0.60683703054413052</v>
      </c>
      <c r="J19" s="217">
        <f>(+'18'!$AD19-'26'!$AD19)/'7'!$P19*100</f>
        <v>0.47926512680556482</v>
      </c>
      <c r="K19" s="217">
        <f>(+'18'!$AD20-'26'!$AD20)/'7'!$P20*100</f>
        <v>0.16433313613356998</v>
      </c>
    </row>
    <row r="20" spans="1:11" s="6" customFormat="1" ht="29.25" customHeight="1">
      <c r="A20" s="51" t="s">
        <v>636</v>
      </c>
      <c r="B20" s="217">
        <f>(+'18'!$R11-'26'!$R11)/'7'!$J11*100</f>
        <v>0.88282290279627174</v>
      </c>
      <c r="C20" s="217">
        <f>(+'18'!$R12-'26'!$R12)/'7'!$J12*100</f>
        <v>0.88448401808453925</v>
      </c>
      <c r="D20" s="217">
        <f>(+'18'!$R13-'26'!$R13)/'7'!$J13*100</f>
        <v>0.8095083034842071</v>
      </c>
      <c r="E20" s="217">
        <f>(+'18'!$R14-'26'!$R14)/'7'!$J14*100</f>
        <v>0.72556688940582126</v>
      </c>
      <c r="F20" s="217">
        <f>(+'18'!$R15-'26'!$R15)/'7'!$J15*100</f>
        <v>0.8088521183766868</v>
      </c>
      <c r="G20" s="217">
        <f>(+'18'!$R16-'26'!$R16)/'7'!$J16*100</f>
        <v>0.59972378652103453</v>
      </c>
      <c r="H20" s="217">
        <f>(+'18'!$R17-'26'!$R17)/'7'!$J17*100</f>
        <v>0.47178042578650842</v>
      </c>
      <c r="I20" s="217">
        <f>(+'18'!$R18-'26'!$R18)/'7'!$J18*100</f>
        <v>0.61819523897398043</v>
      </c>
      <c r="J20" s="217">
        <f>(+'18'!$R19-'26'!$R19)/'7'!$J19*100</f>
        <v>0.519603498825429</v>
      </c>
      <c r="K20" s="217">
        <f>(+'18'!$R20-'26'!$R20)/'7'!$J20*100</f>
        <v>0.27503969799562572</v>
      </c>
    </row>
    <row r="21" spans="1:11" s="6" customFormat="1" ht="29.25" customHeight="1">
      <c r="A21" s="218" t="s">
        <v>637</v>
      </c>
      <c r="B21" s="219">
        <f>(+'18'!$F11-'26'!$F11)/'7'!$D11*100</f>
        <v>0.87464586456134297</v>
      </c>
      <c r="C21" s="219">
        <f>(+'18'!$F12-'26'!$F12)/'7'!$D12*100</f>
        <v>0.89887466166171603</v>
      </c>
      <c r="D21" s="219">
        <f>(+'18'!$F13-'26'!$F13)/'7'!$D13*100</f>
        <v>0.85715710838011117</v>
      </c>
      <c r="E21" s="219">
        <f>(+'18'!$F14-'26'!$F14)/'7'!$D14*100</f>
        <v>0.77697098979347823</v>
      </c>
      <c r="F21" s="219">
        <f>(+'18'!$F15-'26'!$F15)/'7'!$D15*100</f>
        <v>0.84360780309060046</v>
      </c>
      <c r="G21" s="219">
        <f>(+'18'!$F16-'26'!$F16)/'7'!$D16*100</f>
        <v>0.6306664339118776</v>
      </c>
      <c r="H21" s="219">
        <f>(+'18'!$F17-'26'!$F17)/'7'!$D17*100</f>
        <v>0.47494430232003321</v>
      </c>
      <c r="I21" s="219">
        <f>(+'18'!$F18-'26'!$F18)/'7'!$D18*100</f>
        <v>0.54409644489846187</v>
      </c>
      <c r="J21" s="219">
        <f>(+'18'!$F19-'26'!$F19)/'7'!$D19*100</f>
        <v>0.49836084328088742</v>
      </c>
      <c r="K21" s="219">
        <f>(+'18'!$F20-'26'!$F20)/'7'!$D20*100</f>
        <v>0.22973821841717071</v>
      </c>
    </row>
    <row r="23" spans="1:11">
      <c r="J23" s="223"/>
    </row>
  </sheetData>
  <mergeCells count="2">
    <mergeCell ref="A1:J1"/>
    <mergeCell ref="A3:J3"/>
  </mergeCells>
  <phoneticPr fontId="19" type="noConversion"/>
  <pageMargins left="0.78740157480314965" right="0.78740157480314965" top="1.1811023622047245" bottom="0.78740157480314965" header="0.51181102362204722" footer="0.51181102362204722"/>
  <pageSetup paperSize="5" scale="9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topLeftCell="A13" workbookViewId="0">
      <selection activeCell="H13" sqref="H13"/>
    </sheetView>
  </sheetViews>
  <sheetFormatPr baseColWidth="10" defaultRowHeight="13.2"/>
  <cols>
    <col min="1" max="1" width="18.77734375" customWidth="1"/>
    <col min="2" max="2" width="10" customWidth="1"/>
    <col min="3" max="4" width="9.5546875" customWidth="1"/>
    <col min="5" max="5" width="10" customWidth="1"/>
    <col min="6" max="9" width="8.77734375" customWidth="1"/>
    <col min="10" max="10" width="7.21875" customWidth="1"/>
    <col min="11" max="11" width="6" customWidth="1"/>
  </cols>
  <sheetData>
    <row r="1" spans="1:11">
      <c r="A1" s="142" t="s">
        <v>609</v>
      </c>
      <c r="B1" s="143"/>
      <c r="C1" s="143"/>
      <c r="D1" s="143"/>
      <c r="E1" s="143"/>
      <c r="F1" s="143"/>
      <c r="G1" s="143"/>
      <c r="H1" s="143"/>
      <c r="I1" s="143"/>
    </row>
    <row r="2" spans="1:11">
      <c r="A2" s="144" t="s">
        <v>610</v>
      </c>
      <c r="B2" s="113"/>
      <c r="C2" s="113"/>
      <c r="D2" s="113"/>
      <c r="E2" s="113"/>
      <c r="F2" s="113"/>
      <c r="G2" s="113"/>
      <c r="H2" s="113"/>
      <c r="I2" s="113"/>
    </row>
    <row r="3" spans="1:11">
      <c r="A3" s="144"/>
      <c r="B3" s="113"/>
      <c r="C3" s="113"/>
      <c r="D3" s="113"/>
      <c r="E3" s="113"/>
      <c r="F3" s="113"/>
      <c r="G3" s="113"/>
      <c r="H3" s="113"/>
      <c r="I3" s="113"/>
    </row>
    <row r="4" spans="1:11">
      <c r="A4" s="144" t="s">
        <v>1657</v>
      </c>
      <c r="B4" s="12"/>
      <c r="C4" s="12"/>
      <c r="D4" s="12"/>
      <c r="E4" s="12"/>
      <c r="F4" s="12"/>
      <c r="G4" s="12"/>
      <c r="H4" s="12"/>
      <c r="I4" s="12"/>
    </row>
    <row r="6" spans="1:11" ht="24" customHeight="1">
      <c r="A6" s="11" t="s">
        <v>514</v>
      </c>
      <c r="B6" s="145">
        <v>2014</v>
      </c>
      <c r="C6" s="145">
        <v>2015</v>
      </c>
      <c r="D6" s="145">
        <v>2016</v>
      </c>
      <c r="E6" s="145">
        <v>2017</v>
      </c>
      <c r="F6" s="145">
        <v>2018</v>
      </c>
      <c r="G6" s="145">
        <v>2019</v>
      </c>
      <c r="H6" s="145">
        <v>2020</v>
      </c>
      <c r="I6" s="1028"/>
    </row>
    <row r="7" spans="1:11" ht="23.25" customHeight="1">
      <c r="A7" s="92" t="s">
        <v>521</v>
      </c>
      <c r="B7" s="146">
        <f>+SUM('[2]pob por grupo'!$BA$142:$BD$142)/SUM('[2]pob por grupo'!$AN$142:$AP$142)*100</f>
        <v>51.347507644172651</v>
      </c>
      <c r="C7" s="146">
        <f>+SUM('[2]pob por grupo'!$BA$153:$BD$153)/SUM('[2]pob por grupo'!$AN$153:$AP$153)*100</f>
        <v>53.610237346296827</v>
      </c>
      <c r="D7" s="146">
        <f>+SUM('[2]pob por grupo'!$BA$164:$BD$164)/SUM('[2]pob por grupo'!$AN$164:$AP$164)*100</f>
        <v>56.0782621205582</v>
      </c>
      <c r="E7" s="146">
        <f>+SUM('[2]pob por grupo'!$BA$175:$BD$175)/SUM('[2]pob por grupo'!$AN$175:$AP$175)*100</f>
        <v>58.935444049088673</v>
      </c>
      <c r="F7" s="146">
        <f>+SUM('[2]pob por grupo'!$BA$186:$BD$186)/SUM('[2]pob por grupo'!$AN$186:$AP$186)*100</f>
        <v>61.685935899312163</v>
      </c>
      <c r="G7" s="146">
        <f>+SUM('[2]pob por grupo'!$BA$197:$BD$197)/SUM('[2]pob por grupo'!$AN$197:$AP$197)*100</f>
        <v>64.39717356101869</v>
      </c>
      <c r="H7" s="146">
        <f>+SUM('[2]pob por grupo'!$BA$208:$BD$208)/SUM('[2]pob por grupo'!$AN$208:$AP$208)*100</f>
        <v>67.10273466371028</v>
      </c>
      <c r="I7" s="1029"/>
      <c r="J7" t="s">
        <v>1413</v>
      </c>
      <c r="K7" s="125">
        <f>+H7</f>
        <v>67.10273466371028</v>
      </c>
    </row>
    <row r="8" spans="1:11" ht="23.25" customHeight="1">
      <c r="A8" s="92" t="s">
        <v>522</v>
      </c>
      <c r="B8" s="146">
        <f>+SUM('[2]pob por grupo'!$BA$146:$BD$146)/SUM('[2]pob por grupo'!$AN$146:$AP$146)*100</f>
        <v>48.511976772320345</v>
      </c>
      <c r="C8" s="146">
        <f>+SUM('[2]pob por grupo'!$BA$157:$BD$157)/SUM('[2]pob por grupo'!$AN$157:$AP$157)*100</f>
        <v>49.916327994262495</v>
      </c>
      <c r="D8" s="146">
        <f>+SUM('[2]pob por grupo'!$BA$168:$BD$168)/SUM('[2]pob por grupo'!$AN$168:$AP$168)*100</f>
        <v>51.357733175915001</v>
      </c>
      <c r="E8" s="146">
        <f>+SUM('[2]pob por grupo'!$BA$179:$BD$179)/SUM('[2]pob por grupo'!$AN$179:$AP$179)*100</f>
        <v>53.275620028076744</v>
      </c>
      <c r="F8" s="146">
        <f>+SUM('[2]pob por grupo'!$BA$190:$BD$190)/SUM('[2]pob por grupo'!$AN$190:$AP$190)*100</f>
        <v>55.809612692487164</v>
      </c>
      <c r="G8" s="146">
        <f>+SUM('[2]pob por grupo'!$BA$201:$BD$201)/SUM('[2]pob por grupo'!$AN$201:$AP$201)*100</f>
        <v>58.202038924930491</v>
      </c>
      <c r="H8" s="146">
        <f>+SUM('[2]pob por grupo'!$BA$212:$BD$212)/SUM('[2]pob por grupo'!$AN$212:$AP$212)*100</f>
        <v>60.654227136604469</v>
      </c>
      <c r="I8" s="1029"/>
      <c r="J8" t="s">
        <v>1414</v>
      </c>
      <c r="K8" s="125">
        <f>+H8</f>
        <v>60.654227136604469</v>
      </c>
    </row>
    <row r="9" spans="1:11" ht="23.25" customHeight="1">
      <c r="A9" s="92" t="s">
        <v>523</v>
      </c>
      <c r="B9" s="146">
        <f>+SUM('[2]pob por grupo'!$BA$139:$BD$139)/SUM('[2]pob por grupo'!$AN$139:$AP$139)*100</f>
        <v>45.240253853127832</v>
      </c>
      <c r="C9" s="146">
        <f>+SUM('[2]pob por grupo'!$BA$150:$BD$150)/SUM('[2]pob por grupo'!$AN$150:$AP$150)*100</f>
        <v>46.064746064746068</v>
      </c>
      <c r="D9" s="146">
        <f>+SUM('[2]pob por grupo'!$BA$161:$BD$161)/SUM('[2]pob por grupo'!$AN$161:$AP$161)*100</f>
        <v>47.161572052401745</v>
      </c>
      <c r="E9" s="146">
        <f>+SUM('[2]pob por grupo'!$BA$172:$BD$172)/SUM('[2]pob por grupo'!$AN$172:$AP$172)*100</f>
        <v>48.665710186513628</v>
      </c>
      <c r="F9" s="146">
        <f>+SUM('[2]pob por grupo'!$BA$183:$BD$183)/SUM('[2]pob por grupo'!$AN$183:$AP$183)*100</f>
        <v>50.965909090909086</v>
      </c>
      <c r="G9" s="146">
        <f>+SUM('[2]pob por grupo'!$BA$194:$BD$194)/SUM('[2]pob por grupo'!$AN$194:$AP$194)*100</f>
        <v>53.136427566807306</v>
      </c>
      <c r="H9" s="146">
        <f>+SUM('[2]pob por grupo'!$BA$205:$BD$205)/SUM('[2]pob por grupo'!$AN$205:$AP$205)*100</f>
        <v>55.336297943301837</v>
      </c>
      <c r="I9" s="1029"/>
      <c r="J9" t="s">
        <v>1415</v>
      </c>
      <c r="K9" s="125">
        <f>+H9</f>
        <v>55.336297943301837</v>
      </c>
    </row>
    <row r="10" spans="1:11" ht="23.25" customHeight="1">
      <c r="A10" s="92" t="s">
        <v>524</v>
      </c>
      <c r="B10" s="146">
        <f>+SUM('[2]pob por grupo'!$BA$145:$BD$145)/SUM('[2]pob por grupo'!$AN$145:$AP$145)*100</f>
        <v>43.156059285091544</v>
      </c>
      <c r="C10" s="146">
        <f>+SUM('[2]pob por grupo'!$BA$156:$BD$156)/SUM('[2]pob por grupo'!$AN$156:$AP$156)*100</f>
        <v>44.011976047904191</v>
      </c>
      <c r="D10" s="146">
        <f>+SUM('[2]pob por grupo'!$BA$167:$BD$167)/SUM('[2]pob por grupo'!$AN$167:$AP$167)*100</f>
        <v>44.736842105263158</v>
      </c>
      <c r="E10" s="146">
        <f>+SUM('[2]pob por grupo'!$BA$178:$BD$178)/SUM('[2]pob por grupo'!$AN$178:$AP$178)*100</f>
        <v>45.869297163995064</v>
      </c>
      <c r="F10" s="146">
        <f>+SUM('[2]pob por grupo'!$BA$189:$BD$189)/SUM('[2]pob por grupo'!$AN$189:$AP$189)*100</f>
        <v>47.967479674796749</v>
      </c>
      <c r="G10" s="146">
        <f>+SUM('[2]pob por grupo'!$BA$200:$BD$200)/SUM('[2]pob por grupo'!$AN$200:$AP$200)*100</f>
        <v>49.979895456373143</v>
      </c>
      <c r="H10" s="146">
        <f>+SUM('[2]pob por grupo'!$BA$211:$BD$211)/SUM('[2]pob por grupo'!$AN$211:$AP$211)*100</f>
        <v>52.26910828025477</v>
      </c>
      <c r="I10" s="1029"/>
      <c r="J10" t="s">
        <v>1416</v>
      </c>
      <c r="K10" s="125">
        <f>+H10</f>
        <v>52.26910828025477</v>
      </c>
    </row>
    <row r="11" spans="1:11" ht="23.25" customHeight="1">
      <c r="A11" s="98" t="s">
        <v>525</v>
      </c>
      <c r="B11" s="1470">
        <v>49.22</v>
      </c>
      <c r="C11" s="1470">
        <v>50.96</v>
      </c>
      <c r="D11" s="1470">
        <v>52.83</v>
      </c>
      <c r="E11" s="1470">
        <v>55.11</v>
      </c>
      <c r="F11" s="1470">
        <v>57.65</v>
      </c>
      <c r="G11" s="1470">
        <v>60.11</v>
      </c>
      <c r="H11" s="1470">
        <v>62.6</v>
      </c>
      <c r="I11" s="1029"/>
      <c r="J11" t="s">
        <v>1417</v>
      </c>
      <c r="K11" s="125">
        <f t="shared" ref="K11:K16" si="0">+H12</f>
        <v>60.572059763967211</v>
      </c>
    </row>
    <row r="12" spans="1:11" ht="23.25" customHeight="1">
      <c r="A12" s="92" t="s">
        <v>526</v>
      </c>
      <c r="B12" s="146">
        <f>+SUM('[2]pob por grupo'!$BA$147:$BD$147)/SUM('[2]pob por grupo'!$AN$147:$AP$147)*100</f>
        <v>48.090390160654387</v>
      </c>
      <c r="C12" s="146">
        <f>+SUM('[2]pob por grupo'!$BA$158:$BD$158)/SUM('[2]pob por grupo'!$AN$158:$AP$158)*100</f>
        <v>49.586728413154347</v>
      </c>
      <c r="D12" s="146">
        <f>+SUM('[2]pob por grupo'!$BA$169:$BD$169)/SUM('[2]pob por grupo'!$AN$169:$AP$169)*100</f>
        <v>51.31563559817566</v>
      </c>
      <c r="E12" s="146">
        <f>+SUM('[2]pob por grupo'!$BA$180:$BD$180)/SUM('[2]pob por grupo'!$AN$180:$AP$180)*100</f>
        <v>53.275670621237801</v>
      </c>
      <c r="F12" s="146">
        <f>+SUM('[2]pob por grupo'!$BA$191:$BD$191)/SUM('[2]pob por grupo'!$AN$191:$AP$191)*100</f>
        <v>55.760799672648616</v>
      </c>
      <c r="G12" s="146">
        <f>+SUM('[2]pob por grupo'!$BA$202:$BD$202)/SUM('[2]pob por grupo'!$AN$202:$AP$202)*100</f>
        <v>58.139399241761446</v>
      </c>
      <c r="H12" s="146">
        <f>+SUM('[2]pob por grupo'!$BA$213:$BD$213)/SUM('[2]pob por grupo'!$AN$213:$AP$213)*100</f>
        <v>60.572059763967211</v>
      </c>
      <c r="I12" s="1029"/>
      <c r="J12" t="s">
        <v>1418</v>
      </c>
      <c r="K12" s="125">
        <f t="shared" si="0"/>
        <v>83.485967503692763</v>
      </c>
    </row>
    <row r="13" spans="1:11" ht="23.25" customHeight="1">
      <c r="A13" s="92" t="s">
        <v>527</v>
      </c>
      <c r="B13" s="146">
        <f>+SUM('[2]pob por grupo'!$BA$144:$BD$144)/SUM('[2]pob por grupo'!$AN$144:$AP$144)*100</f>
        <v>65.517241379310349</v>
      </c>
      <c r="C13" s="146">
        <f>+SUM('[2]pob por grupo'!$BA$155:$BD$155)/SUM('[2]pob por grupo'!$AN$155:$AP$155)*100</f>
        <v>67.888055395268324</v>
      </c>
      <c r="D13" s="146">
        <f>+SUM('[2]pob por grupo'!$BA$166:$BD$166)/SUM('[2]pob por grupo'!$AN$166:$AP$166)*100</f>
        <v>70.269487105186897</v>
      </c>
      <c r="E13" s="146">
        <f>+SUM('[2]pob por grupo'!$BA$177:$BD$177)/SUM('[2]pob por grupo'!$AN$177:$AP$177)*100</f>
        <v>73.348918760958497</v>
      </c>
      <c r="F13" s="146">
        <f>+SUM('[2]pob por grupo'!$BA$188:$BD$188)/SUM('[2]pob por grupo'!$AN$188:$AP$188)*100</f>
        <v>76.674500587544074</v>
      </c>
      <c r="G13" s="146">
        <f>+SUM('[2]pob por grupo'!$BA$199:$BD$199)/SUM('[2]pob por grupo'!$AN$199:$AP$199)*100</f>
        <v>79.876252209781967</v>
      </c>
      <c r="H13" s="146">
        <f>+SUM('[2]pob por grupo'!$BA$210:$BD$210)/SUM('[2]pob por grupo'!$AN$210:$AP$210)*100</f>
        <v>83.485967503692763</v>
      </c>
      <c r="I13" s="1029"/>
      <c r="J13" t="s">
        <v>1419</v>
      </c>
      <c r="K13" s="125">
        <f t="shared" si="0"/>
        <v>66.758494031221304</v>
      </c>
    </row>
    <row r="14" spans="1:11" ht="23.25" customHeight="1">
      <c r="A14" s="92" t="s">
        <v>528</v>
      </c>
      <c r="B14" s="146">
        <f>+SUM('[2]pob por grupo'!$BA$148:$BD$148)/SUM('[2]pob por grupo'!$AN$148:$AP$148)*100</f>
        <v>51.990202082057557</v>
      </c>
      <c r="C14" s="146">
        <f>+SUM('[2]pob por grupo'!$BA$159:$BD$159)/SUM('[2]pob por grupo'!$AN$159:$AP$159)*100</f>
        <v>54.050749006420048</v>
      </c>
      <c r="D14" s="146">
        <f>+SUM('[2]pob por grupo'!$BA$170:$BD$170)/SUM('[2]pob por grupo'!$AN$170:$AP$170)*100</f>
        <v>56.286326093606611</v>
      </c>
      <c r="E14" s="146">
        <f>+SUM('[2]pob por grupo'!$BA$181:$BD$181)/SUM('[2]pob por grupo'!$AN$181:$AP$181)*100</f>
        <v>58.553034947884733</v>
      </c>
      <c r="F14" s="146">
        <f>+SUM('[2]pob por grupo'!$BA$192:$BD$192)/SUM('[2]pob por grupo'!$AN$192:$AP$192)*100</f>
        <v>61.252686521338653</v>
      </c>
      <c r="G14" s="146">
        <f>+SUM('[2]pob por grupo'!$BA$203:$BD$203)/SUM('[2]pob por grupo'!$AN$203:$AP$203)*100</f>
        <v>63.784115302054587</v>
      </c>
      <c r="H14" s="146">
        <f>+SUM('[2]pob por grupo'!$BA$214:$BD$214)/SUM('[2]pob por grupo'!$AN$214:$AP$214)*100</f>
        <v>66.758494031221304</v>
      </c>
      <c r="I14" s="1029"/>
      <c r="J14" t="s">
        <v>1420</v>
      </c>
      <c r="K14" s="125">
        <f t="shared" si="0"/>
        <v>62.842242503259449</v>
      </c>
    </row>
    <row r="15" spans="1:11" ht="23.25" customHeight="1">
      <c r="A15" s="92" t="s">
        <v>529</v>
      </c>
      <c r="B15" s="146">
        <f>+SUM('[2]pob por grupo'!$BA$143:$BD$143)/SUM('[2]pob por grupo'!$AN$143:$AP$143)*100</f>
        <v>47.272727272727273</v>
      </c>
      <c r="C15" s="146">
        <f>+SUM('[2]pob por grupo'!$BA$154:$BD$154)/SUM('[2]pob por grupo'!$AN$154:$AP$154)*100</f>
        <v>49.367888748419716</v>
      </c>
      <c r="D15" s="146">
        <f>+SUM('[2]pob por grupo'!$BA$165:$BD$165)/SUM('[2]pob por grupo'!$AN$165:$AP$165)*100</f>
        <v>52.429667519181592</v>
      </c>
      <c r="E15" s="146">
        <f>+SUM('[2]pob por grupo'!$BA$176:$BD$176)/SUM('[2]pob por grupo'!$AN$176:$AP$176)*100</f>
        <v>55.30401034928849</v>
      </c>
      <c r="F15" s="146">
        <f>+SUM('[2]pob por grupo'!$BA$187:$BD$187)/SUM('[2]pob por grupo'!$AN$187:$AP$187)*100</f>
        <v>57.839947950553025</v>
      </c>
      <c r="G15" s="146">
        <f>+SUM('[2]pob por grupo'!$BA$198:$BD$198)/SUM('[2]pob por grupo'!$AN$198:$AP$198)*100</f>
        <v>60.3515625</v>
      </c>
      <c r="H15" s="146">
        <f>+SUM('[2]pob por grupo'!$BA$209:$BD$209)/SUM('[2]pob por grupo'!$AN$209:$AP$209)*100</f>
        <v>62.842242503259449</v>
      </c>
      <c r="I15" s="1029"/>
      <c r="J15" t="s">
        <v>1421</v>
      </c>
      <c r="K15" s="125">
        <f t="shared" si="0"/>
        <v>64.691856199559794</v>
      </c>
    </row>
    <row r="16" spans="1:11" ht="23.25" customHeight="1">
      <c r="A16" s="92" t="s">
        <v>530</v>
      </c>
      <c r="B16" s="146">
        <f>+SUM('[2]pob por grupo'!$BA$141:$BD$141)/SUM('[2]pob por grupo'!$AN$141:$AP$141)*100</f>
        <v>50.426574695952077</v>
      </c>
      <c r="C16" s="146">
        <f>+SUM('[2]pob por grupo'!$BA$152:$BD$152)/SUM('[2]pob por grupo'!$AN$152:$AP$152)*100</f>
        <v>52.268602540834841</v>
      </c>
      <c r="D16" s="146">
        <f>+SUM('[2]pob por grupo'!$BA$163:$BD$163)/SUM('[2]pob por grupo'!$AN$163:$AP$163)*100</f>
        <v>54.305959302325576</v>
      </c>
      <c r="E16" s="146">
        <f>+SUM('[2]pob por grupo'!$BA$174:$BD$174)/SUM('[2]pob por grupo'!$AN$174:$AP$174)*100</f>
        <v>56.60411732556021</v>
      </c>
      <c r="F16" s="146">
        <f>+SUM('[2]pob por grupo'!$BA$185:$BD$185)/SUM('[2]pob por grupo'!$AN$185:$AP$185)*100</f>
        <v>59.35271530444323</v>
      </c>
      <c r="G16" s="146">
        <f>+SUM('[2]pob por grupo'!$BA$196:$BD$196)/SUM('[2]pob por grupo'!$AN$196:$AP$196)*100</f>
        <v>61.954528786211959</v>
      </c>
      <c r="H16" s="146">
        <f>+SUM('[2]pob por grupo'!$BA$207:$BD$207)/SUM('[2]pob por grupo'!$AN$207:$AP$207)*100</f>
        <v>64.691856199559794</v>
      </c>
      <c r="I16" s="1029"/>
      <c r="J16" t="s">
        <v>1422</v>
      </c>
      <c r="K16" s="125">
        <f t="shared" si="0"/>
        <v>69.558101472995091</v>
      </c>
    </row>
    <row r="17" spans="1:11" ht="23.25" customHeight="1">
      <c r="A17" s="92" t="s">
        <v>531</v>
      </c>
      <c r="B17" s="146">
        <f>+SUM('[2]pob por grupo'!$BA$140:$BD$140)/SUM('[2]pob por grupo'!$AN$140:$AP$140)*100</f>
        <v>53.828608667318342</v>
      </c>
      <c r="C17" s="146">
        <f>+SUM('[2]pob por grupo'!$BA$151:$BD$151)/SUM('[2]pob por grupo'!$AN$151:$AP$151)*100</f>
        <v>55.993485342019547</v>
      </c>
      <c r="D17" s="146">
        <f>+SUM('[2]pob por grupo'!$BA$162:$BD$162)/SUM('[2]pob por grupo'!$AN$162:$AP$162)*100</f>
        <v>58.512720156555773</v>
      </c>
      <c r="E17" s="146">
        <f>+SUM('[2]pob por grupo'!$BA$173:$BD$173)/SUM('[2]pob por grupo'!$AN$173:$AP$173)*100</f>
        <v>61.045751633986931</v>
      </c>
      <c r="F17" s="146">
        <f>+SUM('[2]pob por grupo'!$BA$184:$BD$184)/SUM('[2]pob por grupo'!$AN$184:$AP$184)*100</f>
        <v>63.87160170324271</v>
      </c>
      <c r="G17" s="146">
        <f>+SUM('[2]pob por grupo'!$BA$195:$BD$195)/SUM('[2]pob por grupo'!$AN$195:$AP$195)*100</f>
        <v>66.78676711431379</v>
      </c>
      <c r="H17" s="146">
        <f>+SUM('[2]pob por grupo'!$BA$206:$BD$206)/SUM('[2]pob por grupo'!$AN$206:$AP$206)*100</f>
        <v>69.558101472995091</v>
      </c>
      <c r="I17" s="1029"/>
    </row>
    <row r="18" spans="1:11" ht="23.25" customHeight="1">
      <c r="A18" s="98" t="s">
        <v>533</v>
      </c>
      <c r="B18" s="1470">
        <v>51.11</v>
      </c>
      <c r="C18" s="1470">
        <v>52.89</v>
      </c>
      <c r="D18" s="1470">
        <v>54.91</v>
      </c>
      <c r="E18" s="1470">
        <v>57.14</v>
      </c>
      <c r="F18" s="1470">
        <v>59.8</v>
      </c>
      <c r="G18" s="1470">
        <v>62.36</v>
      </c>
      <c r="H18" s="1470">
        <v>65.7</v>
      </c>
      <c r="I18" s="1029"/>
      <c r="K18" s="125"/>
    </row>
    <row r="19" spans="1:11">
      <c r="A19" s="98" t="s">
        <v>534</v>
      </c>
      <c r="B19" s="146">
        <f>+SUM('[2]pob por grupo'!$BA$149:$BD$149)/SUM('[2]pob por grupo'!$AN$149:$AP$149)*100</f>
        <v>50.331825821767083</v>
      </c>
      <c r="C19" s="146">
        <f>+SUM('[2]pob por grupo'!$BA$160:$BD$160)/SUM('[2]pob por grupo'!$AN$160:$AP$160)*100</f>
        <v>52.092194902652423</v>
      </c>
      <c r="D19" s="146">
        <f>+SUM('[2]pob por grupo'!$BA$171:$BD$171)/SUM('[2]pob por grupo'!$AN$171:$AP$171)*100</f>
        <v>54.048548047374055</v>
      </c>
      <c r="E19" s="146">
        <f>+SUM('[2]pob por grupo'!$BA$182:$BD$182)/SUM('[2]pob por grupo'!$AN$182:$AP$182)*100</f>
        <v>56.299586883999098</v>
      </c>
      <c r="F19" s="146">
        <f>+SUM('[2]pob por grupo'!$BA$193:$BD$193)/SUM('[2]pob por grupo'!$AN$193:$AP$193)*100</f>
        <v>58.908568361640611</v>
      </c>
      <c r="G19" s="146">
        <f>+SUM('[2]pob por grupo'!$BA$204:$BD$204)/SUM('[2]pob por grupo'!$AN$204:$AP$204)*100</f>
        <v>61.427310640801572</v>
      </c>
      <c r="H19" s="146">
        <f>+SUM('[2]pob por grupo'!$BA$215:$BD$215)/SUM('[2]pob por grupo'!$AN$215:$AP$215)*100</f>
        <v>64.031101511879058</v>
      </c>
      <c r="I19" s="1029"/>
      <c r="K19" s="125"/>
    </row>
    <row r="20" spans="1:11">
      <c r="A20" s="147"/>
      <c r="B20" s="148"/>
      <c r="C20" s="148"/>
      <c r="D20" s="148"/>
      <c r="E20" s="148"/>
      <c r="F20" s="148"/>
      <c r="G20" s="148"/>
      <c r="H20" s="148"/>
      <c r="I20" s="1022"/>
      <c r="K20" s="125"/>
    </row>
    <row r="21" spans="1:11">
      <c r="A21" s="149"/>
      <c r="B21" s="149"/>
      <c r="K21" s="125"/>
    </row>
    <row r="22" spans="1:11">
      <c r="A22" s="149"/>
      <c r="B22" s="149"/>
      <c r="K22" s="125"/>
    </row>
    <row r="23" spans="1:11">
      <c r="A23" s="149"/>
      <c r="B23" s="149"/>
      <c r="K23" s="125"/>
    </row>
    <row r="24" spans="1:11">
      <c r="A24" s="149"/>
      <c r="B24" s="149"/>
      <c r="K24" s="125"/>
    </row>
    <row r="25" spans="1:11">
      <c r="A25" s="149"/>
      <c r="B25" s="149"/>
      <c r="K25" s="125"/>
    </row>
    <row r="26" spans="1:11">
      <c r="A26" s="149"/>
      <c r="B26" s="149"/>
      <c r="K26" s="125"/>
    </row>
    <row r="27" spans="1:11">
      <c r="A27" s="149"/>
      <c r="B27" s="149"/>
      <c r="K27" s="125"/>
    </row>
    <row r="28" spans="1:11">
      <c r="A28" s="149"/>
      <c r="B28" s="149"/>
      <c r="K28" s="125"/>
    </row>
    <row r="29" spans="1:11">
      <c r="A29" s="149"/>
      <c r="B29" s="149"/>
      <c r="K29" s="125"/>
    </row>
    <row r="30" spans="1:11">
      <c r="A30" s="149"/>
      <c r="B30" s="149"/>
      <c r="K30" s="125"/>
    </row>
    <row r="31" spans="1:11">
      <c r="A31" s="149"/>
      <c r="B31" s="149"/>
      <c r="K31" s="125"/>
    </row>
    <row r="32" spans="1:11">
      <c r="A32" s="149"/>
      <c r="B32" s="149"/>
      <c r="K32" s="125"/>
    </row>
    <row r="33" spans="1:11">
      <c r="A33" s="149"/>
      <c r="B33" s="149"/>
      <c r="K33" s="125"/>
    </row>
    <row r="34" spans="1:11">
      <c r="A34" s="149"/>
      <c r="B34" s="149"/>
      <c r="K34" s="125"/>
    </row>
    <row r="35" spans="1:11">
      <c r="A35" s="149"/>
      <c r="B35" s="149"/>
      <c r="K35" s="125"/>
    </row>
    <row r="53" spans="6:9" ht="15.75" customHeight="1">
      <c r="F53" s="150"/>
      <c r="G53" s="150"/>
      <c r="H53" s="150"/>
      <c r="I53" s="150"/>
    </row>
  </sheetData>
  <phoneticPr fontId="19" type="noConversion"/>
  <pageMargins left="1.1811023622047245" right="0.78740157480314965" top="0.78740157480314965" bottom="0.98425196850393704" header="0.51181102362204722" footer="0.51181102362204722"/>
  <pageSetup paperSize="5"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A9" workbookViewId="0">
      <selection activeCell="C21" sqref="C21"/>
    </sheetView>
  </sheetViews>
  <sheetFormatPr baseColWidth="10" defaultRowHeight="13.2"/>
  <cols>
    <col min="1" max="1" width="18.77734375" customWidth="1"/>
    <col min="4" max="4" width="13.44140625" customWidth="1"/>
    <col min="6" max="7" width="12.5546875" customWidth="1"/>
    <col min="8" max="8" width="9.5546875" customWidth="1"/>
    <col min="9" max="9" width="6.77734375" customWidth="1"/>
  </cols>
  <sheetData>
    <row r="1" spans="1:9">
      <c r="A1" s="80" t="s">
        <v>611</v>
      </c>
      <c r="B1" s="80"/>
      <c r="C1" s="81"/>
      <c r="D1" s="1"/>
      <c r="E1" s="1"/>
      <c r="F1" s="1"/>
      <c r="G1" s="1"/>
    </row>
    <row r="2" spans="1:9">
      <c r="A2" s="80"/>
      <c r="B2" s="80"/>
      <c r="C2" s="81"/>
      <c r="D2" s="1"/>
      <c r="E2" s="1"/>
      <c r="F2" s="1"/>
      <c r="G2" s="1"/>
    </row>
    <row r="3" spans="1:9">
      <c r="A3" s="80" t="str">
        <f>+'6'!A3</f>
        <v>SERVICIO DE SALUD   ACONCAGUA  2020</v>
      </c>
      <c r="B3" s="80"/>
      <c r="C3" s="81"/>
      <c r="D3" s="1"/>
      <c r="E3" s="1"/>
      <c r="F3" s="1"/>
      <c r="G3" s="1"/>
    </row>
    <row r="4" spans="1:9">
      <c r="A4" s="1"/>
      <c r="B4" s="1"/>
      <c r="C4" s="1"/>
      <c r="D4" s="1"/>
      <c r="E4" s="1"/>
      <c r="F4" s="1"/>
      <c r="G4" s="1"/>
    </row>
    <row r="5" spans="1:9">
      <c r="A5" s="1"/>
      <c r="B5" s="1"/>
      <c r="C5" s="1"/>
      <c r="D5" s="1"/>
      <c r="E5" s="1"/>
      <c r="F5" s="1"/>
      <c r="G5" s="1"/>
    </row>
    <row r="6" spans="1:9">
      <c r="A6" s="1"/>
      <c r="B6" s="966"/>
      <c r="C6" s="1"/>
      <c r="D6" s="1"/>
      <c r="E6" s="1"/>
      <c r="F6" s="1"/>
      <c r="G6" s="1"/>
    </row>
    <row r="8" spans="1:9" ht="42" customHeight="1">
      <c r="A8" s="11" t="s">
        <v>514</v>
      </c>
      <c r="B8" s="89" t="s">
        <v>666</v>
      </c>
      <c r="C8" s="90" t="s">
        <v>612</v>
      </c>
      <c r="D8" s="89" t="s">
        <v>613</v>
      </c>
      <c r="E8" s="90" t="s">
        <v>614</v>
      </c>
      <c r="F8" s="225" t="s">
        <v>615</v>
      </c>
      <c r="G8" s="626"/>
    </row>
    <row r="9" spans="1:9" ht="17.25" customHeight="1">
      <c r="A9" s="92" t="s">
        <v>521</v>
      </c>
      <c r="B9" s="93">
        <f>+'39'!B20</f>
        <v>590</v>
      </c>
      <c r="C9" s="94">
        <f>+'9'!B9</f>
        <v>34779.044600000001</v>
      </c>
      <c r="D9" s="106">
        <f t="shared" ref="D9:D21" si="0">+E9/C9*100</f>
        <v>47.734222980926852</v>
      </c>
      <c r="E9" s="94">
        <f>+SUM('9'!F9:H9)</f>
        <v>16601.506699999998</v>
      </c>
      <c r="F9" s="226">
        <f t="shared" ref="F9:F21" si="1">+B9/E9*1000</f>
        <v>35.538942980398282</v>
      </c>
      <c r="G9" s="1030"/>
      <c r="H9">
        <v>2012</v>
      </c>
      <c r="I9" s="152">
        <v>53.3</v>
      </c>
    </row>
    <row r="10" spans="1:9" ht="17.25" customHeight="1">
      <c r="A10" s="92" t="s">
        <v>522</v>
      </c>
      <c r="B10" s="93">
        <f>+'39'!D20</f>
        <v>161</v>
      </c>
      <c r="C10" s="94">
        <f>+'9'!B17</f>
        <v>10470.831</v>
      </c>
      <c r="D10" s="106">
        <f t="shared" si="0"/>
        <v>48.655078092655693</v>
      </c>
      <c r="E10" s="94">
        <f>+SUM('9'!F17:H17)</f>
        <v>5094.5910000000013</v>
      </c>
      <c r="F10" s="226">
        <f t="shared" si="1"/>
        <v>31.602144313449294</v>
      </c>
      <c r="G10" s="1030"/>
      <c r="H10">
        <v>2013</v>
      </c>
      <c r="I10" s="152">
        <v>51.7</v>
      </c>
    </row>
    <row r="11" spans="1:9" ht="17.25" customHeight="1">
      <c r="A11" s="92" t="s">
        <v>523</v>
      </c>
      <c r="B11" s="93">
        <f>+'39'!F20</f>
        <v>133</v>
      </c>
      <c r="C11" s="94">
        <f>+'9'!B25</f>
        <v>8363.6427999999996</v>
      </c>
      <c r="D11" s="106">
        <f t="shared" si="0"/>
        <v>49.287141961634227</v>
      </c>
      <c r="E11" s="94">
        <f>+SUM('9'!F25:H25)</f>
        <v>4122.2004999999999</v>
      </c>
      <c r="F11" s="226">
        <f t="shared" si="1"/>
        <v>32.264320961583508</v>
      </c>
      <c r="G11" s="1030"/>
      <c r="H11">
        <v>2014</v>
      </c>
      <c r="I11" s="152">
        <v>54.8</v>
      </c>
    </row>
    <row r="12" spans="1:9" ht="17.25" customHeight="1">
      <c r="A12" s="92" t="s">
        <v>524</v>
      </c>
      <c r="B12" s="93">
        <f>+'39'!H20</f>
        <v>92</v>
      </c>
      <c r="C12" s="94">
        <f>+'9'!B29</f>
        <v>5670.2780000000002</v>
      </c>
      <c r="D12" s="106">
        <f t="shared" si="0"/>
        <v>50.24920471271426</v>
      </c>
      <c r="E12" s="94">
        <f>+SUM('9'!F29:H29)</f>
        <v>2849.2696000000001</v>
      </c>
      <c r="F12" s="226">
        <f t="shared" si="1"/>
        <v>32.288976796018176</v>
      </c>
      <c r="G12" s="1030"/>
      <c r="H12">
        <v>2015</v>
      </c>
      <c r="I12" s="152">
        <v>52.7</v>
      </c>
    </row>
    <row r="13" spans="1:9" ht="22.5" customHeight="1">
      <c r="A13" s="98" t="s">
        <v>525</v>
      </c>
      <c r="B13" s="99">
        <f>SUM(B9:B12)</f>
        <v>976</v>
      </c>
      <c r="C13" s="100">
        <f>SUM(C9:C12)</f>
        <v>59283.796399999999</v>
      </c>
      <c r="D13" s="151">
        <f t="shared" si="0"/>
        <v>48.356497965437313</v>
      </c>
      <c r="E13" s="100">
        <f>SUM(E9:E12)</f>
        <v>28667.567799999997</v>
      </c>
      <c r="F13" s="227">
        <f t="shared" si="1"/>
        <v>34.04544141341492</v>
      </c>
      <c r="G13" s="1031"/>
      <c r="H13">
        <v>2016</v>
      </c>
      <c r="I13" s="152">
        <v>47.8</v>
      </c>
    </row>
    <row r="14" spans="1:9" ht="17.25" customHeight="1">
      <c r="A14" s="92" t="s">
        <v>526</v>
      </c>
      <c r="B14" s="93">
        <f>+'39'!L20</f>
        <v>870</v>
      </c>
      <c r="C14" s="94">
        <f>+'9'!B37</f>
        <v>42648.274999999994</v>
      </c>
      <c r="D14" s="106">
        <f t="shared" si="0"/>
        <v>48.442082124071852</v>
      </c>
      <c r="E14" s="94">
        <f>+SUM('9'!F37:H37)</f>
        <v>20659.7124</v>
      </c>
      <c r="F14" s="226">
        <f t="shared" si="1"/>
        <v>42.110944390494033</v>
      </c>
      <c r="G14" s="1030"/>
      <c r="H14">
        <v>2017</v>
      </c>
      <c r="I14" s="152">
        <v>43.342088216429964</v>
      </c>
    </row>
    <row r="15" spans="1:9" ht="17.25" customHeight="1">
      <c r="A15" s="92" t="s">
        <v>527</v>
      </c>
      <c r="B15" s="93">
        <f>+'39'!N20</f>
        <v>176</v>
      </c>
      <c r="C15" s="94">
        <f>+'9'!B43</f>
        <v>8919.2469999999994</v>
      </c>
      <c r="D15" s="106">
        <f t="shared" si="0"/>
        <v>45.608928646106563</v>
      </c>
      <c r="E15" s="94">
        <f>+SUM('9'!F43:H43)</f>
        <v>4067.973</v>
      </c>
      <c r="F15" s="226">
        <f t="shared" si="1"/>
        <v>43.264790597184394</v>
      </c>
      <c r="G15" s="1030"/>
      <c r="H15">
        <v>2018</v>
      </c>
      <c r="I15" s="152">
        <v>45.068171838640112</v>
      </c>
    </row>
    <row r="16" spans="1:9" ht="17.25" customHeight="1">
      <c r="A16" s="92" t="s">
        <v>528</v>
      </c>
      <c r="B16" s="93">
        <f>+'39'!P20</f>
        <v>136</v>
      </c>
      <c r="C16" s="94">
        <f>+'9'!B56</f>
        <v>8261.5759999999991</v>
      </c>
      <c r="D16" s="106">
        <f t="shared" si="0"/>
        <v>47.741714171727047</v>
      </c>
      <c r="E16" s="94">
        <f>+SUM('9'!F56:H56)</f>
        <v>3944.2179999999998</v>
      </c>
      <c r="F16" s="226">
        <f t="shared" si="1"/>
        <v>34.480852731770916</v>
      </c>
      <c r="G16" s="1030"/>
      <c r="H16">
        <v>2019</v>
      </c>
      <c r="I16" s="152">
        <v>42</v>
      </c>
    </row>
    <row r="17" spans="1:9" ht="17.25" customHeight="1">
      <c r="A17" s="92" t="s">
        <v>529</v>
      </c>
      <c r="B17" s="93">
        <f>+'39'!R20</f>
        <v>64</v>
      </c>
      <c r="C17" s="94">
        <f>+'9'!B61</f>
        <v>3830.7126000000003</v>
      </c>
      <c r="D17" s="106">
        <f t="shared" si="0"/>
        <v>48.494726542523708</v>
      </c>
      <c r="E17" s="94">
        <f>+SUM('9'!F61:H61)</f>
        <v>1857.6936000000003</v>
      </c>
      <c r="F17" s="226">
        <f t="shared" si="1"/>
        <v>34.45132178955668</v>
      </c>
      <c r="G17" s="1030"/>
      <c r="H17">
        <v>2020</v>
      </c>
      <c r="I17" s="152">
        <f>+F21</f>
        <v>37.631588201976889</v>
      </c>
    </row>
    <row r="18" spans="1:9" ht="17.25" customHeight="1">
      <c r="A18" s="92" t="s">
        <v>530</v>
      </c>
      <c r="B18" s="93">
        <f>+'39'!T20</f>
        <v>261</v>
      </c>
      <c r="C18" s="94">
        <f>+'9'!B67</f>
        <v>13407.409399999999</v>
      </c>
      <c r="D18" s="106">
        <f t="shared" si="0"/>
        <v>48.298029147972464</v>
      </c>
      <c r="E18" s="94">
        <f>+SUM('9'!F67:H67)</f>
        <v>6475.5144999999993</v>
      </c>
      <c r="F18" s="226">
        <f t="shared" si="1"/>
        <v>40.305677641521768</v>
      </c>
      <c r="G18" s="1030"/>
    </row>
    <row r="19" spans="1:9" ht="17.25" customHeight="1">
      <c r="A19" s="92" t="s">
        <v>531</v>
      </c>
      <c r="B19" s="93">
        <f>+'39'!V20</f>
        <v>127</v>
      </c>
      <c r="C19" s="94">
        <f>+'9'!B73</f>
        <v>7658.9694999999992</v>
      </c>
      <c r="D19" s="106">
        <f t="shared" si="0"/>
        <v>48.099773735879225</v>
      </c>
      <c r="E19" s="94">
        <f>+SUM('9'!F73:H73)</f>
        <v>3683.9470000000001</v>
      </c>
      <c r="F19" s="226">
        <f t="shared" si="1"/>
        <v>34.473894439849431</v>
      </c>
      <c r="G19" s="1030"/>
      <c r="H19" s="224" t="s">
        <v>1341</v>
      </c>
      <c r="I19" s="152">
        <f>+F9</f>
        <v>35.538942980398282</v>
      </c>
    </row>
    <row r="20" spans="1:9" ht="21" customHeight="1">
      <c r="A20" s="98" t="s">
        <v>533</v>
      </c>
      <c r="B20" s="99">
        <f>SUM(B14:B19)</f>
        <v>1634</v>
      </c>
      <c r="C20" s="100">
        <f>SUM(C14:C19)</f>
        <v>84726.189500000008</v>
      </c>
      <c r="D20" s="151">
        <f t="shared" si="0"/>
        <v>48.024180882110834</v>
      </c>
      <c r="E20" s="100">
        <f>SUM(E14:E19)</f>
        <v>40689.058499999999</v>
      </c>
      <c r="F20" s="227">
        <f t="shared" si="1"/>
        <v>40.15821599804282</v>
      </c>
      <c r="G20" s="1031"/>
      <c r="H20" s="224" t="s">
        <v>1342</v>
      </c>
      <c r="I20" s="152">
        <f>+F10</f>
        <v>31.602144313449294</v>
      </c>
    </row>
    <row r="21" spans="1:9" ht="16.5" customHeight="1">
      <c r="A21" s="107" t="s">
        <v>534</v>
      </c>
      <c r="B21" s="108">
        <f>+B13+B20</f>
        <v>2610</v>
      </c>
      <c r="C21" s="109">
        <f>+C13+C20</f>
        <v>144009.9859</v>
      </c>
      <c r="D21" s="153">
        <f t="shared" si="0"/>
        <v>48.160984022428131</v>
      </c>
      <c r="E21" s="109">
        <f>+E13+E20</f>
        <v>69356.626300000004</v>
      </c>
      <c r="F21" s="228">
        <f t="shared" si="1"/>
        <v>37.631588201976889</v>
      </c>
      <c r="G21" s="1031"/>
      <c r="H21" s="224" t="s">
        <v>1340</v>
      </c>
      <c r="I21" s="152">
        <f>+F11</f>
        <v>32.264320961583508</v>
      </c>
    </row>
    <row r="22" spans="1:9">
      <c r="A22" s="8"/>
      <c r="B22" s="8"/>
      <c r="C22" s="8"/>
      <c r="D22" s="8"/>
      <c r="E22" s="8"/>
      <c r="F22" s="8"/>
      <c r="G22" s="8"/>
      <c r="H22" s="224" t="s">
        <v>1343</v>
      </c>
      <c r="I22" s="152">
        <f>+F12</f>
        <v>32.288976796018176</v>
      </c>
    </row>
    <row r="23" spans="1:9">
      <c r="A23" s="8"/>
      <c r="B23" s="8"/>
      <c r="C23" s="8"/>
      <c r="D23" s="8"/>
      <c r="E23" s="8"/>
      <c r="F23" s="8"/>
      <c r="G23" s="8"/>
      <c r="H23" s="224" t="s">
        <v>1344</v>
      </c>
      <c r="I23" s="152">
        <f t="shared" ref="I23:I28" si="2">+F14</f>
        <v>42.110944390494033</v>
      </c>
    </row>
    <row r="24" spans="1:9">
      <c r="A24" s="8"/>
      <c r="B24" s="8"/>
      <c r="C24" s="8"/>
      <c r="D24" s="8"/>
      <c r="E24" s="8"/>
      <c r="F24" s="8"/>
      <c r="G24" s="8"/>
      <c r="H24" s="224" t="s">
        <v>568</v>
      </c>
      <c r="I24" s="152">
        <f t="shared" si="2"/>
        <v>43.264790597184394</v>
      </c>
    </row>
    <row r="25" spans="1:9">
      <c r="A25" s="8"/>
      <c r="B25" s="8"/>
      <c r="C25" s="8"/>
      <c r="D25" s="8"/>
      <c r="E25" s="8"/>
      <c r="F25" s="8"/>
      <c r="G25" s="8"/>
      <c r="H25" s="224" t="s">
        <v>1347</v>
      </c>
      <c r="I25" s="152">
        <f t="shared" si="2"/>
        <v>34.480852731770916</v>
      </c>
    </row>
    <row r="26" spans="1:9">
      <c r="A26" s="8"/>
      <c r="B26" s="8"/>
      <c r="C26" s="8"/>
      <c r="D26" s="8"/>
      <c r="E26" s="8"/>
      <c r="F26" s="8"/>
      <c r="G26" s="8"/>
      <c r="H26" s="224" t="s">
        <v>1346</v>
      </c>
      <c r="I26" s="152">
        <f t="shared" si="2"/>
        <v>34.45132178955668</v>
      </c>
    </row>
    <row r="27" spans="1:9">
      <c r="A27" s="8"/>
      <c r="B27" s="8"/>
      <c r="C27" s="8"/>
      <c r="D27" s="8"/>
      <c r="E27" s="8"/>
      <c r="F27" s="8"/>
      <c r="G27" s="8"/>
      <c r="H27" s="224" t="s">
        <v>1345</v>
      </c>
      <c r="I27" s="152">
        <f t="shared" si="2"/>
        <v>40.305677641521768</v>
      </c>
    </row>
    <row r="28" spans="1:9">
      <c r="A28" s="8"/>
      <c r="B28" s="8"/>
      <c r="C28" s="8"/>
      <c r="D28" s="8"/>
      <c r="E28" s="8"/>
      <c r="F28" s="8"/>
      <c r="G28" s="8"/>
      <c r="H28" s="224" t="s">
        <v>593</v>
      </c>
      <c r="I28" s="152">
        <f t="shared" si="2"/>
        <v>34.473894439849431</v>
      </c>
    </row>
    <row r="29" spans="1:9">
      <c r="A29" s="8"/>
      <c r="B29" s="8"/>
      <c r="C29" s="8"/>
      <c r="D29" s="8"/>
      <c r="E29" s="8"/>
      <c r="F29" s="8"/>
      <c r="G29" s="8"/>
    </row>
    <row r="30" spans="1:9">
      <c r="A30" s="8"/>
      <c r="B30" s="8"/>
      <c r="C30" s="8"/>
      <c r="D30" s="8"/>
      <c r="E30" s="8"/>
      <c r="F30" s="8"/>
      <c r="G30" s="8"/>
    </row>
    <row r="31" spans="1:9">
      <c r="A31" s="8"/>
      <c r="B31" s="8"/>
      <c r="C31" s="8"/>
      <c r="D31" s="8"/>
      <c r="E31" s="8"/>
      <c r="F31" s="8"/>
      <c r="G31" s="8"/>
    </row>
    <row r="32" spans="1:9">
      <c r="A32" s="8"/>
      <c r="B32" s="8"/>
      <c r="C32" s="8"/>
      <c r="D32" s="8"/>
      <c r="E32" s="8"/>
      <c r="F32" s="8"/>
      <c r="G32" s="8"/>
    </row>
    <row r="33" spans="1:7">
      <c r="A33" s="8"/>
      <c r="B33" s="8"/>
      <c r="C33" s="8"/>
      <c r="D33" s="8"/>
      <c r="E33" s="8"/>
      <c r="F33" s="8"/>
      <c r="G33" s="8"/>
    </row>
    <row r="34" spans="1:7">
      <c r="A34" s="8"/>
      <c r="B34" s="8"/>
      <c r="C34" s="8"/>
      <c r="D34" s="8"/>
      <c r="E34" s="8"/>
      <c r="F34" s="8"/>
      <c r="G34" s="8"/>
    </row>
  </sheetData>
  <phoneticPr fontId="19" type="noConversion"/>
  <pageMargins left="1.3779527559055118" right="0.78740157480314965" top="0.59055118110236227" bottom="0.98425196850393704" header="0.51181102362204722" footer="0.51181102362204722"/>
  <pageSetup paperSize="5"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75" workbookViewId="0">
      <selection activeCell="N14" sqref="N14"/>
    </sheetView>
  </sheetViews>
  <sheetFormatPr baseColWidth="10" defaultRowHeight="13.2"/>
  <cols>
    <col min="2" max="2" width="25.21875" customWidth="1"/>
    <col min="3" max="3" width="12.44140625" customWidth="1"/>
    <col min="4" max="5" width="13.21875" customWidth="1"/>
    <col min="6" max="6" width="12.77734375" customWidth="1"/>
    <col min="7" max="7" width="13.21875" customWidth="1"/>
    <col min="8" max="8" width="15" customWidth="1"/>
    <col min="9" max="10" width="13.44140625" customWidth="1"/>
    <col min="11" max="13" width="15.5546875" customWidth="1"/>
    <col min="14" max="14" width="13.77734375" customWidth="1"/>
  </cols>
  <sheetData>
    <row r="1" spans="1:14" ht="15.6">
      <c r="A1" s="1566" t="s">
        <v>461</v>
      </c>
      <c r="B1" s="1566"/>
      <c r="C1" s="1566"/>
      <c r="D1" s="1566"/>
      <c r="E1" s="1566"/>
      <c r="F1" s="1566"/>
      <c r="G1" s="1566"/>
      <c r="H1" s="1566"/>
      <c r="I1" s="1566"/>
      <c r="J1" s="1566"/>
      <c r="K1" s="1566"/>
      <c r="L1" s="1566"/>
      <c r="M1" s="1566"/>
      <c r="N1" s="1566"/>
    </row>
    <row r="2" spans="1:14" ht="15.6">
      <c r="B2" s="4"/>
      <c r="C2" s="4"/>
      <c r="D2" s="4"/>
      <c r="E2" s="4"/>
      <c r="F2" s="4"/>
      <c r="G2" s="4"/>
      <c r="H2" s="4"/>
      <c r="I2" s="3"/>
      <c r="J2" s="3"/>
      <c r="K2" s="3"/>
      <c r="L2" s="3"/>
      <c r="M2" s="3"/>
      <c r="N2" s="3"/>
    </row>
    <row r="3" spans="1:14" ht="15.6">
      <c r="A3" s="1566">
        <v>2020</v>
      </c>
      <c r="B3" s="1566"/>
      <c r="C3" s="1566"/>
      <c r="D3" s="1566"/>
      <c r="E3" s="1566"/>
      <c r="F3" s="1566"/>
      <c r="G3" s="1566"/>
      <c r="H3" s="1566"/>
      <c r="I3" s="1566"/>
      <c r="J3" s="1566"/>
      <c r="K3" s="1566"/>
      <c r="L3" s="1566"/>
      <c r="M3" s="1566"/>
      <c r="N3" s="1566"/>
    </row>
    <row r="4" spans="1:14" ht="15.6">
      <c r="B4" s="4"/>
      <c r="C4" s="4"/>
      <c r="D4" s="4"/>
      <c r="E4" s="4"/>
      <c r="F4" s="4"/>
      <c r="G4" s="4"/>
      <c r="H4" s="4"/>
      <c r="I4" s="3"/>
      <c r="J4" s="3"/>
      <c r="K4" s="3"/>
      <c r="L4" s="3"/>
      <c r="M4" s="3"/>
      <c r="N4" s="3"/>
    </row>
    <row r="7" spans="1:14" ht="37.5" customHeight="1">
      <c r="A7" s="47" t="s">
        <v>441</v>
      </c>
      <c r="B7" s="47" t="s">
        <v>442</v>
      </c>
      <c r="C7" s="1262" t="s">
        <v>392</v>
      </c>
      <c r="D7" s="47" t="s">
        <v>447</v>
      </c>
      <c r="E7" s="46" t="s">
        <v>448</v>
      </c>
      <c r="F7" s="47" t="s">
        <v>449</v>
      </c>
      <c r="G7" s="46" t="s">
        <v>450</v>
      </c>
      <c r="H7" s="47" t="s">
        <v>451</v>
      </c>
      <c r="I7" s="47" t="s">
        <v>301</v>
      </c>
      <c r="J7" s="47" t="s">
        <v>452</v>
      </c>
      <c r="K7" s="47" t="s">
        <v>300</v>
      </c>
      <c r="L7" s="47" t="s">
        <v>1443</v>
      </c>
      <c r="M7" s="47" t="s">
        <v>1444</v>
      </c>
      <c r="N7" s="47" t="s">
        <v>453</v>
      </c>
    </row>
    <row r="8" spans="1:14" s="6" customFormat="1" ht="23.25" customHeight="1">
      <c r="A8" s="42"/>
      <c r="B8" s="50" t="s">
        <v>455</v>
      </c>
      <c r="C8" s="43">
        <v>5</v>
      </c>
      <c r="D8" s="44">
        <v>1</v>
      </c>
      <c r="E8" s="45"/>
      <c r="F8" s="44"/>
      <c r="G8" s="45"/>
      <c r="H8" s="44"/>
      <c r="I8" s="45"/>
      <c r="J8" s="44"/>
      <c r="K8" s="44"/>
      <c r="L8" s="44"/>
      <c r="M8" s="44"/>
      <c r="N8" s="66">
        <f>SUM(C8:M8)</f>
        <v>6</v>
      </c>
    </row>
    <row r="9" spans="1:14" s="6" customFormat="1" ht="23.25" customHeight="1">
      <c r="A9" s="44" t="s">
        <v>443</v>
      </c>
      <c r="B9" s="50" t="s">
        <v>456</v>
      </c>
      <c r="C9" s="43">
        <v>80</v>
      </c>
      <c r="D9" s="44">
        <v>212</v>
      </c>
      <c r="E9" s="45">
        <v>187</v>
      </c>
      <c r="F9" s="44">
        <v>38</v>
      </c>
      <c r="G9" s="45">
        <v>17</v>
      </c>
      <c r="H9" s="44">
        <v>79</v>
      </c>
      <c r="I9" s="45">
        <v>36</v>
      </c>
      <c r="J9" s="44">
        <v>44</v>
      </c>
      <c r="K9" s="44">
        <v>31</v>
      </c>
      <c r="L9" s="44">
        <v>24</v>
      </c>
      <c r="M9" s="44">
        <v>31</v>
      </c>
      <c r="N9" s="66">
        <f>SUM(C9:M9)</f>
        <v>779</v>
      </c>
    </row>
    <row r="10" spans="1:14" s="6" customFormat="1" ht="23.25" customHeight="1">
      <c r="A10" s="44">
        <v>18.834</v>
      </c>
      <c r="B10" s="50" t="s">
        <v>457</v>
      </c>
      <c r="C10" s="43">
        <v>14</v>
      </c>
      <c r="D10" s="44">
        <v>294</v>
      </c>
      <c r="E10" s="45">
        <v>261</v>
      </c>
      <c r="F10" s="44">
        <v>63</v>
      </c>
      <c r="G10" s="45">
        <v>29</v>
      </c>
      <c r="H10" s="44">
        <v>133</v>
      </c>
      <c r="I10" s="1247">
        <v>31</v>
      </c>
      <c r="J10" s="1248">
        <v>37</v>
      </c>
      <c r="K10" s="1248">
        <v>28</v>
      </c>
      <c r="L10" s="1248">
        <v>11</v>
      </c>
      <c r="M10" s="1248">
        <v>13</v>
      </c>
      <c r="N10" s="66">
        <f t="shared" ref="N10:N15" si="0">SUM(C10:M10)</f>
        <v>914</v>
      </c>
    </row>
    <row r="11" spans="1:14" s="6" customFormat="1" ht="23.25" customHeight="1">
      <c r="A11" s="44"/>
      <c r="B11" s="50" t="s">
        <v>395</v>
      </c>
      <c r="C11" s="43">
        <v>40</v>
      </c>
      <c r="D11" s="44">
        <v>94</v>
      </c>
      <c r="E11" s="45">
        <v>69</v>
      </c>
      <c r="F11" s="44">
        <v>8</v>
      </c>
      <c r="G11" s="45">
        <v>9</v>
      </c>
      <c r="H11" s="44">
        <v>28</v>
      </c>
      <c r="I11" s="1247">
        <v>17</v>
      </c>
      <c r="J11" s="1248">
        <v>28</v>
      </c>
      <c r="K11" s="1248">
        <v>13</v>
      </c>
      <c r="L11" s="1248">
        <v>6</v>
      </c>
      <c r="M11" s="1248">
        <v>6</v>
      </c>
      <c r="N11" s="66">
        <f t="shared" si="0"/>
        <v>318</v>
      </c>
    </row>
    <row r="12" spans="1:14" s="6" customFormat="1" ht="23.25" customHeight="1">
      <c r="A12" s="44"/>
      <c r="B12" s="50" t="s">
        <v>396</v>
      </c>
      <c r="C12" s="43">
        <v>8</v>
      </c>
      <c r="D12" s="44">
        <v>74</v>
      </c>
      <c r="E12" s="45">
        <v>70</v>
      </c>
      <c r="F12" s="44">
        <v>27</v>
      </c>
      <c r="G12" s="45">
        <v>17</v>
      </c>
      <c r="H12" s="44">
        <v>123</v>
      </c>
      <c r="I12" s="45">
        <v>2</v>
      </c>
      <c r="J12" s="44">
        <v>3</v>
      </c>
      <c r="K12" s="44">
        <v>2</v>
      </c>
      <c r="L12" s="44"/>
      <c r="M12" s="44">
        <v>5</v>
      </c>
      <c r="N12" s="66">
        <f t="shared" si="0"/>
        <v>331</v>
      </c>
    </row>
    <row r="13" spans="1:14" s="6" customFormat="1" ht="23.25" customHeight="1">
      <c r="A13" s="54"/>
      <c r="B13" s="53" t="s">
        <v>444</v>
      </c>
      <c r="C13" s="1109">
        <f t="shared" ref="C13:N13" si="1">SUM(C8:C12)</f>
        <v>147</v>
      </c>
      <c r="D13" s="1109">
        <f t="shared" si="1"/>
        <v>675</v>
      </c>
      <c r="E13" s="1109">
        <f t="shared" si="1"/>
        <v>587</v>
      </c>
      <c r="F13" s="1109">
        <f t="shared" si="1"/>
        <v>136</v>
      </c>
      <c r="G13" s="1109">
        <f t="shared" si="1"/>
        <v>72</v>
      </c>
      <c r="H13" s="1109">
        <f t="shared" si="1"/>
        <v>363</v>
      </c>
      <c r="I13" s="1109">
        <f t="shared" si="1"/>
        <v>86</v>
      </c>
      <c r="J13" s="1109">
        <f t="shared" si="1"/>
        <v>112</v>
      </c>
      <c r="K13" s="1109">
        <f t="shared" si="1"/>
        <v>74</v>
      </c>
      <c r="L13" s="1109">
        <f t="shared" ref="L13" si="2">SUM(L8:L12)</f>
        <v>41</v>
      </c>
      <c r="M13" s="1109">
        <f t="shared" ref="M13" si="3">SUM(M8:M12)</f>
        <v>55</v>
      </c>
      <c r="N13" s="67">
        <f t="shared" si="1"/>
        <v>2348</v>
      </c>
    </row>
    <row r="14" spans="1:14" s="6" customFormat="1" ht="23.25" customHeight="1">
      <c r="A14" s="57" t="s">
        <v>445</v>
      </c>
      <c r="B14" s="56" t="s">
        <v>397</v>
      </c>
      <c r="C14" s="55"/>
      <c r="D14" s="57">
        <v>58</v>
      </c>
      <c r="E14" s="1236">
        <v>49</v>
      </c>
      <c r="F14" s="57"/>
      <c r="G14" s="1236"/>
      <c r="H14" s="57">
        <v>4</v>
      </c>
      <c r="I14" s="1236"/>
      <c r="J14" s="57"/>
      <c r="K14" s="57"/>
      <c r="L14" s="57"/>
      <c r="M14" s="57"/>
      <c r="N14" s="66">
        <f t="shared" si="0"/>
        <v>111</v>
      </c>
    </row>
    <row r="15" spans="1:14" s="6" customFormat="1" ht="23.25" customHeight="1">
      <c r="A15" s="44">
        <v>15.076000000000001</v>
      </c>
      <c r="B15" s="50" t="s">
        <v>398</v>
      </c>
      <c r="C15" s="1110"/>
      <c r="D15" s="1112"/>
      <c r="E15" s="1111"/>
      <c r="F15" s="1112"/>
      <c r="G15" s="1111"/>
      <c r="H15" s="1112"/>
      <c r="I15" s="1111"/>
      <c r="J15" s="1112"/>
      <c r="K15" s="1112"/>
      <c r="L15" s="1112"/>
      <c r="M15" s="1112"/>
      <c r="N15" s="66">
        <f t="shared" si="0"/>
        <v>0</v>
      </c>
    </row>
    <row r="16" spans="1:14" s="6" customFormat="1" ht="23.25" customHeight="1">
      <c r="A16" s="54"/>
      <c r="B16" s="53" t="s">
        <v>444</v>
      </c>
      <c r="C16" s="1109">
        <f t="shared" ref="C16:M16" si="4">SUM(C14:C15)</f>
        <v>0</v>
      </c>
      <c r="D16" s="1109">
        <f t="shared" si="4"/>
        <v>58</v>
      </c>
      <c r="E16" s="1109">
        <f t="shared" si="4"/>
        <v>49</v>
      </c>
      <c r="F16" s="1109">
        <f t="shared" si="4"/>
        <v>0</v>
      </c>
      <c r="G16" s="1109">
        <f t="shared" si="4"/>
        <v>0</v>
      </c>
      <c r="H16" s="1109">
        <f t="shared" si="4"/>
        <v>4</v>
      </c>
      <c r="I16" s="1109">
        <f t="shared" si="4"/>
        <v>0</v>
      </c>
      <c r="J16" s="1109">
        <f t="shared" si="4"/>
        <v>0</v>
      </c>
      <c r="K16" s="1109">
        <f t="shared" si="4"/>
        <v>0</v>
      </c>
      <c r="L16" s="1109">
        <f t="shared" si="4"/>
        <v>0</v>
      </c>
      <c r="M16" s="1109">
        <f t="shared" si="4"/>
        <v>0</v>
      </c>
      <c r="N16" s="67">
        <f t="shared" ref="N16" si="5">SUM(N14:N15)</f>
        <v>111</v>
      </c>
    </row>
    <row r="17" spans="1:14" s="6" customFormat="1" ht="23.25" customHeight="1">
      <c r="A17" s="62"/>
      <c r="B17" s="59" t="s">
        <v>446</v>
      </c>
      <c r="C17" s="55"/>
      <c r="D17" s="57"/>
      <c r="E17" s="1236"/>
      <c r="F17" s="57"/>
      <c r="G17" s="1236"/>
      <c r="H17" s="57"/>
      <c r="I17" s="1236"/>
      <c r="J17" s="57"/>
      <c r="K17" s="57"/>
      <c r="L17" s="57"/>
      <c r="M17" s="57"/>
      <c r="N17" s="66">
        <f t="shared" ref="N17:N21" si="6">SUM(C17:M17)</f>
        <v>0</v>
      </c>
    </row>
    <row r="18" spans="1:14" s="6" customFormat="1" ht="23.25" customHeight="1">
      <c r="A18" s="44" t="s">
        <v>443</v>
      </c>
      <c r="B18" s="60" t="s">
        <v>458</v>
      </c>
      <c r="C18" s="43">
        <v>31</v>
      </c>
      <c r="D18" s="44">
        <v>126</v>
      </c>
      <c r="E18" s="45">
        <v>88</v>
      </c>
      <c r="F18" s="44">
        <v>7</v>
      </c>
      <c r="G18" s="45">
        <v>6</v>
      </c>
      <c r="H18" s="44">
        <v>16</v>
      </c>
      <c r="I18" s="45">
        <v>12</v>
      </c>
      <c r="J18" s="44">
        <v>14</v>
      </c>
      <c r="K18" s="44">
        <v>10</v>
      </c>
      <c r="L18" s="44">
        <v>12</v>
      </c>
      <c r="M18" s="44">
        <v>8</v>
      </c>
      <c r="N18" s="66">
        <f t="shared" si="6"/>
        <v>330</v>
      </c>
    </row>
    <row r="19" spans="1:14" s="6" customFormat="1" ht="23.25" customHeight="1">
      <c r="A19" s="44">
        <v>19.664000000000001</v>
      </c>
      <c r="B19" s="60" t="s">
        <v>454</v>
      </c>
      <c r="C19" s="43">
        <v>4</v>
      </c>
      <c r="D19" s="44">
        <v>17</v>
      </c>
      <c r="E19" s="45">
        <v>20</v>
      </c>
      <c r="F19" s="44"/>
      <c r="G19" s="45"/>
      <c r="H19" s="44">
        <v>1</v>
      </c>
      <c r="I19" s="45">
        <v>8</v>
      </c>
      <c r="J19" s="44">
        <v>6</v>
      </c>
      <c r="K19" s="44">
        <v>6</v>
      </c>
      <c r="L19" s="44">
        <v>1</v>
      </c>
      <c r="M19" s="44"/>
      <c r="N19" s="66">
        <f t="shared" si="6"/>
        <v>63</v>
      </c>
    </row>
    <row r="20" spans="1:14" ht="23.25" customHeight="1">
      <c r="A20" s="42"/>
      <c r="B20" s="60" t="s">
        <v>459</v>
      </c>
      <c r="C20" s="43">
        <v>3</v>
      </c>
      <c r="D20" s="44">
        <v>2</v>
      </c>
      <c r="E20" s="45">
        <v>4</v>
      </c>
      <c r="F20" s="44">
        <v>1</v>
      </c>
      <c r="G20" s="45"/>
      <c r="H20" s="44">
        <v>2</v>
      </c>
      <c r="I20" s="45">
        <v>1</v>
      </c>
      <c r="J20" s="44">
        <v>1</v>
      </c>
      <c r="K20" s="44">
        <v>1</v>
      </c>
      <c r="L20" s="44">
        <v>1</v>
      </c>
      <c r="M20" s="44">
        <v>1</v>
      </c>
      <c r="N20" s="66">
        <f t="shared" si="6"/>
        <v>17</v>
      </c>
    </row>
    <row r="21" spans="1:14" ht="23.25" customHeight="1">
      <c r="A21" s="42"/>
      <c r="B21" s="60" t="s">
        <v>460</v>
      </c>
      <c r="C21" s="43">
        <v>3</v>
      </c>
      <c r="D21" s="43"/>
      <c r="E21" s="43">
        <v>1</v>
      </c>
      <c r="F21" s="43"/>
      <c r="G21" s="43"/>
      <c r="H21" s="43"/>
      <c r="I21" s="43"/>
      <c r="J21" s="43"/>
      <c r="K21" s="43"/>
      <c r="L21" s="43"/>
      <c r="M21" s="43"/>
      <c r="N21" s="66">
        <f t="shared" si="6"/>
        <v>4</v>
      </c>
    </row>
    <row r="22" spans="1:14" ht="23.25" customHeight="1">
      <c r="A22" s="63"/>
      <c r="B22" s="61" t="s">
        <v>444</v>
      </c>
      <c r="C22" s="52">
        <f>SUM(C18:C21)</f>
        <v>41</v>
      </c>
      <c r="D22" s="52">
        <f t="shared" ref="D22:K22" si="7">SUM(D18:D21)</f>
        <v>145</v>
      </c>
      <c r="E22" s="52">
        <f t="shared" si="7"/>
        <v>113</v>
      </c>
      <c r="F22" s="52">
        <f t="shared" si="7"/>
        <v>8</v>
      </c>
      <c r="G22" s="52">
        <f t="shared" si="7"/>
        <v>6</v>
      </c>
      <c r="H22" s="52">
        <f t="shared" si="7"/>
        <v>19</v>
      </c>
      <c r="I22" s="52">
        <f t="shared" si="7"/>
        <v>21</v>
      </c>
      <c r="J22" s="52">
        <f t="shared" si="7"/>
        <v>21</v>
      </c>
      <c r="K22" s="52">
        <f t="shared" si="7"/>
        <v>17</v>
      </c>
      <c r="L22" s="52">
        <f>SUM(L18:L21)</f>
        <v>14</v>
      </c>
      <c r="M22" s="52">
        <f>SUM(M18:M21)</f>
        <v>9</v>
      </c>
      <c r="N22" s="67">
        <f>SUM(N17:N21)</f>
        <v>414</v>
      </c>
    </row>
    <row r="23" spans="1:14" ht="23.25" customHeight="1">
      <c r="A23" s="65"/>
      <c r="B23" s="64" t="s">
        <v>399</v>
      </c>
      <c r="C23" s="1262">
        <f t="shared" ref="C23:K23" si="8">+C13+C16+C22</f>
        <v>188</v>
      </c>
      <c r="D23" s="1262">
        <f t="shared" si="8"/>
        <v>878</v>
      </c>
      <c r="E23" s="1262">
        <f t="shared" si="8"/>
        <v>749</v>
      </c>
      <c r="F23" s="1262">
        <f t="shared" si="8"/>
        <v>144</v>
      </c>
      <c r="G23" s="1262">
        <f t="shared" si="8"/>
        <v>78</v>
      </c>
      <c r="H23" s="1262">
        <f t="shared" si="8"/>
        <v>386</v>
      </c>
      <c r="I23" s="1262">
        <f t="shared" si="8"/>
        <v>107</v>
      </c>
      <c r="J23" s="1262">
        <f t="shared" si="8"/>
        <v>133</v>
      </c>
      <c r="K23" s="1262">
        <f t="shared" si="8"/>
        <v>91</v>
      </c>
      <c r="L23" s="1263">
        <f t="shared" ref="L23" si="9">+L13+L16+L22</f>
        <v>55</v>
      </c>
      <c r="M23" s="1263">
        <f t="shared" ref="M23" si="10">+M13+M16+M22</f>
        <v>64</v>
      </c>
      <c r="N23" s="70">
        <f>+N13+N16+N22</f>
        <v>2873</v>
      </c>
    </row>
    <row r="27" spans="1:14">
      <c r="A27" t="s">
        <v>1609</v>
      </c>
    </row>
  </sheetData>
  <mergeCells count="2">
    <mergeCell ref="A1:N1"/>
    <mergeCell ref="A3:N3"/>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topLeftCell="M6" zoomScale="75" workbookViewId="0">
      <selection activeCell="C20" sqref="C20:N23"/>
    </sheetView>
  </sheetViews>
  <sheetFormatPr baseColWidth="10" defaultRowHeight="13.2"/>
  <cols>
    <col min="1" max="1" width="15.77734375" customWidth="1"/>
    <col min="2" max="2" width="27.21875" customWidth="1"/>
    <col min="3" max="3" width="12.44140625" customWidth="1"/>
    <col min="4" max="5" width="13.21875" customWidth="1"/>
    <col min="6" max="6" width="12.77734375" customWidth="1"/>
    <col min="7" max="8" width="13.21875" customWidth="1"/>
    <col min="9" max="9" width="15" customWidth="1"/>
    <col min="10" max="11" width="13.44140625" customWidth="1"/>
    <col min="12" max="15" width="15.44140625" customWidth="1"/>
  </cols>
  <sheetData>
    <row r="1" spans="1:15" ht="15.6">
      <c r="A1" s="1566" t="s">
        <v>462</v>
      </c>
      <c r="B1" s="1566"/>
      <c r="C1" s="1566"/>
      <c r="D1" s="1566"/>
      <c r="E1" s="1566"/>
      <c r="F1" s="1566"/>
      <c r="G1" s="1566"/>
      <c r="H1" s="1566"/>
      <c r="I1" s="1566"/>
      <c r="J1" s="1566"/>
      <c r="K1" s="1566"/>
      <c r="L1" s="1566"/>
      <c r="M1" s="1566"/>
      <c r="N1" s="1566"/>
      <c r="O1" s="1566"/>
    </row>
    <row r="2" spans="1:15" ht="15.75" customHeight="1">
      <c r="A2" s="1567" t="s">
        <v>1433</v>
      </c>
      <c r="B2" s="1567"/>
      <c r="C2" s="1567"/>
      <c r="D2" s="1567"/>
      <c r="E2" s="1567"/>
      <c r="F2" s="1567"/>
      <c r="G2" s="1567"/>
      <c r="H2" s="1567"/>
      <c r="I2" s="1567"/>
      <c r="J2" s="1567"/>
      <c r="K2" s="1567"/>
      <c r="L2" s="1567"/>
      <c r="M2" s="1567"/>
      <c r="N2" s="1567"/>
      <c r="O2" s="1567"/>
    </row>
    <row r="3" spans="1:15" ht="15.6">
      <c r="A3" s="1566">
        <f>+'14'!A3:N3</f>
        <v>2020</v>
      </c>
      <c r="B3" s="1566"/>
      <c r="C3" s="1566"/>
      <c r="D3" s="1566"/>
      <c r="E3" s="1566"/>
      <c r="F3" s="1566"/>
      <c r="G3" s="1566"/>
      <c r="H3" s="1566"/>
      <c r="I3" s="1566"/>
      <c r="J3" s="1566"/>
      <c r="K3" s="1566"/>
      <c r="L3" s="1566"/>
      <c r="M3" s="1566"/>
      <c r="N3" s="1566"/>
      <c r="O3" s="1566"/>
    </row>
    <row r="4" spans="1:15" ht="15.6">
      <c r="B4" s="4"/>
      <c r="C4" s="4"/>
      <c r="D4" s="4"/>
      <c r="E4" s="4"/>
      <c r="F4" s="4"/>
      <c r="G4" s="4"/>
      <c r="H4" s="4"/>
      <c r="I4" s="4"/>
      <c r="J4" s="3"/>
      <c r="K4" s="3"/>
      <c r="L4" s="3"/>
      <c r="M4" s="3"/>
      <c r="N4" s="3"/>
      <c r="O4" s="3"/>
    </row>
    <row r="7" spans="1:15" ht="37.5" customHeight="1">
      <c r="A7" s="47" t="s">
        <v>480</v>
      </c>
      <c r="B7" s="72" t="s">
        <v>486</v>
      </c>
      <c r="C7" s="1262" t="s">
        <v>424</v>
      </c>
      <c r="D7" s="47" t="s">
        <v>476</v>
      </c>
      <c r="E7" s="46" t="s">
        <v>477</v>
      </c>
      <c r="F7" s="47" t="s">
        <v>429</v>
      </c>
      <c r="G7" s="46" t="s">
        <v>478</v>
      </c>
      <c r="H7" s="47" t="s">
        <v>413</v>
      </c>
      <c r="I7" s="47" t="s">
        <v>393</v>
      </c>
      <c r="J7" s="47" t="s">
        <v>479</v>
      </c>
      <c r="K7" s="47" t="s">
        <v>416</v>
      </c>
      <c r="L7" s="46" t="s">
        <v>418</v>
      </c>
      <c r="M7" s="47" t="s">
        <v>1568</v>
      </c>
      <c r="N7" s="47" t="s">
        <v>1211</v>
      </c>
      <c r="O7" s="47" t="s">
        <v>453</v>
      </c>
    </row>
    <row r="8" spans="1:15" s="6" customFormat="1" ht="23.25" customHeight="1">
      <c r="A8" s="44"/>
      <c r="B8" s="50" t="s">
        <v>397</v>
      </c>
      <c r="C8" s="57">
        <v>13</v>
      </c>
      <c r="D8" s="57">
        <v>10</v>
      </c>
      <c r="E8" s="57">
        <v>7</v>
      </c>
      <c r="F8" s="57">
        <v>6</v>
      </c>
      <c r="G8" s="57">
        <v>11</v>
      </c>
      <c r="H8" s="57">
        <v>2</v>
      </c>
      <c r="I8" s="57">
        <v>11</v>
      </c>
      <c r="J8" s="57">
        <v>8</v>
      </c>
      <c r="K8" s="57">
        <v>5</v>
      </c>
      <c r="L8" s="57">
        <v>8</v>
      </c>
      <c r="M8" s="44">
        <v>1</v>
      </c>
      <c r="N8" s="44"/>
      <c r="O8" s="66">
        <f>SUM(C8:M8)</f>
        <v>82</v>
      </c>
    </row>
    <row r="9" spans="1:15" s="6" customFormat="1" ht="23.25" customHeight="1">
      <c r="A9" s="44" t="s">
        <v>483</v>
      </c>
      <c r="B9" s="50" t="s">
        <v>464</v>
      </c>
      <c r="C9" s="44">
        <v>6</v>
      </c>
      <c r="D9" s="44">
        <v>6</v>
      </c>
      <c r="E9" s="44">
        <v>5</v>
      </c>
      <c r="F9" s="44">
        <v>5</v>
      </c>
      <c r="G9" s="44">
        <v>6</v>
      </c>
      <c r="H9" s="44">
        <v>2</v>
      </c>
      <c r="I9" s="44">
        <v>5</v>
      </c>
      <c r="J9" s="44">
        <v>7</v>
      </c>
      <c r="K9" s="44">
        <v>2</v>
      </c>
      <c r="L9" s="44">
        <v>6</v>
      </c>
      <c r="M9" s="44">
        <v>1</v>
      </c>
      <c r="N9" s="44"/>
      <c r="O9" s="66">
        <f>SUM(C9:M9)</f>
        <v>51</v>
      </c>
    </row>
    <row r="10" spans="1:15" s="6" customFormat="1" ht="23.25" customHeight="1">
      <c r="A10" s="44" t="s">
        <v>484</v>
      </c>
      <c r="B10" s="1002" t="s">
        <v>1174</v>
      </c>
      <c r="C10" s="44">
        <v>2</v>
      </c>
      <c r="D10" s="44">
        <v>1</v>
      </c>
      <c r="E10" s="44">
        <v>1</v>
      </c>
      <c r="F10" s="44">
        <v>1</v>
      </c>
      <c r="G10" s="44">
        <v>1</v>
      </c>
      <c r="H10" s="44">
        <v>1</v>
      </c>
      <c r="I10" s="44">
        <v>1</v>
      </c>
      <c r="J10" s="44">
        <v>2</v>
      </c>
      <c r="K10" s="44"/>
      <c r="L10" s="44">
        <v>1</v>
      </c>
      <c r="M10" s="44"/>
      <c r="N10" s="44"/>
      <c r="O10" s="66">
        <f>SUM(C10:L10)</f>
        <v>11</v>
      </c>
    </row>
    <row r="11" spans="1:15" s="6" customFormat="1" ht="23.25" customHeight="1">
      <c r="A11" s="54"/>
      <c r="B11" s="53" t="s">
        <v>444</v>
      </c>
      <c r="C11" s="52">
        <f t="shared" ref="C11:O11" si="0">SUM(C8:C10)</f>
        <v>21</v>
      </c>
      <c r="D11" s="52">
        <f t="shared" si="0"/>
        <v>17</v>
      </c>
      <c r="E11" s="52">
        <f t="shared" si="0"/>
        <v>13</v>
      </c>
      <c r="F11" s="52">
        <f t="shared" si="0"/>
        <v>12</v>
      </c>
      <c r="G11" s="52">
        <f t="shared" si="0"/>
        <v>18</v>
      </c>
      <c r="H11" s="52">
        <f t="shared" si="0"/>
        <v>5</v>
      </c>
      <c r="I11" s="52">
        <f t="shared" si="0"/>
        <v>17</v>
      </c>
      <c r="J11" s="52">
        <f t="shared" si="0"/>
        <v>17</v>
      </c>
      <c r="K11" s="52">
        <f t="shared" si="0"/>
        <v>7</v>
      </c>
      <c r="L11" s="52">
        <f t="shared" si="0"/>
        <v>15</v>
      </c>
      <c r="M11" s="52">
        <f t="shared" si="0"/>
        <v>2</v>
      </c>
      <c r="N11" s="52">
        <f t="shared" si="0"/>
        <v>0</v>
      </c>
      <c r="O11" s="54">
        <f t="shared" si="0"/>
        <v>144</v>
      </c>
    </row>
    <row r="12" spans="1:15" s="6" customFormat="1" ht="23.25" customHeight="1">
      <c r="A12" s="57"/>
      <c r="B12" s="56" t="s">
        <v>467</v>
      </c>
      <c r="C12" s="55">
        <v>10</v>
      </c>
      <c r="D12" s="55">
        <v>5</v>
      </c>
      <c r="E12" s="55">
        <v>4</v>
      </c>
      <c r="F12" s="57">
        <v>5</v>
      </c>
      <c r="G12" s="57">
        <v>9</v>
      </c>
      <c r="H12" s="1236">
        <v>2</v>
      </c>
      <c r="I12" s="55">
        <v>7</v>
      </c>
      <c r="J12" s="57">
        <v>6</v>
      </c>
      <c r="K12" s="57">
        <v>2</v>
      </c>
      <c r="L12" s="57">
        <v>8</v>
      </c>
      <c r="M12" s="57">
        <v>1</v>
      </c>
      <c r="N12" s="57"/>
      <c r="O12" s="68">
        <f t="shared" ref="O12:O20" si="1">SUM(C12:N12)</f>
        <v>59</v>
      </c>
    </row>
    <row r="13" spans="1:15" s="6" customFormat="1" ht="23.25" customHeight="1">
      <c r="A13" s="44"/>
      <c r="B13" s="50" t="s">
        <v>466</v>
      </c>
      <c r="C13" s="43">
        <v>7</v>
      </c>
      <c r="D13" s="43">
        <v>4</v>
      </c>
      <c r="E13" s="43">
        <v>2</v>
      </c>
      <c r="F13" s="44">
        <v>2</v>
      </c>
      <c r="G13" s="44">
        <v>8</v>
      </c>
      <c r="H13" s="45">
        <v>2</v>
      </c>
      <c r="I13" s="43">
        <v>3</v>
      </c>
      <c r="J13" s="44">
        <v>5</v>
      </c>
      <c r="K13" s="44">
        <v>2</v>
      </c>
      <c r="L13" s="44">
        <v>4</v>
      </c>
      <c r="M13" s="44">
        <v>1</v>
      </c>
      <c r="N13" s="44"/>
      <c r="O13" s="66">
        <f t="shared" si="1"/>
        <v>40</v>
      </c>
    </row>
    <row r="14" spans="1:15" s="6" customFormat="1" ht="23.25" customHeight="1">
      <c r="A14" s="44"/>
      <c r="B14" s="50" t="s">
        <v>465</v>
      </c>
      <c r="C14" s="43">
        <v>5</v>
      </c>
      <c r="D14" s="43">
        <v>3</v>
      </c>
      <c r="E14" s="43">
        <v>2</v>
      </c>
      <c r="F14" s="44">
        <v>3</v>
      </c>
      <c r="G14" s="44">
        <v>5</v>
      </c>
      <c r="H14" s="45">
        <v>1</v>
      </c>
      <c r="I14" s="43">
        <v>2</v>
      </c>
      <c r="J14" s="44">
        <v>4</v>
      </c>
      <c r="K14" s="43">
        <v>2</v>
      </c>
      <c r="L14" s="43">
        <v>3</v>
      </c>
      <c r="M14" s="43">
        <v>1</v>
      </c>
      <c r="N14" s="43"/>
      <c r="O14" s="66">
        <f t="shared" si="1"/>
        <v>31</v>
      </c>
    </row>
    <row r="15" spans="1:15" s="6" customFormat="1" ht="23.25" customHeight="1">
      <c r="A15" s="44" t="s">
        <v>483</v>
      </c>
      <c r="B15" s="50" t="s">
        <v>468</v>
      </c>
      <c r="C15" s="43">
        <v>4</v>
      </c>
      <c r="D15" s="43">
        <v>3</v>
      </c>
      <c r="E15" s="43">
        <v>3</v>
      </c>
      <c r="F15" s="44">
        <v>2</v>
      </c>
      <c r="G15" s="44">
        <v>4</v>
      </c>
      <c r="H15" s="45">
        <v>1</v>
      </c>
      <c r="I15" s="43">
        <v>3</v>
      </c>
      <c r="J15" s="44">
        <v>2</v>
      </c>
      <c r="K15" s="43">
        <v>2</v>
      </c>
      <c r="L15" s="43">
        <v>3</v>
      </c>
      <c r="M15" s="43">
        <v>1</v>
      </c>
      <c r="N15" s="43"/>
      <c r="O15" s="66">
        <f t="shared" si="1"/>
        <v>28</v>
      </c>
    </row>
    <row r="16" spans="1:15" s="6" customFormat="1" ht="23.25" customHeight="1">
      <c r="A16" s="44" t="s">
        <v>485</v>
      </c>
      <c r="B16" s="50" t="s">
        <v>469</v>
      </c>
      <c r="C16" s="43">
        <v>6</v>
      </c>
      <c r="D16" s="43">
        <v>4</v>
      </c>
      <c r="E16" s="43">
        <v>3</v>
      </c>
      <c r="F16" s="44">
        <v>1</v>
      </c>
      <c r="G16" s="44">
        <v>5</v>
      </c>
      <c r="H16" s="45">
        <v>1</v>
      </c>
      <c r="I16" s="43">
        <v>3</v>
      </c>
      <c r="J16" s="44">
        <v>4</v>
      </c>
      <c r="K16" s="43">
        <v>2</v>
      </c>
      <c r="L16" s="43">
        <v>4</v>
      </c>
      <c r="M16" s="43">
        <v>1</v>
      </c>
      <c r="N16" s="43"/>
      <c r="O16" s="66">
        <f t="shared" si="1"/>
        <v>34</v>
      </c>
    </row>
    <row r="17" spans="1:15" s="6" customFormat="1" ht="23.25" customHeight="1">
      <c r="A17" s="44"/>
      <c r="B17" s="50" t="s">
        <v>470</v>
      </c>
      <c r="C17" s="43">
        <v>5</v>
      </c>
      <c r="D17" s="43">
        <v>4</v>
      </c>
      <c r="E17" s="43">
        <v>5</v>
      </c>
      <c r="F17" s="44">
        <v>3</v>
      </c>
      <c r="G17" s="44">
        <v>5</v>
      </c>
      <c r="H17" s="45">
        <v>2</v>
      </c>
      <c r="I17" s="43">
        <v>7</v>
      </c>
      <c r="J17" s="44">
        <v>6</v>
      </c>
      <c r="K17" s="43">
        <v>2</v>
      </c>
      <c r="L17" s="43">
        <v>5</v>
      </c>
      <c r="M17" s="43">
        <v>1</v>
      </c>
      <c r="N17" s="43"/>
      <c r="O17" s="66">
        <f t="shared" si="1"/>
        <v>45</v>
      </c>
    </row>
    <row r="18" spans="1:15" s="6" customFormat="1" ht="23.25" customHeight="1">
      <c r="A18" s="44"/>
      <c r="B18" s="50" t="s">
        <v>471</v>
      </c>
      <c r="C18" s="43">
        <v>7</v>
      </c>
      <c r="D18" s="43">
        <v>6</v>
      </c>
      <c r="E18" s="43">
        <v>11</v>
      </c>
      <c r="F18" s="44">
        <v>5</v>
      </c>
      <c r="G18" s="44">
        <v>10</v>
      </c>
      <c r="H18" s="45">
        <v>3</v>
      </c>
      <c r="I18" s="43">
        <v>9</v>
      </c>
      <c r="J18" s="44">
        <v>11</v>
      </c>
      <c r="K18" s="43">
        <v>5</v>
      </c>
      <c r="L18" s="43">
        <v>7</v>
      </c>
      <c r="M18" s="43"/>
      <c r="N18" s="43">
        <v>8</v>
      </c>
      <c r="O18" s="66">
        <f t="shared" si="1"/>
        <v>82</v>
      </c>
    </row>
    <row r="19" spans="1:15" s="6" customFormat="1" ht="23.25" customHeight="1">
      <c r="A19" s="54"/>
      <c r="B19" s="53" t="s">
        <v>444</v>
      </c>
      <c r="C19" s="52">
        <f t="shared" ref="C19:N19" si="2">SUM(C12:C18)</f>
        <v>44</v>
      </c>
      <c r="D19" s="52">
        <f t="shared" si="2"/>
        <v>29</v>
      </c>
      <c r="E19" s="52">
        <f t="shared" si="2"/>
        <v>30</v>
      </c>
      <c r="F19" s="54">
        <f t="shared" si="2"/>
        <v>21</v>
      </c>
      <c r="G19" s="71">
        <f t="shared" si="2"/>
        <v>46</v>
      </c>
      <c r="H19" s="54">
        <f t="shared" si="2"/>
        <v>12</v>
      </c>
      <c r="I19" s="52">
        <f t="shared" si="2"/>
        <v>34</v>
      </c>
      <c r="J19" s="54">
        <f t="shared" si="2"/>
        <v>38</v>
      </c>
      <c r="K19" s="52">
        <f t="shared" si="2"/>
        <v>17</v>
      </c>
      <c r="L19" s="52">
        <f t="shared" si="2"/>
        <v>34</v>
      </c>
      <c r="M19" s="52">
        <f t="shared" si="2"/>
        <v>6</v>
      </c>
      <c r="N19" s="52">
        <f t="shared" si="2"/>
        <v>8</v>
      </c>
      <c r="O19" s="66">
        <f t="shared" si="1"/>
        <v>319</v>
      </c>
    </row>
    <row r="20" spans="1:15" s="6" customFormat="1" ht="23.25" customHeight="1">
      <c r="A20" s="58"/>
      <c r="B20" s="56" t="s">
        <v>472</v>
      </c>
      <c r="C20" s="1236">
        <v>58</v>
      </c>
      <c r="D20" s="57">
        <v>39</v>
      </c>
      <c r="E20" s="1236">
        <v>36</v>
      </c>
      <c r="F20" s="57">
        <v>22</v>
      </c>
      <c r="G20" s="57">
        <v>48</v>
      </c>
      <c r="H20" s="1236">
        <v>11</v>
      </c>
      <c r="I20" s="57">
        <v>29</v>
      </c>
      <c r="J20" s="1236">
        <v>47</v>
      </c>
      <c r="K20" s="57">
        <v>19</v>
      </c>
      <c r="L20" s="57">
        <v>35</v>
      </c>
      <c r="M20" s="57">
        <v>4</v>
      </c>
      <c r="N20" s="57">
        <v>3</v>
      </c>
      <c r="O20" s="68">
        <f t="shared" si="1"/>
        <v>351</v>
      </c>
    </row>
    <row r="21" spans="1:15" s="6" customFormat="1" ht="23.25" customHeight="1">
      <c r="A21" s="43" t="s">
        <v>481</v>
      </c>
      <c r="B21" s="50" t="s">
        <v>473</v>
      </c>
      <c r="C21" s="45">
        <v>1</v>
      </c>
      <c r="D21" s="44">
        <v>2</v>
      </c>
      <c r="E21" s="45"/>
      <c r="F21" s="44">
        <v>4</v>
      </c>
      <c r="G21" s="44">
        <v>2</v>
      </c>
      <c r="H21" s="45">
        <v>2</v>
      </c>
      <c r="I21" s="44">
        <v>3</v>
      </c>
      <c r="J21" s="45">
        <v>13</v>
      </c>
      <c r="K21" s="44">
        <v>2</v>
      </c>
      <c r="L21" s="44">
        <v>1</v>
      </c>
      <c r="M21" s="44"/>
      <c r="N21" s="44"/>
      <c r="O21" s="69">
        <f>SUM(C21:L21)</f>
        <v>30</v>
      </c>
    </row>
    <row r="22" spans="1:15" s="6" customFormat="1" ht="23.25" customHeight="1">
      <c r="A22" s="43" t="s">
        <v>482</v>
      </c>
      <c r="B22" s="50" t="s">
        <v>474</v>
      </c>
      <c r="C22" s="45">
        <v>6</v>
      </c>
      <c r="D22" s="44">
        <v>11</v>
      </c>
      <c r="E22" s="45">
        <v>8</v>
      </c>
      <c r="F22" s="44">
        <v>3</v>
      </c>
      <c r="G22" s="44">
        <v>3</v>
      </c>
      <c r="H22" s="45">
        <v>2</v>
      </c>
      <c r="I22" s="44">
        <v>6</v>
      </c>
      <c r="J22" s="45"/>
      <c r="K22" s="44"/>
      <c r="L22" s="44">
        <v>8</v>
      </c>
      <c r="M22" s="44"/>
      <c r="N22" s="44">
        <v>1</v>
      </c>
      <c r="O22" s="69">
        <f>SUM(C22:N22)</f>
        <v>48</v>
      </c>
    </row>
    <row r="23" spans="1:15" ht="23.25" customHeight="1">
      <c r="A23" s="51"/>
      <c r="B23" s="53" t="s">
        <v>475</v>
      </c>
      <c r="C23" s="45">
        <v>26</v>
      </c>
      <c r="D23" s="44">
        <v>14</v>
      </c>
      <c r="E23" s="45">
        <v>10</v>
      </c>
      <c r="F23" s="44">
        <v>7</v>
      </c>
      <c r="G23" s="44">
        <v>5</v>
      </c>
      <c r="H23" s="45">
        <v>2</v>
      </c>
      <c r="I23" s="44">
        <v>11</v>
      </c>
      <c r="J23" s="45">
        <v>14</v>
      </c>
      <c r="K23" s="44">
        <v>7</v>
      </c>
      <c r="L23" s="44">
        <v>8</v>
      </c>
      <c r="M23" s="44">
        <v>2</v>
      </c>
      <c r="N23" s="44"/>
      <c r="O23" s="69">
        <f>SUM(C23:N23)</f>
        <v>106</v>
      </c>
    </row>
    <row r="24" spans="1:15" ht="23.25" customHeight="1">
      <c r="A24" s="65"/>
      <c r="B24" s="64" t="s">
        <v>399</v>
      </c>
      <c r="C24" s="1262">
        <f t="shared" ref="C24:O24" si="3">+C11+C19+C20+C21+C22+C23</f>
        <v>156</v>
      </c>
      <c r="D24" s="1262">
        <f t="shared" si="3"/>
        <v>112</v>
      </c>
      <c r="E24" s="1262">
        <f t="shared" si="3"/>
        <v>97</v>
      </c>
      <c r="F24" s="1262">
        <f t="shared" si="3"/>
        <v>69</v>
      </c>
      <c r="G24" s="1262">
        <f t="shared" si="3"/>
        <v>122</v>
      </c>
      <c r="H24" s="1262">
        <f t="shared" si="3"/>
        <v>34</v>
      </c>
      <c r="I24" s="1262">
        <f t="shared" si="3"/>
        <v>100</v>
      </c>
      <c r="J24" s="1262">
        <f t="shared" si="3"/>
        <v>129</v>
      </c>
      <c r="K24" s="1262">
        <f t="shared" si="3"/>
        <v>52</v>
      </c>
      <c r="L24" s="1262">
        <f t="shared" si="3"/>
        <v>101</v>
      </c>
      <c r="M24" s="1456">
        <f t="shared" si="3"/>
        <v>14</v>
      </c>
      <c r="N24" s="1262">
        <f t="shared" si="3"/>
        <v>12</v>
      </c>
      <c r="O24" s="70">
        <f t="shared" si="3"/>
        <v>998</v>
      </c>
    </row>
    <row r="26" spans="1:15">
      <c r="A26" t="s">
        <v>1609</v>
      </c>
    </row>
  </sheetData>
  <mergeCells count="3">
    <mergeCell ref="A1:O1"/>
    <mergeCell ref="A3:O3"/>
    <mergeCell ref="A2:O2"/>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19"/>
  <sheetViews>
    <sheetView showGridLines="0" workbookViewId="0">
      <selection activeCell="L53" sqref="L53"/>
    </sheetView>
  </sheetViews>
  <sheetFormatPr baseColWidth="10" defaultRowHeight="13.2"/>
  <cols>
    <col min="2" max="2" width="34" customWidth="1"/>
  </cols>
  <sheetData>
    <row r="1" spans="1:13" ht="25.5" customHeight="1">
      <c r="A1" s="1569"/>
      <c r="B1" s="1569"/>
      <c r="C1" s="1569"/>
      <c r="D1" s="1569"/>
      <c r="E1" s="1569"/>
      <c r="F1" s="1569"/>
      <c r="G1" s="1569"/>
      <c r="H1" s="1569"/>
      <c r="I1" s="1569"/>
      <c r="J1" s="1569"/>
      <c r="K1" s="1569"/>
      <c r="L1" s="1569"/>
    </row>
    <row r="4" spans="1:13" ht="26.25" customHeight="1">
      <c r="B4" s="1171"/>
      <c r="C4" s="1568"/>
      <c r="D4" s="1568"/>
      <c r="E4" s="1568"/>
      <c r="F4" s="1568"/>
      <c r="G4" s="1568"/>
      <c r="H4" s="1568"/>
      <c r="I4" s="1568"/>
      <c r="J4" s="1568"/>
      <c r="K4" s="1568"/>
      <c r="L4" s="1568"/>
      <c r="M4" s="1568"/>
    </row>
    <row r="6" spans="1:13" ht="24.75" customHeight="1">
      <c r="B6" s="1171"/>
      <c r="C6" s="1568"/>
      <c r="D6" s="1568"/>
      <c r="E6" s="1568"/>
      <c r="F6" s="1568"/>
      <c r="G6" s="1568"/>
      <c r="H6" s="1568"/>
      <c r="I6" s="1568"/>
      <c r="J6" s="1568"/>
      <c r="K6" s="1568"/>
      <c r="L6" s="1568"/>
      <c r="M6" s="1568"/>
    </row>
    <row r="9" spans="1:13" ht="29.25" customHeight="1">
      <c r="B9" s="1171"/>
      <c r="C9" s="1568"/>
      <c r="D9" s="1568"/>
      <c r="E9" s="1568"/>
      <c r="F9" s="1568"/>
      <c r="G9" s="1568"/>
      <c r="H9" s="1568"/>
      <c r="I9" s="1568"/>
      <c r="J9" s="1568"/>
      <c r="K9" s="1568"/>
      <c r="L9" s="1568"/>
      <c r="M9" s="1568"/>
    </row>
    <row r="10" spans="1:13" ht="22.8">
      <c r="A10" s="169"/>
      <c r="B10" s="1"/>
      <c r="C10" s="1"/>
      <c r="D10" s="1"/>
      <c r="E10" s="1"/>
      <c r="F10" s="1"/>
      <c r="G10" s="1"/>
    </row>
    <row r="11" spans="1:13" ht="33.75" customHeight="1">
      <c r="A11" s="169"/>
      <c r="B11" s="1171"/>
      <c r="C11" s="1568"/>
      <c r="D11" s="1568"/>
      <c r="E11" s="1568"/>
      <c r="F11" s="1568"/>
      <c r="G11" s="1568"/>
      <c r="H11" s="1568"/>
      <c r="I11" s="1568"/>
      <c r="J11" s="1568"/>
      <c r="K11" s="1568"/>
      <c r="L11" s="1568"/>
      <c r="M11" s="1568"/>
    </row>
    <row r="12" spans="1:13" ht="22.8">
      <c r="A12" s="169"/>
      <c r="B12" s="1"/>
      <c r="C12" s="1"/>
      <c r="D12" s="1"/>
      <c r="E12" s="1"/>
      <c r="F12" s="1"/>
      <c r="G12" s="1"/>
    </row>
    <row r="13" spans="1:13" ht="32.25" customHeight="1">
      <c r="A13" s="169"/>
      <c r="B13" s="1171"/>
      <c r="C13" s="1568"/>
      <c r="D13" s="1568"/>
      <c r="E13" s="1568"/>
      <c r="F13" s="1568"/>
      <c r="G13" s="1568"/>
      <c r="H13" s="1568"/>
      <c r="I13" s="1568"/>
      <c r="J13" s="1568"/>
      <c r="K13" s="1568"/>
      <c r="L13" s="1568"/>
      <c r="M13" s="1568"/>
    </row>
    <row r="14" spans="1:13" ht="22.8">
      <c r="A14" s="169"/>
      <c r="B14" s="1"/>
      <c r="C14" s="1"/>
      <c r="D14" s="1"/>
      <c r="E14" s="1"/>
      <c r="F14" s="1"/>
      <c r="G14" s="1"/>
    </row>
    <row r="15" spans="1:13" ht="22.8">
      <c r="A15" s="169"/>
      <c r="B15" s="1"/>
      <c r="C15" s="1"/>
      <c r="D15" s="1"/>
      <c r="E15" s="1"/>
      <c r="F15" s="1"/>
      <c r="G15" s="1"/>
    </row>
    <row r="16" spans="1:13" ht="22.8">
      <c r="A16" s="169"/>
      <c r="B16" s="1"/>
      <c r="C16" s="1"/>
      <c r="D16" s="1"/>
      <c r="E16" s="1"/>
      <c r="F16" s="1"/>
      <c r="G16" s="1"/>
    </row>
    <row r="17" spans="1:7" ht="22.8">
      <c r="A17" s="169"/>
      <c r="B17" s="1"/>
      <c r="C17" s="1"/>
      <c r="D17" s="1"/>
      <c r="E17" s="1"/>
      <c r="F17" s="1"/>
      <c r="G17" s="1"/>
    </row>
    <row r="18" spans="1:7" ht="22.8">
      <c r="A18" s="169"/>
      <c r="B18" s="1"/>
      <c r="C18" s="1"/>
      <c r="D18" s="1"/>
      <c r="E18" s="1"/>
      <c r="F18" s="1"/>
      <c r="G18" s="1"/>
    </row>
    <row r="19" spans="1:7">
      <c r="A19" s="1"/>
      <c r="B19" s="1"/>
      <c r="C19" s="1"/>
      <c r="D19" s="1"/>
      <c r="E19" s="1"/>
      <c r="F19" s="1"/>
      <c r="G19" s="1"/>
    </row>
  </sheetData>
  <mergeCells count="6">
    <mergeCell ref="C13:M13"/>
    <mergeCell ref="A1:L1"/>
    <mergeCell ref="C4:M4"/>
    <mergeCell ref="C6:M6"/>
    <mergeCell ref="C9:M9"/>
    <mergeCell ref="C11:M11"/>
  </mergeCells>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topLeftCell="D10" workbookViewId="0">
      <selection activeCell="AE19" sqref="AE11:AE19"/>
    </sheetView>
  </sheetViews>
  <sheetFormatPr baseColWidth="10" defaultRowHeight="13.2"/>
  <cols>
    <col min="1" max="1" width="5.77734375" customWidth="1"/>
    <col min="2" max="2" width="6.77734375" customWidth="1"/>
    <col min="3" max="3" width="6.5546875" customWidth="1"/>
    <col min="4" max="5" width="5.44140625" customWidth="1"/>
    <col min="6" max="6" width="7.21875" customWidth="1"/>
    <col min="7" max="7" width="6" customWidth="1"/>
    <col min="8" max="10" width="5.77734375" customWidth="1"/>
    <col min="11" max="11" width="6.77734375" customWidth="1"/>
    <col min="12" max="12" width="4.77734375" customWidth="1"/>
    <col min="13" max="13" width="5.77734375" customWidth="1"/>
    <col min="14" max="14" width="4.77734375" customWidth="1"/>
    <col min="15" max="15" width="5.77734375" customWidth="1"/>
    <col min="16" max="16" width="4.77734375" customWidth="1"/>
    <col min="17" max="19" width="5.77734375" customWidth="1"/>
    <col min="20" max="20" width="5.5546875" customWidth="1"/>
    <col min="21" max="21" width="5.77734375" customWidth="1"/>
    <col min="22" max="22" width="5.21875" customWidth="1"/>
    <col min="23" max="23" width="5.77734375" customWidth="1"/>
    <col min="24" max="24" width="4" customWidth="1"/>
    <col min="25" max="25" width="5.77734375" customWidth="1"/>
    <col min="26" max="26" width="4.77734375" customWidth="1"/>
    <col min="27" max="27" width="5.44140625" customWidth="1"/>
    <col min="28" max="28" width="4.77734375" customWidth="1"/>
    <col min="29" max="29" width="5.77734375" customWidth="1"/>
    <col min="30" max="30" width="4.77734375" customWidth="1"/>
    <col min="31" max="31" width="6" customWidth="1"/>
  </cols>
  <sheetData>
    <row r="1" spans="1:31">
      <c r="A1" s="114"/>
      <c r="B1" s="114" t="s">
        <v>660</v>
      </c>
      <c r="C1" s="180"/>
      <c r="D1" s="180"/>
      <c r="E1" s="180"/>
      <c r="F1" s="180"/>
      <c r="G1" s="180"/>
      <c r="H1" s="180"/>
      <c r="I1" s="180"/>
      <c r="J1" s="113"/>
      <c r="K1" s="113"/>
      <c r="L1" s="113"/>
      <c r="M1" s="113"/>
      <c r="N1" s="113"/>
      <c r="O1" s="113"/>
      <c r="P1" s="113"/>
      <c r="Q1" s="113"/>
      <c r="R1" s="113"/>
      <c r="S1" s="113"/>
      <c r="T1" s="113"/>
      <c r="U1" s="113"/>
      <c r="V1" s="113"/>
      <c r="W1" s="113"/>
      <c r="X1" s="113"/>
      <c r="Y1" s="113"/>
      <c r="Z1" s="113"/>
      <c r="AA1" s="113"/>
      <c r="AB1" s="113"/>
      <c r="AC1" s="113"/>
      <c r="AD1" s="113"/>
      <c r="AE1" s="113"/>
    </row>
    <row r="2" spans="1:31">
      <c r="A2" s="180"/>
      <c r="B2" s="180"/>
      <c r="C2" s="180"/>
      <c r="D2" s="237"/>
      <c r="E2" s="180"/>
      <c r="F2" s="180"/>
      <c r="G2" s="180"/>
      <c r="H2" s="180"/>
      <c r="I2" s="180"/>
      <c r="J2" s="113"/>
      <c r="K2" s="113"/>
      <c r="L2" s="113"/>
      <c r="M2" s="113"/>
      <c r="N2" s="113"/>
      <c r="O2" s="113"/>
      <c r="P2" s="113"/>
      <c r="Q2" s="113"/>
      <c r="R2" s="113"/>
      <c r="S2" s="113"/>
      <c r="T2" s="113"/>
      <c r="U2" s="113"/>
      <c r="V2" s="113"/>
      <c r="W2" s="113"/>
      <c r="X2" s="113"/>
      <c r="Y2" s="113"/>
      <c r="Z2" s="113"/>
      <c r="AA2" s="113"/>
      <c r="AB2" s="113"/>
      <c r="AC2" s="113"/>
      <c r="AD2" s="113"/>
      <c r="AE2" s="113"/>
    </row>
    <row r="3" spans="1:31">
      <c r="A3" s="114" t="str">
        <f>+'7'!A3</f>
        <v>AÑOS   2011  - 2020</v>
      </c>
      <c r="B3" s="180"/>
      <c r="C3" s="180"/>
      <c r="D3" s="180"/>
      <c r="E3" s="180"/>
      <c r="F3" s="180"/>
      <c r="G3" s="180"/>
      <c r="H3" s="180"/>
      <c r="I3" s="180"/>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238"/>
      <c r="K5" s="113"/>
      <c r="L5" s="113"/>
      <c r="M5" s="113"/>
      <c r="N5" s="113"/>
      <c r="O5" s="113"/>
      <c r="P5" s="113"/>
      <c r="Q5" s="113"/>
      <c r="R5" s="113"/>
      <c r="S5" s="113"/>
      <c r="T5" s="113"/>
      <c r="U5" s="113"/>
      <c r="V5" s="113"/>
      <c r="W5" s="113"/>
      <c r="X5" s="113"/>
      <c r="Y5" s="113"/>
      <c r="Z5" s="113"/>
      <c r="AA5" s="113"/>
      <c r="AB5" s="113"/>
      <c r="AC5" s="113"/>
      <c r="AD5" s="113"/>
      <c r="AE5" s="113"/>
    </row>
    <row r="6" spans="1:31" s="240" customFormat="1" ht="20.25" customHeight="1">
      <c r="A6" s="190"/>
      <c r="B6" s="189"/>
      <c r="C6" s="184"/>
      <c r="D6" s="189"/>
      <c r="E6" s="184"/>
      <c r="F6" s="189"/>
      <c r="G6" s="184"/>
      <c r="H6" s="239"/>
      <c r="I6" s="84"/>
      <c r="J6" s="118" t="s">
        <v>639</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41"/>
      <c r="F7" s="212" t="s">
        <v>647</v>
      </c>
      <c r="G7" s="212"/>
      <c r="H7" s="182" t="s">
        <v>648</v>
      </c>
      <c r="I7" s="242"/>
      <c r="J7" s="243"/>
      <c r="K7" s="244"/>
      <c r="L7" s="243"/>
      <c r="M7" s="244"/>
      <c r="N7" s="243"/>
      <c r="O7" s="244"/>
      <c r="P7" s="243"/>
      <c r="Q7" s="244"/>
      <c r="R7" s="182" t="s">
        <v>648</v>
      </c>
      <c r="S7" s="242"/>
      <c r="T7" s="243"/>
      <c r="U7" s="244"/>
      <c r="V7" s="243"/>
      <c r="W7" s="244"/>
      <c r="X7" s="243"/>
      <c r="Y7" s="244"/>
      <c r="Z7" s="216"/>
      <c r="AA7" s="244"/>
      <c r="AB7" s="243"/>
      <c r="AC7" s="244"/>
      <c r="AD7" s="243"/>
      <c r="AE7" s="244"/>
    </row>
    <row r="8" spans="1:31" ht="17.25" customHeight="1">
      <c r="A8" s="245" t="s">
        <v>640</v>
      </c>
      <c r="B8" s="199" t="s">
        <v>645</v>
      </c>
      <c r="C8" s="199"/>
      <c r="D8" s="199" t="s">
        <v>646</v>
      </c>
      <c r="E8" s="246"/>
      <c r="F8" s="199" t="s">
        <v>649</v>
      </c>
      <c r="G8" s="246"/>
      <c r="H8" s="199" t="s">
        <v>630</v>
      </c>
      <c r="I8" s="246"/>
      <c r="J8" s="199" t="s">
        <v>630</v>
      </c>
      <c r="K8" s="246"/>
      <c r="L8" s="247" t="s">
        <v>426</v>
      </c>
      <c r="M8" s="248"/>
      <c r="N8" s="199" t="s">
        <v>651</v>
      </c>
      <c r="O8" s="246"/>
      <c r="P8" s="199" t="s">
        <v>429</v>
      </c>
      <c r="Q8" s="246"/>
      <c r="R8" s="199" t="s">
        <v>652</v>
      </c>
      <c r="S8" s="246"/>
      <c r="T8" s="199" t="s">
        <v>652</v>
      </c>
      <c r="U8" s="246"/>
      <c r="V8" s="199" t="s">
        <v>393</v>
      </c>
      <c r="W8" s="246"/>
      <c r="X8" s="199" t="s">
        <v>411</v>
      </c>
      <c r="Y8" s="246"/>
      <c r="Z8" s="199" t="s">
        <v>416</v>
      </c>
      <c r="AA8" s="246"/>
      <c r="AB8" s="199" t="s">
        <v>653</v>
      </c>
      <c r="AC8" s="246"/>
      <c r="AD8" s="199" t="s">
        <v>418</v>
      </c>
      <c r="AE8" s="246"/>
    </row>
    <row r="9" spans="1:31" ht="18.75" customHeight="1">
      <c r="A9" s="249"/>
      <c r="B9" s="250" t="s">
        <v>661</v>
      </c>
      <c r="C9" s="251" t="s">
        <v>662</v>
      </c>
      <c r="D9" s="250" t="s">
        <v>661</v>
      </c>
      <c r="E9" s="251" t="s">
        <v>662</v>
      </c>
      <c r="F9" s="250" t="s">
        <v>661</v>
      </c>
      <c r="G9" s="251" t="s">
        <v>662</v>
      </c>
      <c r="H9" s="250" t="s">
        <v>661</v>
      </c>
      <c r="I9" s="251" t="s">
        <v>662</v>
      </c>
      <c r="J9" s="250" t="s">
        <v>661</v>
      </c>
      <c r="K9" s="251" t="s">
        <v>662</v>
      </c>
      <c r="L9" s="250" t="s">
        <v>661</v>
      </c>
      <c r="M9" s="252" t="s">
        <v>662</v>
      </c>
      <c r="N9" s="250" t="s">
        <v>661</v>
      </c>
      <c r="O9" s="252" t="s">
        <v>662</v>
      </c>
      <c r="P9" s="250" t="s">
        <v>661</v>
      </c>
      <c r="Q9" s="252" t="s">
        <v>662</v>
      </c>
      <c r="R9" s="250" t="s">
        <v>661</v>
      </c>
      <c r="S9" s="251" t="s">
        <v>662</v>
      </c>
      <c r="T9" s="250" t="s">
        <v>661</v>
      </c>
      <c r="U9" s="252" t="s">
        <v>662</v>
      </c>
      <c r="V9" s="250" t="s">
        <v>661</v>
      </c>
      <c r="W9" s="252" t="s">
        <v>662</v>
      </c>
      <c r="X9" s="250" t="s">
        <v>661</v>
      </c>
      <c r="Y9" s="252" t="s">
        <v>662</v>
      </c>
      <c r="Z9" s="250" t="s">
        <v>661</v>
      </c>
      <c r="AA9" s="252" t="s">
        <v>662</v>
      </c>
      <c r="AB9" s="250" t="s">
        <v>661</v>
      </c>
      <c r="AC9" s="252" t="s">
        <v>662</v>
      </c>
      <c r="AD9" s="250" t="s">
        <v>661</v>
      </c>
      <c r="AE9" s="252" t="s">
        <v>662</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ht="26.25" customHeight="1">
      <c r="A11" s="254">
        <v>2011</v>
      </c>
      <c r="B11" s="258">
        <v>248879</v>
      </c>
      <c r="C11" s="255">
        <f>+B11/'7'!B11*1000</f>
        <v>14.424290398622151</v>
      </c>
      <c r="D11" s="202">
        <v>23694</v>
      </c>
      <c r="E11" s="255">
        <f>+D11/'7'!C11*1000</f>
        <v>13.412523109912044</v>
      </c>
      <c r="F11" s="202">
        <v>3698</v>
      </c>
      <c r="G11" s="255">
        <f>+F11/'7'!D11*1000</f>
        <v>14.510724123588362</v>
      </c>
      <c r="H11" s="203">
        <v>1511</v>
      </c>
      <c r="I11" s="269">
        <f>+H11/'7'!E11*1000</f>
        <v>14.439156776178736</v>
      </c>
      <c r="J11" s="202">
        <v>969</v>
      </c>
      <c r="K11" s="255">
        <f>+J11/'7'!F11*1000</f>
        <v>15.021159838162117</v>
      </c>
      <c r="L11" s="202">
        <v>232</v>
      </c>
      <c r="M11" s="255">
        <f>+L11/'7'!G11*1000</f>
        <v>13.163120567375886</v>
      </c>
      <c r="N11" s="202">
        <v>167</v>
      </c>
      <c r="O11" s="255">
        <f>+N11/'7'!H11*1000</f>
        <v>12.486914909525947</v>
      </c>
      <c r="P11" s="202">
        <v>143</v>
      </c>
      <c r="Q11" s="255">
        <f>+P11/'7'!I11*1000</f>
        <v>15.648938498577367</v>
      </c>
      <c r="R11" s="203">
        <v>2187</v>
      </c>
      <c r="S11" s="269">
        <f>+R11/'7'!J11*1000</f>
        <v>14.560585885486018</v>
      </c>
      <c r="T11" s="202">
        <v>1120</v>
      </c>
      <c r="U11" s="255">
        <f>+T11/'7'!K11*1000</f>
        <v>15.08498774344746</v>
      </c>
      <c r="V11" s="202">
        <v>213</v>
      </c>
      <c r="W11" s="255">
        <f>+V11/'7'!L11*1000</f>
        <v>13.085145595281976</v>
      </c>
      <c r="X11" s="202">
        <v>252</v>
      </c>
      <c r="Y11" s="255">
        <f>+X11/'7'!O11*1000</f>
        <v>10.413223140495868</v>
      </c>
      <c r="Z11" s="202">
        <v>100</v>
      </c>
      <c r="AA11" s="255">
        <f>+Z11/'7'!N11*1000</f>
        <v>14.148273910582908</v>
      </c>
      <c r="AB11" s="202">
        <v>324</v>
      </c>
      <c r="AC11" s="255">
        <f>+AB11/'7'!O11*1000</f>
        <v>13.388429752066116</v>
      </c>
      <c r="AD11" s="202">
        <v>178</v>
      </c>
      <c r="AE11" s="255">
        <f>+AD11/'7'!P11*1000</f>
        <v>12.957705466986971</v>
      </c>
    </row>
    <row r="12" spans="1:31" ht="26.25" customHeight="1">
      <c r="A12" s="254">
        <v>2012</v>
      </c>
      <c r="B12" s="258">
        <v>243858</v>
      </c>
      <c r="C12" s="255">
        <f>+B12/'7'!B12*1000</f>
        <v>13.979885104420898</v>
      </c>
      <c r="D12" s="202">
        <v>23619</v>
      </c>
      <c r="E12" s="255">
        <f>+D12/'7'!C12*1000</f>
        <v>13.216391481389671</v>
      </c>
      <c r="F12" s="202">
        <v>3810</v>
      </c>
      <c r="G12" s="255">
        <f>+F12/'7'!D12*1000</f>
        <v>14.774428217994556</v>
      </c>
      <c r="H12" s="203">
        <v>1542</v>
      </c>
      <c r="I12" s="269">
        <f>+H12/'7'!E12*1000</f>
        <v>14.557469907953742</v>
      </c>
      <c r="J12" s="202">
        <v>957</v>
      </c>
      <c r="K12" s="255">
        <f>+J12/'7'!F12*1000</f>
        <v>14.750535612447788</v>
      </c>
      <c r="L12" s="202">
        <v>247</v>
      </c>
      <c r="M12" s="255">
        <f>+L12/'7'!G12*1000</f>
        <v>13.754315625348035</v>
      </c>
      <c r="N12" s="202">
        <v>192</v>
      </c>
      <c r="O12" s="255">
        <f>+N12/'7'!H12*1000</f>
        <v>14.000291672743183</v>
      </c>
      <c r="P12" s="202">
        <v>146</v>
      </c>
      <c r="Q12" s="255">
        <f>+P12/'7'!I12*1000</f>
        <v>15.574994666097718</v>
      </c>
      <c r="R12" s="203">
        <v>2268</v>
      </c>
      <c r="S12" s="269">
        <f>+R12/'7'!J12*1000</f>
        <v>14.925667805176602</v>
      </c>
      <c r="T12" s="202">
        <v>1205</v>
      </c>
      <c r="U12" s="255">
        <f>+T12/'7'!K12*1000</f>
        <v>16.020740543774515</v>
      </c>
      <c r="V12" s="202">
        <v>202</v>
      </c>
      <c r="W12" s="255">
        <f>+V12/'7'!L12*1000</f>
        <v>12.296079863647432</v>
      </c>
      <c r="X12" s="202">
        <v>198</v>
      </c>
      <c r="Y12" s="255">
        <f>+X12/'7'!O12*1000</f>
        <v>8.0991532703399187</v>
      </c>
      <c r="Z12" s="202">
        <v>99</v>
      </c>
      <c r="AA12" s="255">
        <f>+Z12/'7'!N12*1000</f>
        <v>13.90254177784019</v>
      </c>
      <c r="AB12" s="202">
        <v>383</v>
      </c>
      <c r="AC12" s="255">
        <f>+AB12/'7'!O12*1000</f>
        <v>15.666543952223178</v>
      </c>
      <c r="AD12" s="202">
        <v>181</v>
      </c>
      <c r="AE12" s="255">
        <f>+AD12/'7'!P12*1000</f>
        <v>13.028143669473836</v>
      </c>
    </row>
    <row r="13" spans="1:31" ht="26.25" customHeight="1">
      <c r="A13" s="254">
        <v>2013</v>
      </c>
      <c r="B13" s="258">
        <v>242005</v>
      </c>
      <c r="C13" s="255">
        <f>+B13/'7'!B13*1000</f>
        <v>13.740991745241372</v>
      </c>
      <c r="D13" s="202">
        <v>23127</v>
      </c>
      <c r="E13" s="255">
        <f>+D13/'7'!C13*1000</f>
        <v>12.807243427337294</v>
      </c>
      <c r="F13" s="202">
        <v>3717</v>
      </c>
      <c r="G13" s="255">
        <f>+F13/'7'!D13*1000</f>
        <v>14.261651619735332</v>
      </c>
      <c r="H13" s="203">
        <v>1532</v>
      </c>
      <c r="I13" s="269">
        <f>+H13/'7'!E13*1000</f>
        <v>14.307193754144137</v>
      </c>
      <c r="J13" s="202">
        <v>951</v>
      </c>
      <c r="K13" s="255">
        <f>+J13/'7'!F13*1000</f>
        <v>14.591708349955503</v>
      </c>
      <c r="L13" s="202">
        <v>270</v>
      </c>
      <c r="M13" s="255">
        <f>+L13/'7'!G13*1000</f>
        <v>14.781561370852952</v>
      </c>
      <c r="N13" s="202">
        <v>167</v>
      </c>
      <c r="O13" s="255">
        <f>+N13/'7'!H13*1000</f>
        <v>11.89543414773132</v>
      </c>
      <c r="P13" s="202">
        <v>144</v>
      </c>
      <c r="Q13" s="255">
        <f>+P13/'7'!I13*1000</f>
        <v>15</v>
      </c>
      <c r="R13" s="203">
        <v>2185</v>
      </c>
      <c r="S13" s="269">
        <f>+R13/'7'!J13*1000</f>
        <v>14.229892543145555</v>
      </c>
      <c r="T13" s="202">
        <v>1108</v>
      </c>
      <c r="U13" s="255">
        <f>+T13/'7'!K13*1000</f>
        <v>14.558068034003863</v>
      </c>
      <c r="V13" s="202">
        <v>208</v>
      </c>
      <c r="W13" s="255">
        <f>+V13/'7'!L13*1000</f>
        <v>12.561903611547288</v>
      </c>
      <c r="X13" s="202">
        <v>212</v>
      </c>
      <c r="Y13" s="255">
        <f>+X13/'7'!O13*1000</f>
        <v>8.5941300470244855</v>
      </c>
      <c r="Z13" s="202">
        <v>88</v>
      </c>
      <c r="AA13" s="255">
        <f>+Z13/'7'!N13*1000</f>
        <v>12.276785714285714</v>
      </c>
      <c r="AB13" s="202">
        <v>375</v>
      </c>
      <c r="AC13" s="255">
        <f>+AB13/'7'!O13*1000</f>
        <v>15.20188097940652</v>
      </c>
      <c r="AD13" s="202">
        <v>194</v>
      </c>
      <c r="AE13" s="255">
        <f>+AD13/'7'!P13*1000</f>
        <v>13.823571326777826</v>
      </c>
    </row>
    <row r="14" spans="1:31" ht="26.25" customHeight="1">
      <c r="A14" s="254">
        <v>2014</v>
      </c>
      <c r="B14" s="258">
        <v>243858</v>
      </c>
      <c r="C14" s="255">
        <f>+B14/'7'!B14*1000</f>
        <v>13.709424933086876</v>
      </c>
      <c r="D14" s="202">
        <v>24246</v>
      </c>
      <c r="E14" s="255">
        <f>+D14/'7'!C14*1000</f>
        <v>13.28662974657532</v>
      </c>
      <c r="F14" s="202">
        <v>3753</v>
      </c>
      <c r="G14" s="255">
        <f>+F14/'7'!D14*1000</f>
        <v>14.24510075571531</v>
      </c>
      <c r="H14" s="203">
        <v>1561</v>
      </c>
      <c r="I14" s="269">
        <f>+H14/'7'!E14*1000</f>
        <v>14.417659554816662</v>
      </c>
      <c r="J14" s="202">
        <v>1024</v>
      </c>
      <c r="K14" s="255">
        <f>+J14/'7'!F14*1000</f>
        <v>15.635974958008857</v>
      </c>
      <c r="L14" s="202">
        <v>254</v>
      </c>
      <c r="M14" s="255">
        <f>+L14/'7'!G14*1000</f>
        <v>13.672085262138014</v>
      </c>
      <c r="N14" s="202">
        <v>151</v>
      </c>
      <c r="O14" s="255">
        <f>+N14/'7'!H14*1000</f>
        <v>10.506540495407737</v>
      </c>
      <c r="P14" s="202">
        <v>132</v>
      </c>
      <c r="Q14" s="255">
        <f>+P14/'7'!I14*1000</f>
        <v>13.428280773143438</v>
      </c>
      <c r="R14" s="203">
        <v>2192</v>
      </c>
      <c r="S14" s="269">
        <f>+R14/'7'!J14*1000</f>
        <v>14.124712447402844</v>
      </c>
      <c r="T14" s="202">
        <v>1101</v>
      </c>
      <c r="U14" s="255">
        <f>+T14/'7'!K14*1000</f>
        <v>14.294245949314499</v>
      </c>
      <c r="V14" s="202">
        <v>194</v>
      </c>
      <c r="W14" s="255">
        <f>+V14/'7'!L14*1000</f>
        <v>11.622334052240594</v>
      </c>
      <c r="X14" s="202">
        <v>193</v>
      </c>
      <c r="Y14" s="255">
        <f>+X14/'7'!O14*1000</f>
        <v>7.7525607551717215</v>
      </c>
      <c r="Z14" s="202">
        <v>115</v>
      </c>
      <c r="AA14" s="255">
        <f>+Z14/'7'!N14*1000</f>
        <v>15.930184236043775</v>
      </c>
      <c r="AB14" s="202">
        <v>392</v>
      </c>
      <c r="AC14" s="255">
        <f>+AB14/'7'!O14*1000</f>
        <v>15.746133761799557</v>
      </c>
      <c r="AD14" s="202">
        <v>197</v>
      </c>
      <c r="AE14" s="255">
        <f>+AD14/'7'!P14*1000</f>
        <v>13.893786585795896</v>
      </c>
    </row>
    <row r="15" spans="1:31" ht="26.25" customHeight="1">
      <c r="A15" s="254">
        <v>2015</v>
      </c>
      <c r="B15" s="258">
        <v>244670</v>
      </c>
      <c r="C15" s="255">
        <f>+B15/'7'!B15*1000</f>
        <v>13.614392138007101</v>
      </c>
      <c r="D15" s="202">
        <v>23598</v>
      </c>
      <c r="E15" s="255">
        <f>+D15/'7'!C15*1000</f>
        <v>12.792955038167982</v>
      </c>
      <c r="F15" s="202">
        <v>3859</v>
      </c>
      <c r="G15" s="255">
        <f>+F15/'7'!D15*1000</f>
        <v>14.488128669900433</v>
      </c>
      <c r="H15" s="203">
        <v>1578</v>
      </c>
      <c r="I15" s="269">
        <f>+H15/'7'!E15*1000</f>
        <v>14.415303242072953</v>
      </c>
      <c r="J15" s="202">
        <v>969</v>
      </c>
      <c r="K15" s="255">
        <f>+J15/'7'!F15*1000</f>
        <v>14.719509045890234</v>
      </c>
      <c r="L15" s="202">
        <v>241</v>
      </c>
      <c r="M15" s="255">
        <f>+L15/'7'!G15*1000</f>
        <v>12.756047213253586</v>
      </c>
      <c r="N15" s="202">
        <v>221</v>
      </c>
      <c r="O15" s="255">
        <f>+N15/'7'!H15*1000</f>
        <v>15.042199836645793</v>
      </c>
      <c r="P15" s="202">
        <v>147</v>
      </c>
      <c r="Q15" s="255">
        <f>+P15/'7'!I15*1000</f>
        <v>14.625410406924683</v>
      </c>
      <c r="R15" s="203">
        <v>2281</v>
      </c>
      <c r="S15" s="269">
        <f>+R15/'7'!J15*1000</f>
        <v>14.538941544658963</v>
      </c>
      <c r="T15" s="202">
        <v>1189</v>
      </c>
      <c r="U15" s="255">
        <f>+T15/'7'!K15*1000</f>
        <v>15.2486726344679</v>
      </c>
      <c r="V15" s="202">
        <v>223</v>
      </c>
      <c r="W15" s="255">
        <f>+V15/'7'!L15*1000</f>
        <v>13.250935884485116</v>
      </c>
      <c r="X15" s="202">
        <v>222</v>
      </c>
      <c r="Y15" s="255">
        <f>+X15/'7'!O15*1000</f>
        <v>8.8340628730600876</v>
      </c>
      <c r="Z15" s="202">
        <v>110</v>
      </c>
      <c r="AA15" s="255">
        <f>+Z15/'7'!N15*1000</f>
        <v>15.122353588122079</v>
      </c>
      <c r="AB15" s="202">
        <v>353</v>
      </c>
      <c r="AC15" s="255">
        <f>+AB15/'7'!O15*1000</f>
        <v>14.046955829685634</v>
      </c>
      <c r="AD15" s="202">
        <v>184</v>
      </c>
      <c r="AE15" s="255">
        <f>+AD15/'7'!P15*1000</f>
        <v>12.841091492776886</v>
      </c>
    </row>
    <row r="16" spans="1:31" ht="26.25" customHeight="1">
      <c r="A16" s="254">
        <v>2016</v>
      </c>
      <c r="B16" s="258">
        <v>230850</v>
      </c>
      <c r="C16" s="255">
        <f>+B16/'7'!B16*1000</f>
        <v>12.707003471706372</v>
      </c>
      <c r="D16" s="202">
        <v>17897</v>
      </c>
      <c r="E16" s="255">
        <f>+D16/'7'!C16*1000</f>
        <v>9.6007304215534433</v>
      </c>
      <c r="F16" s="202">
        <v>3291</v>
      </c>
      <c r="G16" s="255">
        <f>+F16/'7'!D16*1000</f>
        <v>12.223340600730205</v>
      </c>
      <c r="H16" s="203">
        <v>1357</v>
      </c>
      <c r="I16" s="269">
        <f>+H16/'7'!E16*1000</f>
        <v>12.262122060976271</v>
      </c>
      <c r="J16" s="202">
        <v>852</v>
      </c>
      <c r="K16" s="255">
        <f>+J16/'7'!F16*1000</f>
        <v>12.877871825876664</v>
      </c>
      <c r="L16" s="202">
        <v>199</v>
      </c>
      <c r="M16" s="255">
        <f>+L16/'7'!G16*1000</f>
        <v>10.362964120189554</v>
      </c>
      <c r="N16" s="202">
        <v>190</v>
      </c>
      <c r="O16" s="255">
        <f>+N16/'7'!H16*1000</f>
        <v>12.647274179591292</v>
      </c>
      <c r="P16" s="202">
        <v>116</v>
      </c>
      <c r="Q16" s="255">
        <f>+P16/'7'!I16*1000</f>
        <v>11.284046692607003</v>
      </c>
      <c r="R16" s="203">
        <v>1934</v>
      </c>
      <c r="S16" s="269">
        <f>+R16/'7'!J16*1000</f>
        <v>12.196275532404634</v>
      </c>
      <c r="T16" s="202">
        <v>1040</v>
      </c>
      <c r="U16" s="255">
        <f>+T16/'7'!K16*1000</f>
        <v>13.178402625543294</v>
      </c>
      <c r="V16" s="202">
        <v>177</v>
      </c>
      <c r="W16" s="255">
        <f>+V16/'7'!L16*1000</f>
        <v>10.434475033897305</v>
      </c>
      <c r="X16" s="202">
        <v>196</v>
      </c>
      <c r="Y16" s="255">
        <f>+X16/'7'!O16*1000</f>
        <v>7.7277924535741045</v>
      </c>
      <c r="Z16" s="202">
        <v>88</v>
      </c>
      <c r="AA16" s="255">
        <f>+Z16/'7'!N16*1000</f>
        <v>12.008733624454148</v>
      </c>
      <c r="AB16" s="202">
        <v>278</v>
      </c>
      <c r="AC16" s="255">
        <f>+AB16/'7'!O16*1000</f>
        <v>10.960848480069393</v>
      </c>
      <c r="AD16" s="202">
        <v>155</v>
      </c>
      <c r="AE16" s="255">
        <f>+AD16/'7'!P16*1000</f>
        <v>10.706638115631691</v>
      </c>
    </row>
    <row r="17" spans="1:31" ht="26.25" customHeight="1">
      <c r="A17" s="254">
        <v>2017</v>
      </c>
      <c r="B17" s="258">
        <v>219333</v>
      </c>
      <c r="C17" s="255">
        <f>+B17/'7'!B17*1000</f>
        <v>11.907851332458014</v>
      </c>
      <c r="D17" s="202">
        <v>20333</v>
      </c>
      <c r="E17" s="255">
        <f>+D17/'7'!C17*1000</f>
        <v>10.781315285469166</v>
      </c>
      <c r="F17" s="202">
        <v>2979</v>
      </c>
      <c r="G17" s="255">
        <f>+F17/'7'!D17*1000</f>
        <v>10.933995955265679</v>
      </c>
      <c r="H17" s="203">
        <v>1198</v>
      </c>
      <c r="I17" s="269">
        <f>+H17/'7'!E17*1000</f>
        <v>10.696715090582783</v>
      </c>
      <c r="J17" s="202">
        <v>717</v>
      </c>
      <c r="K17" s="255">
        <f>+J17/'7'!F17*1000</f>
        <v>10.770293817220454</v>
      </c>
      <c r="L17" s="202">
        <v>170</v>
      </c>
      <c r="M17" s="255">
        <f>+L17/'7'!G17*1000</f>
        <v>8.6996571311601265</v>
      </c>
      <c r="N17" s="202">
        <v>177</v>
      </c>
      <c r="O17" s="255">
        <f>+N17/'7'!H17*1000</f>
        <v>11.515190943985427</v>
      </c>
      <c r="P17" s="202">
        <v>134</v>
      </c>
      <c r="Q17" s="255">
        <f>+P17/'7'!I17*1000</f>
        <v>12.746123846666032</v>
      </c>
      <c r="R17" s="203">
        <v>1781</v>
      </c>
      <c r="S17" s="269">
        <f>+R17/'7'!J17*1000</f>
        <v>11.099616094131724</v>
      </c>
      <c r="T17" s="202">
        <v>950</v>
      </c>
      <c r="U17" s="255">
        <f>+T17/'7'!K17*1000</f>
        <v>11.880791886044445</v>
      </c>
      <c r="V17" s="202">
        <v>170</v>
      </c>
      <c r="W17" s="255">
        <f>+V17/'7'!L17*1000</f>
        <v>9.9322271558775412</v>
      </c>
      <c r="X17" s="202">
        <v>143</v>
      </c>
      <c r="Y17" s="255">
        <f>+X17/'7'!O17*1000</f>
        <v>5.5802700382424097</v>
      </c>
      <c r="Z17" s="202">
        <v>70</v>
      </c>
      <c r="AA17" s="255">
        <f>+Z17/'7'!N17*1000</f>
        <v>9.4671355152826617</v>
      </c>
      <c r="AB17" s="202">
        <v>291</v>
      </c>
      <c r="AC17" s="255">
        <f>+AB17/'7'!O17*1000</f>
        <v>11.355654413486302</v>
      </c>
      <c r="AD17" s="202">
        <v>157</v>
      </c>
      <c r="AE17" s="255">
        <f>+AD17/'7'!P17*1000</f>
        <v>10.721846616130573</v>
      </c>
    </row>
    <row r="18" spans="1:31" ht="26.25" customHeight="1">
      <c r="A18" s="254">
        <v>2018</v>
      </c>
      <c r="B18" s="258">
        <v>219333</v>
      </c>
      <c r="C18" s="255">
        <f>+B18/'7'!B18*1000</f>
        <v>11.69688351352872</v>
      </c>
      <c r="D18" s="202">
        <v>20333</v>
      </c>
      <c r="E18" s="255">
        <f>+D18/'7'!C18*1000</f>
        <v>10.643404339962887</v>
      </c>
      <c r="F18" s="202">
        <v>3112</v>
      </c>
      <c r="G18" s="255">
        <f>+F18/'7'!D18*1000</f>
        <v>11.273156701225123</v>
      </c>
      <c r="H18" s="203">
        <v>1149</v>
      </c>
      <c r="I18" s="269">
        <f>+H18/'7'!E18*1000</f>
        <v>10.124775298720525</v>
      </c>
      <c r="J18" s="202">
        <v>717</v>
      </c>
      <c r="K18" s="255">
        <f>+J18/'7'!F18*1000</f>
        <v>10.690164154403542</v>
      </c>
      <c r="L18" s="202">
        <v>171</v>
      </c>
      <c r="M18" s="255">
        <f>+L18/'7'!G18*1000</f>
        <v>8.5908063300678208</v>
      </c>
      <c r="N18" s="202">
        <v>139</v>
      </c>
      <c r="O18" s="255">
        <f>+N18/'7'!H18*1000</f>
        <v>8.8287601626016272</v>
      </c>
      <c r="P18" s="202">
        <v>122</v>
      </c>
      <c r="Q18" s="255">
        <f>+P18/'7'!I18*1000</f>
        <v>11.334076551467856</v>
      </c>
      <c r="R18" s="203">
        <v>1963</v>
      </c>
      <c r="S18" s="269">
        <f>+R18/'7'!J18*1000</f>
        <v>12.074798548317649</v>
      </c>
      <c r="T18" s="202">
        <v>1026</v>
      </c>
      <c r="U18" s="255">
        <f>+T18/'7'!K18*1000</f>
        <v>12.647928994082839</v>
      </c>
      <c r="V18" s="202">
        <v>216</v>
      </c>
      <c r="W18" s="255">
        <f>+V18/'7'!L18*1000</f>
        <v>12.491325468424705</v>
      </c>
      <c r="X18" s="202">
        <v>162</v>
      </c>
      <c r="Y18" s="255">
        <f>+X18/'7'!O18*1000</f>
        <v>6.2487945998071357</v>
      </c>
      <c r="Z18" s="202">
        <v>88</v>
      </c>
      <c r="AA18" s="255">
        <f>+Z18/'7'!N18*1000</f>
        <v>11.777301927194861</v>
      </c>
      <c r="AB18" s="202">
        <v>299</v>
      </c>
      <c r="AC18" s="255">
        <f>+AB18/'7'!O18*1000</f>
        <v>11.533269045323047</v>
      </c>
      <c r="AD18" s="202">
        <v>172</v>
      </c>
      <c r="AE18" s="255">
        <f>+AD18/'7'!P18*1000</f>
        <v>11.597329917065606</v>
      </c>
    </row>
    <row r="19" spans="1:31" ht="26.25" customHeight="1">
      <c r="A19" s="254">
        <v>2019</v>
      </c>
      <c r="B19" s="258">
        <v>208713</v>
      </c>
      <c r="C19" s="255">
        <f>+B19/'7'!B19*1000</f>
        <v>10.923255381631735</v>
      </c>
      <c r="D19" s="202">
        <v>19434</v>
      </c>
      <c r="E19" s="255">
        <f>+D19/'7'!C19*1000</f>
        <v>10.041049778992537</v>
      </c>
      <c r="F19" s="202">
        <f t="shared" ref="F19" si="0">+J19+L19+N19+P19+T19+V19+X19+Z19+AB19+AD19</f>
        <v>3103</v>
      </c>
      <c r="G19" s="255">
        <f>+F19/'7'!D19*1000</f>
        <v>11.09335506958819</v>
      </c>
      <c r="H19" s="203">
        <f>+J19+L19+N19+P19</f>
        <v>1198</v>
      </c>
      <c r="I19" s="269">
        <f>+H19/'7'!E19*1000</f>
        <v>10.419565822432508</v>
      </c>
      <c r="J19" s="202">
        <v>728</v>
      </c>
      <c r="K19" s="255">
        <f>+J19/'7'!F19*1000</f>
        <v>10.771939688975039</v>
      </c>
      <c r="L19" s="202">
        <v>188</v>
      </c>
      <c r="M19" s="255">
        <f>+L19/'7'!G19*1000</f>
        <v>9.2720457683961328</v>
      </c>
      <c r="N19" s="202">
        <v>163</v>
      </c>
      <c r="O19" s="255">
        <f>+N19/'7'!H19*1000</f>
        <v>10.119823679145714</v>
      </c>
      <c r="P19" s="202">
        <v>119</v>
      </c>
      <c r="Q19" s="255">
        <f>+P19/'7'!I19*1000</f>
        <v>10.80835603996367</v>
      </c>
      <c r="R19" s="203">
        <f>+T19+V19+X19+Z19+AB19+AD19</f>
        <v>1905</v>
      </c>
      <c r="S19" s="269">
        <f>+R19/'7'!J19*1000</f>
        <v>11.563605902598624</v>
      </c>
      <c r="T19" s="202">
        <v>1041</v>
      </c>
      <c r="U19" s="255">
        <f>+T19/'7'!K19*1000</f>
        <v>12.647001652249976</v>
      </c>
      <c r="V19" s="202">
        <v>170</v>
      </c>
      <c r="W19" s="255">
        <f>+V19/'7'!L19*1000</f>
        <v>9.7304103943678086</v>
      </c>
      <c r="X19" s="202">
        <v>147</v>
      </c>
      <c r="Y19" s="255">
        <f>+X19/'7'!O19*1000</f>
        <v>5.6038426349496797</v>
      </c>
      <c r="Z19" s="202">
        <v>73</v>
      </c>
      <c r="AA19" s="255">
        <f>+Z19/'7'!N19*1000</f>
        <v>9.6650337614193038</v>
      </c>
      <c r="AB19" s="202">
        <v>312</v>
      </c>
      <c r="AC19" s="255">
        <f>+AB19/'7'!O19*1000</f>
        <v>11.893870082342177</v>
      </c>
      <c r="AD19" s="202">
        <v>162</v>
      </c>
      <c r="AE19" s="255">
        <f>+AD19/'7'!P19*1000</f>
        <v>10.783465353125209</v>
      </c>
    </row>
    <row r="20" spans="1:31" ht="26.25" customHeight="1">
      <c r="A20" s="254">
        <v>2020</v>
      </c>
      <c r="B20" s="258"/>
      <c r="C20" s="255">
        <f>+B20/'7'!B20*1000</f>
        <v>0</v>
      </c>
      <c r="D20" s="202"/>
      <c r="E20" s="255">
        <f>+D20/'7'!C20*1000</f>
        <v>0</v>
      </c>
      <c r="F20" s="202">
        <f t="shared" ref="F20" si="1">+J20+L20+N20+P20+T20+V20+X20+Z20+AB20+AD20</f>
        <v>2610</v>
      </c>
      <c r="G20" s="255">
        <f>+F20/'7'!D20*1000</f>
        <v>9.2107027660340339</v>
      </c>
      <c r="H20" s="203">
        <f>+J20+L20+N20+P20</f>
        <v>976</v>
      </c>
      <c r="I20" s="269">
        <f>+H20/'7'!E20*1000</f>
        <v>8.3790489436045359</v>
      </c>
      <c r="J20" s="202">
        <v>590</v>
      </c>
      <c r="K20" s="255">
        <f>+J20/'7'!F20*1000</f>
        <v>8.6646204455670919</v>
      </c>
      <c r="L20" s="202">
        <v>161</v>
      </c>
      <c r="M20" s="255">
        <f>+L20/'7'!G20*1000</f>
        <v>7.7992539844014921</v>
      </c>
      <c r="N20" s="202">
        <v>133</v>
      </c>
      <c r="O20" s="255">
        <f>+N20/'7'!H20*1000</f>
        <v>8.0694090522994788</v>
      </c>
      <c r="P20" s="202">
        <v>92</v>
      </c>
      <c r="Q20" s="255">
        <f>+P20/'7'!I20*1000</f>
        <v>8.1683388084879702</v>
      </c>
      <c r="R20" s="203">
        <f>+T20+V20+X20+Z20+AB20+AD20</f>
        <v>1634</v>
      </c>
      <c r="S20" s="269">
        <f>+R20/'7'!J20*1000</f>
        <v>9.7911735626329506</v>
      </c>
      <c r="T20" s="202">
        <v>870</v>
      </c>
      <c r="U20" s="255">
        <f>+T20/'7'!K20*1000</f>
        <v>10.419910412724267</v>
      </c>
      <c r="V20" s="202">
        <v>176</v>
      </c>
      <c r="W20" s="255">
        <f>+V20/'7'!L20*1000</f>
        <v>9.9744970246528766</v>
      </c>
      <c r="X20" s="202">
        <v>136</v>
      </c>
      <c r="Y20" s="255">
        <f>+X20/'7'!O20*1000</f>
        <v>5.1256925338258013</v>
      </c>
      <c r="Z20" s="202">
        <v>64</v>
      </c>
      <c r="AA20" s="255">
        <f>+Z20/'7'!N20*1000</f>
        <v>8.3846456177125646</v>
      </c>
      <c r="AB20" s="202">
        <v>261</v>
      </c>
      <c r="AC20" s="255">
        <f>+AB20/'7'!O20*1000</f>
        <v>9.8368069950627532</v>
      </c>
      <c r="AD20" s="202">
        <v>127</v>
      </c>
      <c r="AE20" s="255">
        <f>+AD20/'7'!P20*1000</f>
        <v>8.3481233155853563</v>
      </c>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212"/>
      <c r="B22" s="216" t="s">
        <v>1658</v>
      </c>
      <c r="D22" s="263"/>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212"/>
      <c r="B23" s="212"/>
      <c r="C23" s="216" t="s">
        <v>1195</v>
      </c>
      <c r="D23" s="216"/>
      <c r="E23" s="212"/>
      <c r="F23" s="212"/>
      <c r="G23" s="212"/>
      <c r="H23" s="212"/>
      <c r="I23" s="212"/>
      <c r="J23" s="212"/>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517"/>
      <c r="G24" s="1"/>
      <c r="H24" s="1"/>
      <c r="I24" s="1"/>
      <c r="J24" s="1517"/>
      <c r="K24" s="1"/>
      <c r="L24" s="1"/>
      <c r="M24" s="1517"/>
      <c r="N24" s="1517"/>
      <c r="O24" s="1517"/>
      <c r="P24" s="1517"/>
      <c r="Q24" s="1517"/>
      <c r="R24" s="1517"/>
      <c r="S24" s="1517"/>
      <c r="T24" s="1517"/>
      <c r="U24" s="1517"/>
      <c r="V24" s="1517"/>
      <c r="W24" s="1517"/>
      <c r="X24" s="1517"/>
      <c r="Y24" s="1517"/>
      <c r="Z24" s="1517"/>
      <c r="AA24" s="1517"/>
      <c r="AB24" s="1517"/>
      <c r="AC24" s="1517"/>
      <c r="AD24" s="1517"/>
      <c r="AE24" s="1517"/>
    </row>
  </sheetData>
  <phoneticPr fontId="19" type="noConversion"/>
  <pageMargins left="0.59055118110236227" right="0.59055118110236227" top="1.5748031496062993" bottom="0.78740157480314965" header="0.51181102362204722" footer="0.51181102362204722"/>
  <pageSetup paperSize="5" scale="9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3"/>
  <sheetViews>
    <sheetView showGridLines="0" tabSelected="1" topLeftCell="A13" zoomScale="94" zoomScaleNormal="94" workbookViewId="0">
      <selection activeCell="B32" sqref="B32"/>
    </sheetView>
  </sheetViews>
  <sheetFormatPr baseColWidth="10" defaultRowHeight="13.2"/>
  <cols>
    <col min="1" max="1" width="5.44140625" customWidth="1"/>
    <col min="2" max="2" width="19.44140625" customWidth="1"/>
    <col min="3" max="3" width="15.5546875" customWidth="1"/>
    <col min="4" max="4" width="13.77734375" customWidth="1"/>
    <col min="5" max="5" width="15.21875" customWidth="1"/>
    <col min="6" max="6" width="11.44140625" customWidth="1"/>
  </cols>
  <sheetData>
    <row r="3" spans="1:7" ht="13.8">
      <c r="G3" s="1167"/>
    </row>
    <row r="4" spans="1:7" ht="22.8">
      <c r="A4" s="1560"/>
      <c r="B4" s="1560"/>
      <c r="C4" s="1560"/>
      <c r="D4" s="1560"/>
      <c r="E4" s="1560"/>
      <c r="F4" s="1560"/>
    </row>
    <row r="5" spans="1:7" ht="15">
      <c r="A5" s="1152"/>
      <c r="B5" s="171"/>
      <c r="C5" s="172"/>
      <c r="D5" s="172"/>
      <c r="E5" s="172"/>
      <c r="F5" s="173"/>
    </row>
    <row r="6" spans="1:7" ht="15">
      <c r="A6" s="1152"/>
      <c r="B6" s="171"/>
      <c r="C6" s="172"/>
      <c r="D6" s="172"/>
      <c r="E6" s="172"/>
      <c r="F6" s="173"/>
    </row>
    <row r="7" spans="1:7" ht="15">
      <c r="A7" s="1154"/>
      <c r="B7" s="171"/>
      <c r="C7" s="172"/>
      <c r="D7" s="172"/>
      <c r="E7" s="172"/>
      <c r="F7" s="173"/>
    </row>
    <row r="8" spans="1:7" ht="22.8">
      <c r="A8" s="174"/>
      <c r="B8" s="175"/>
      <c r="C8" s="175"/>
      <c r="D8" s="175"/>
      <c r="E8" s="175"/>
      <c r="F8" s="1"/>
    </row>
    <row r="9" spans="1:7" ht="79.5" customHeight="1">
      <c r="A9" s="174"/>
      <c r="B9" s="1561"/>
      <c r="C9" s="1561"/>
      <c r="D9" s="1561"/>
      <c r="E9" s="1561"/>
      <c r="F9" s="1561"/>
    </row>
    <row r="10" spans="1:7" ht="13.5" customHeight="1">
      <c r="A10" s="169"/>
      <c r="B10" s="1163"/>
      <c r="C10" s="175"/>
      <c r="D10" s="175"/>
      <c r="E10" s="175"/>
      <c r="F10" s="1"/>
    </row>
    <row r="11" spans="1:7" ht="127.5" customHeight="1">
      <c r="A11" s="175"/>
      <c r="B11" s="1559"/>
      <c r="C11" s="1559"/>
      <c r="D11" s="1559"/>
      <c r="E11" s="1559"/>
      <c r="F11" s="1559"/>
    </row>
    <row r="12" spans="1:7">
      <c r="A12" s="2"/>
      <c r="B12" s="2"/>
      <c r="C12" s="2"/>
      <c r="D12" s="2"/>
      <c r="E12" s="2"/>
    </row>
    <row r="13" spans="1:7">
      <c r="A13" s="2"/>
      <c r="B13" s="2"/>
      <c r="C13" s="2"/>
      <c r="D13" s="2"/>
      <c r="E13" s="2"/>
    </row>
    <row r="15" spans="1:7" ht="21" customHeight="1">
      <c r="B15" s="1165"/>
    </row>
    <row r="16" spans="1:7" ht="57.75" customHeight="1">
      <c r="B16" s="1559"/>
      <c r="C16" s="1559"/>
      <c r="D16" s="1559"/>
      <c r="E16" s="1559"/>
      <c r="F16" s="1559"/>
    </row>
    <row r="19" spans="2:20" ht="23.25" customHeight="1">
      <c r="B19" s="1166"/>
    </row>
    <row r="20" spans="2:20" ht="67.5" customHeight="1">
      <c r="B20" s="1559"/>
      <c r="C20" s="1559"/>
      <c r="D20" s="1559"/>
      <c r="E20" s="1559"/>
      <c r="F20" s="1559"/>
    </row>
    <row r="22" spans="2:20" ht="60" customHeight="1"/>
    <row r="23" spans="2:20" ht="53.25" customHeight="1">
      <c r="T23" s="2"/>
    </row>
  </sheetData>
  <mergeCells count="5">
    <mergeCell ref="B16:F16"/>
    <mergeCell ref="B20:F20"/>
    <mergeCell ref="A4:F4"/>
    <mergeCell ref="B9:F9"/>
    <mergeCell ref="B11:F11"/>
  </mergeCells>
  <phoneticPr fontId="19" type="noConversion"/>
  <printOptions gridLinesSet="0"/>
  <pageMargins left="1" right="1"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0" workbookViewId="0">
      <selection activeCell="AE11" sqref="AE11"/>
    </sheetView>
  </sheetViews>
  <sheetFormatPr baseColWidth="10" defaultRowHeight="13.2"/>
  <cols>
    <col min="1" max="1" width="6.21875" customWidth="1"/>
    <col min="2" max="2" width="5.77734375" customWidth="1"/>
    <col min="3" max="3" width="7" customWidth="1"/>
    <col min="4" max="4" width="4.77734375" customWidth="1"/>
    <col min="5" max="7" width="6.21875" customWidth="1"/>
    <col min="8" max="9" width="5.77734375" customWidth="1"/>
    <col min="10" max="10" width="4.21875" customWidth="1"/>
    <col min="11" max="11" width="6" customWidth="1"/>
    <col min="12" max="12" width="3.77734375" customWidth="1"/>
    <col min="13" max="13" width="5.77734375" customWidth="1"/>
    <col min="14" max="14" width="3.77734375" customWidth="1"/>
    <col min="15" max="15" width="5.77734375" customWidth="1"/>
    <col min="16" max="16" width="4.44140625" customWidth="1"/>
    <col min="17" max="18" width="5.21875" customWidth="1"/>
    <col min="19" max="19" width="5.77734375" customWidth="1"/>
    <col min="20" max="20" width="4.21875" customWidth="1"/>
    <col min="21" max="21" width="6.44140625" customWidth="1"/>
    <col min="22" max="22" width="4" customWidth="1"/>
    <col min="23" max="23" width="6.44140625" customWidth="1"/>
    <col min="24" max="24" width="4" customWidth="1"/>
    <col min="25" max="25" width="6.44140625" customWidth="1"/>
    <col min="26" max="26" width="4.21875" customWidth="1"/>
    <col min="27" max="27" width="5.77734375" customWidth="1"/>
    <col min="28" max="28" width="4.21875" customWidth="1"/>
    <col min="29" max="29" width="5.77734375" customWidth="1"/>
    <col min="30" max="30" width="4.21875" customWidth="1"/>
    <col min="31" max="31" width="5.77734375" customWidth="1"/>
  </cols>
  <sheetData>
    <row r="1" spans="1:31">
      <c r="A1" s="144" t="s">
        <v>663</v>
      </c>
      <c r="B1" s="144"/>
      <c r="C1" s="144"/>
      <c r="D1" s="144"/>
      <c r="E1" s="144"/>
      <c r="F1" s="144"/>
      <c r="G1" s="144"/>
      <c r="H1" s="144"/>
      <c r="I1" s="144"/>
      <c r="J1" s="144"/>
      <c r="K1" s="144"/>
      <c r="L1" s="144"/>
      <c r="M1" s="144"/>
      <c r="N1" s="144"/>
      <c r="O1" s="144"/>
      <c r="P1" s="144"/>
      <c r="Q1" s="144"/>
      <c r="R1" s="144"/>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44"/>
      <c r="N2" s="144"/>
      <c r="O2" s="144"/>
      <c r="P2" s="144"/>
      <c r="Q2" s="144"/>
      <c r="R2" s="144"/>
      <c r="S2" s="113"/>
      <c r="T2" s="113"/>
      <c r="U2" s="113"/>
      <c r="V2" s="113"/>
      <c r="W2" s="113"/>
      <c r="X2" s="113"/>
      <c r="Y2" s="113"/>
      <c r="Z2" s="113"/>
      <c r="AA2" s="113"/>
      <c r="AB2" s="113"/>
      <c r="AC2" s="113"/>
      <c r="AD2" s="113"/>
      <c r="AE2" s="113"/>
    </row>
    <row r="3" spans="1:31">
      <c r="A3" s="144" t="str">
        <f>+'18'!A3</f>
        <v>AÑOS   2011  - 2020</v>
      </c>
      <c r="B3" s="144"/>
      <c r="C3" s="144"/>
      <c r="D3" s="144"/>
      <c r="E3" s="144"/>
      <c r="F3" s="144"/>
      <c r="G3" s="144"/>
      <c r="H3" s="144"/>
      <c r="I3" s="144"/>
      <c r="J3" s="144"/>
      <c r="K3" s="144"/>
      <c r="L3" s="144"/>
      <c r="M3" s="144"/>
      <c r="N3" s="144"/>
      <c r="O3" s="144"/>
      <c r="P3" s="144"/>
      <c r="Q3" s="144"/>
      <c r="R3" s="144"/>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9"/>
      <c r="I6" s="84"/>
      <c r="J6" s="118" t="s">
        <v>639</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64"/>
      <c r="F7" s="212" t="s">
        <v>647</v>
      </c>
      <c r="G7" s="212"/>
      <c r="H7" s="182" t="s">
        <v>648</v>
      </c>
      <c r="I7" s="242"/>
      <c r="J7" s="243"/>
      <c r="K7" s="244"/>
      <c r="L7" s="243"/>
      <c r="M7" s="244"/>
      <c r="N7" s="243"/>
      <c r="O7" s="244"/>
      <c r="P7" s="243"/>
      <c r="Q7" s="244"/>
      <c r="R7" s="182" t="s">
        <v>648</v>
      </c>
      <c r="S7" s="242"/>
      <c r="T7" s="243"/>
      <c r="U7" s="244"/>
      <c r="V7" s="243"/>
      <c r="W7" s="244"/>
      <c r="X7" s="243"/>
      <c r="Y7" s="244"/>
      <c r="Z7" s="216"/>
      <c r="AA7" s="244"/>
      <c r="AB7" s="243"/>
      <c r="AC7" s="244"/>
      <c r="AD7" s="243"/>
      <c r="AE7" s="244"/>
    </row>
    <row r="8" spans="1:31" ht="19.5" customHeight="1">
      <c r="A8" s="245" t="s">
        <v>640</v>
      </c>
      <c r="B8" s="199" t="s">
        <v>645</v>
      </c>
      <c r="C8" s="199"/>
      <c r="D8" s="199" t="s">
        <v>646</v>
      </c>
      <c r="E8" s="246"/>
      <c r="F8" s="199" t="s">
        <v>649</v>
      </c>
      <c r="G8" s="246"/>
      <c r="H8" s="199" t="s">
        <v>630</v>
      </c>
      <c r="I8" s="246"/>
      <c r="J8" s="199" t="s">
        <v>630</v>
      </c>
      <c r="K8" s="246"/>
      <c r="L8" s="247" t="s">
        <v>426</v>
      </c>
      <c r="M8" s="248"/>
      <c r="N8" s="199" t="s">
        <v>651</v>
      </c>
      <c r="O8" s="246"/>
      <c r="P8" s="199" t="s">
        <v>429</v>
      </c>
      <c r="Q8" s="246"/>
      <c r="R8" s="199" t="s">
        <v>652</v>
      </c>
      <c r="S8" s="246"/>
      <c r="T8" s="199" t="s">
        <v>652</v>
      </c>
      <c r="U8" s="246"/>
      <c r="V8" s="199" t="s">
        <v>393</v>
      </c>
      <c r="W8" s="246"/>
      <c r="X8" s="199" t="s">
        <v>411</v>
      </c>
      <c r="Y8" s="246"/>
      <c r="Z8" s="199" t="s">
        <v>416</v>
      </c>
      <c r="AA8" s="246"/>
      <c r="AB8" s="199" t="s">
        <v>653</v>
      </c>
      <c r="AC8" s="246"/>
      <c r="AD8" s="199" t="s">
        <v>418</v>
      </c>
      <c r="AE8" s="246"/>
    </row>
    <row r="9" spans="1:31" ht="19.5" customHeight="1">
      <c r="A9" s="249"/>
      <c r="B9" s="250" t="s">
        <v>661</v>
      </c>
      <c r="C9" s="252" t="s">
        <v>662</v>
      </c>
      <c r="D9" s="250" t="s">
        <v>661</v>
      </c>
      <c r="E9" s="252" t="s">
        <v>662</v>
      </c>
      <c r="F9" s="250" t="s">
        <v>661</v>
      </c>
      <c r="G9" s="252" t="s">
        <v>662</v>
      </c>
      <c r="H9" s="250" t="s">
        <v>661</v>
      </c>
      <c r="I9" s="251" t="s">
        <v>662</v>
      </c>
      <c r="J9" s="250" t="s">
        <v>661</v>
      </c>
      <c r="K9" s="251" t="s">
        <v>662</v>
      </c>
      <c r="L9" s="250" t="s">
        <v>661</v>
      </c>
      <c r="M9" s="252" t="s">
        <v>662</v>
      </c>
      <c r="N9" s="250" t="s">
        <v>661</v>
      </c>
      <c r="O9" s="252" t="s">
        <v>662</v>
      </c>
      <c r="P9" s="250" t="s">
        <v>661</v>
      </c>
      <c r="Q9" s="252" t="s">
        <v>662</v>
      </c>
      <c r="R9" s="250" t="s">
        <v>661</v>
      </c>
      <c r="S9" s="251" t="s">
        <v>662</v>
      </c>
      <c r="T9" s="250" t="s">
        <v>661</v>
      </c>
      <c r="U9" s="252" t="s">
        <v>662</v>
      </c>
      <c r="V9" s="250" t="s">
        <v>661</v>
      </c>
      <c r="W9" s="252" t="s">
        <v>662</v>
      </c>
      <c r="X9" s="250" t="s">
        <v>661</v>
      </c>
      <c r="Y9" s="252" t="s">
        <v>662</v>
      </c>
      <c r="Z9" s="250" t="s">
        <v>661</v>
      </c>
      <c r="AA9" s="252" t="s">
        <v>662</v>
      </c>
      <c r="AB9" s="250" t="s">
        <v>661</v>
      </c>
      <c r="AC9" s="252" t="s">
        <v>662</v>
      </c>
      <c r="AD9" s="250" t="s">
        <v>661</v>
      </c>
      <c r="AE9" s="252" t="s">
        <v>662</v>
      </c>
    </row>
    <row r="10" spans="1:31">
      <c r="A10" s="181"/>
      <c r="B10" s="182"/>
      <c r="C10" s="242"/>
      <c r="D10" s="182"/>
      <c r="E10" s="242"/>
      <c r="F10" s="182"/>
      <c r="G10" s="242"/>
      <c r="H10" s="253"/>
      <c r="I10" s="253"/>
      <c r="J10" s="182"/>
      <c r="K10" s="242"/>
      <c r="L10" s="182"/>
      <c r="M10" s="242"/>
      <c r="N10" s="182"/>
      <c r="O10" s="242"/>
      <c r="P10" s="182"/>
      <c r="Q10" s="242"/>
      <c r="R10" s="265"/>
      <c r="S10" s="265"/>
      <c r="T10" s="182"/>
      <c r="U10" s="242"/>
      <c r="V10" s="182"/>
      <c r="W10" s="242"/>
      <c r="X10" s="182"/>
      <c r="Y10" s="242"/>
      <c r="Z10" s="182"/>
      <c r="AA10" s="242"/>
      <c r="AB10" s="182"/>
      <c r="AC10" s="242"/>
      <c r="AD10" s="253"/>
      <c r="AE10" s="242"/>
    </row>
    <row r="11" spans="1:31" ht="24.75" customHeight="1">
      <c r="A11" s="254">
        <f>+'18'!A11</f>
        <v>2011</v>
      </c>
      <c r="B11" s="202">
        <v>2098</v>
      </c>
      <c r="C11" s="255">
        <f>+B11/'18'!B11*1000</f>
        <v>8.42979921970114</v>
      </c>
      <c r="D11" s="202">
        <v>181</v>
      </c>
      <c r="E11" s="255">
        <f>+D11/'18'!D11*1000</f>
        <v>7.6390647421288094</v>
      </c>
      <c r="F11" s="202">
        <f t="shared" ref="F11:F13" si="0">+H11+R11</f>
        <v>28</v>
      </c>
      <c r="G11" s="255">
        <f>+F11/'18'!F11*1000</f>
        <v>7.5716603569497023</v>
      </c>
      <c r="H11" s="203">
        <f t="shared" ref="H11:H12" si="1">+J11+L11+N11+P11</f>
        <v>11</v>
      </c>
      <c r="I11" s="266">
        <f>+H11/'18'!H11*1000</f>
        <v>7.2799470549305099</v>
      </c>
      <c r="J11" s="202">
        <v>8</v>
      </c>
      <c r="K11" s="266">
        <f>+J11/'18'!J11*1000</f>
        <v>8.2559339525283786</v>
      </c>
      <c r="L11" s="202">
        <v>1</v>
      </c>
      <c r="M11" s="266">
        <f>+L11/'18'!L11*1000</f>
        <v>4.3103448275862064</v>
      </c>
      <c r="N11" s="256">
        <v>1</v>
      </c>
      <c r="O11" s="266">
        <f>+N11/'18'!N11*1000</f>
        <v>5.9880239520958085</v>
      </c>
      <c r="P11" s="202">
        <v>1</v>
      </c>
      <c r="Q11" s="255">
        <f>+P11/'18'!P11*1000</f>
        <v>6.9930069930069934</v>
      </c>
      <c r="R11" s="203">
        <f t="shared" ref="R11:R12" si="2">+T11+V11+X11+Z11+AB11+AD11</f>
        <v>17</v>
      </c>
      <c r="S11" s="255">
        <f>+R11/'18'!R11*1000</f>
        <v>7.7732053040695011</v>
      </c>
      <c r="T11" s="202">
        <v>10</v>
      </c>
      <c r="U11" s="255">
        <f>+T11/'18'!T11*1000</f>
        <v>8.9285714285714288</v>
      </c>
      <c r="V11" s="256">
        <v>2</v>
      </c>
      <c r="W11" s="255">
        <f>+V11/'18'!V11*1000</f>
        <v>9.3896713615023479</v>
      </c>
      <c r="X11" s="202">
        <v>2</v>
      </c>
      <c r="Y11" s="255">
        <f>+X11/'18'!X11*1000</f>
        <v>7.9365079365079358</v>
      </c>
      <c r="Z11" s="256">
        <v>1</v>
      </c>
      <c r="AA11" s="255">
        <f>+Z11/'18'!Z11*1000</f>
        <v>10</v>
      </c>
      <c r="AB11" s="202">
        <v>0</v>
      </c>
      <c r="AC11" s="255">
        <f>+AB11/'18'!AB11*1000</f>
        <v>0</v>
      </c>
      <c r="AD11" s="202">
        <v>2</v>
      </c>
      <c r="AE11" s="255">
        <f>+AD11/'18'!AD11*1000</f>
        <v>11.235955056179774</v>
      </c>
    </row>
    <row r="12" spans="1:31" ht="24.75" customHeight="1">
      <c r="A12" s="254">
        <f>+'18'!A12</f>
        <v>2012</v>
      </c>
      <c r="B12" s="202">
        <v>2064</v>
      </c>
      <c r="C12" s="255">
        <f>+B12/'18'!B12*1000</f>
        <v>8.4639421302561324</v>
      </c>
      <c r="D12" s="202">
        <v>175</v>
      </c>
      <c r="E12" s="255">
        <f>+D12/'18'!D12*1000</f>
        <v>7.4092891316313141</v>
      </c>
      <c r="F12" s="202">
        <f t="shared" si="0"/>
        <v>35</v>
      </c>
      <c r="G12" s="255">
        <f>+F12/'18'!F12*1000</f>
        <v>9.1863517060367457</v>
      </c>
      <c r="H12" s="203">
        <f t="shared" si="1"/>
        <v>8</v>
      </c>
      <c r="I12" s="266">
        <f>+H12/'18'!H12*1000</f>
        <v>5.1880674448767836</v>
      </c>
      <c r="J12" s="202">
        <v>4</v>
      </c>
      <c r="K12" s="266">
        <f>+J12/'18'!J12*1000</f>
        <v>4.1797283176593529</v>
      </c>
      <c r="L12" s="202">
        <v>0</v>
      </c>
      <c r="M12" s="266">
        <f>+L12/'18'!L12*1000</f>
        <v>0</v>
      </c>
      <c r="N12" s="256">
        <v>1</v>
      </c>
      <c r="O12" s="266">
        <f>+N12/'18'!N12*1000</f>
        <v>5.208333333333333</v>
      </c>
      <c r="P12" s="202">
        <v>3</v>
      </c>
      <c r="Q12" s="255">
        <f>+P12/'18'!P12*1000</f>
        <v>20.547945205479451</v>
      </c>
      <c r="R12" s="203">
        <f t="shared" si="2"/>
        <v>27</v>
      </c>
      <c r="S12" s="255">
        <f>+R12/'18'!R12*1000</f>
        <v>11.904761904761903</v>
      </c>
      <c r="T12" s="202">
        <v>15</v>
      </c>
      <c r="U12" s="255">
        <f>+T12/'18'!T12*1000</f>
        <v>12.448132780082986</v>
      </c>
      <c r="V12" s="256">
        <v>2</v>
      </c>
      <c r="W12" s="255">
        <f>+V12/'18'!V12*1000</f>
        <v>9.9009900990099009</v>
      </c>
      <c r="X12" s="202">
        <v>1</v>
      </c>
      <c r="Y12" s="255">
        <f>+X12/'18'!X12*1000</f>
        <v>5.0505050505050511</v>
      </c>
      <c r="Z12" s="256">
        <v>1</v>
      </c>
      <c r="AA12" s="255">
        <f>+Z12/'18'!Z12*1000</f>
        <v>10.101010101010102</v>
      </c>
      <c r="AB12" s="202">
        <v>6</v>
      </c>
      <c r="AC12" s="255">
        <f>+AB12/'18'!AB12*1000</f>
        <v>15.665796344647518</v>
      </c>
      <c r="AD12" s="202">
        <v>2</v>
      </c>
      <c r="AE12" s="255">
        <f>+AD12/'18'!AD12*1000</f>
        <v>11.049723756906078</v>
      </c>
    </row>
    <row r="13" spans="1:31" ht="24.75" customHeight="1">
      <c r="A13" s="254">
        <f>+'18'!A13</f>
        <v>2013</v>
      </c>
      <c r="B13" s="202">
        <v>2090</v>
      </c>
      <c r="C13" s="255">
        <f>+B13/'18'!B13*1000</f>
        <v>8.6361852027850663</v>
      </c>
      <c r="D13" s="202">
        <v>161</v>
      </c>
      <c r="E13" s="255">
        <f>+D13/'18'!D13*1000</f>
        <v>6.9615600812902665</v>
      </c>
      <c r="F13" s="202">
        <f t="shared" si="0"/>
        <v>30</v>
      </c>
      <c r="G13" s="255">
        <f>+F13/'18'!F13*1000</f>
        <v>8.0710250201775615</v>
      </c>
      <c r="H13" s="203">
        <f>+J13+L13+N13+P13</f>
        <v>14</v>
      </c>
      <c r="I13" s="266">
        <f>+H13/'18'!H13*1000</f>
        <v>9.1383812010443872</v>
      </c>
      <c r="J13" s="202">
        <v>12</v>
      </c>
      <c r="K13" s="266">
        <f>+J13/'18'!J13*1000</f>
        <v>12.618296529968454</v>
      </c>
      <c r="L13" s="202">
        <v>2</v>
      </c>
      <c r="M13" s="266">
        <f>+L13/'18'!L13*1000</f>
        <v>7.4074074074074074</v>
      </c>
      <c r="N13" s="256">
        <v>0</v>
      </c>
      <c r="O13" s="266">
        <f>+N13/'18'!N13*1000</f>
        <v>0</v>
      </c>
      <c r="P13" s="202">
        <v>0</v>
      </c>
      <c r="Q13" s="255">
        <f>+P13/'18'!P13*1000</f>
        <v>0</v>
      </c>
      <c r="R13" s="203">
        <f>+T13+V13+X13+Z13+AB13+AD13</f>
        <v>16</v>
      </c>
      <c r="S13" s="255">
        <f>+R13/'18'!R13*1000</f>
        <v>7.3226544622425633</v>
      </c>
      <c r="T13" s="202">
        <v>5</v>
      </c>
      <c r="U13" s="255">
        <f>+T13/'18'!T13*1000</f>
        <v>4.512635379061372</v>
      </c>
      <c r="V13" s="256">
        <v>2</v>
      </c>
      <c r="W13" s="255">
        <f>+V13/'18'!V13*1000</f>
        <v>9.6153846153846168</v>
      </c>
      <c r="X13" s="202">
        <v>2</v>
      </c>
      <c r="Y13" s="255">
        <f>+X13/'18'!X13*1000</f>
        <v>9.4339622641509422</v>
      </c>
      <c r="Z13" s="256">
        <v>1</v>
      </c>
      <c r="AA13" s="255">
        <f>+Z13/'18'!Z13*1000</f>
        <v>11.363636363636363</v>
      </c>
      <c r="AB13" s="202">
        <v>3</v>
      </c>
      <c r="AC13" s="255">
        <f>+AB13/'18'!AB13*1000</f>
        <v>8</v>
      </c>
      <c r="AD13" s="202">
        <v>3</v>
      </c>
      <c r="AE13" s="255">
        <f>+AD13/'18'!AD13*1000</f>
        <v>15.463917525773196</v>
      </c>
    </row>
    <row r="14" spans="1:31" ht="24.75" customHeight="1">
      <c r="A14" s="254">
        <f>+'18'!A14</f>
        <v>2014</v>
      </c>
      <c r="B14" s="202">
        <v>2064</v>
      </c>
      <c r="C14" s="255">
        <f>+B14/'18'!B14*1000</f>
        <v>8.4639421302561324</v>
      </c>
      <c r="D14" s="202"/>
      <c r="E14" s="255">
        <f>+D14/'18'!D14*1000</f>
        <v>0</v>
      </c>
      <c r="F14" s="202">
        <f>+H14+R14</f>
        <v>0</v>
      </c>
      <c r="G14" s="255">
        <f>+F14/'18'!F14*1000</f>
        <v>0</v>
      </c>
      <c r="H14" s="203">
        <f t="shared" ref="H14:H19" si="3">+J14+L14+N14+P14</f>
        <v>0</v>
      </c>
      <c r="I14" s="255">
        <f>+H14/'18'!H14*1000</f>
        <v>0</v>
      </c>
      <c r="J14" s="202">
        <v>0</v>
      </c>
      <c r="K14" s="266">
        <f>+J14/'18'!J14*1000</f>
        <v>0</v>
      </c>
      <c r="L14" s="202"/>
      <c r="M14" s="266">
        <f>+L14/'18'!L14*1000</f>
        <v>0</v>
      </c>
      <c r="N14" s="256">
        <v>0</v>
      </c>
      <c r="O14" s="266">
        <f>+N14/'18'!N14*1000</f>
        <v>0</v>
      </c>
      <c r="P14" s="202"/>
      <c r="Q14" s="255">
        <f>+P14/'18'!P14*1000</f>
        <v>0</v>
      </c>
      <c r="R14" s="203">
        <f>+T14+V14+X14+Z14+AB14+AD14</f>
        <v>0</v>
      </c>
      <c r="S14" s="255">
        <f>+R14/'18'!R14*1000</f>
        <v>0</v>
      </c>
      <c r="T14" s="202"/>
      <c r="U14" s="255">
        <f>+T14/'18'!T14*1000</f>
        <v>0</v>
      </c>
      <c r="V14" s="256"/>
      <c r="W14" s="255">
        <f>+V14/'18'!V14*1000</f>
        <v>0</v>
      </c>
      <c r="X14" s="202"/>
      <c r="Y14" s="255">
        <f>+X14/'18'!X14*1000</f>
        <v>0</v>
      </c>
      <c r="Z14" s="256"/>
      <c r="AA14" s="255">
        <f>+Z14/'18'!Z14*1000</f>
        <v>0</v>
      </c>
      <c r="AB14" s="202"/>
      <c r="AC14" s="255">
        <f>+AB14/'18'!AB14*1000</f>
        <v>0</v>
      </c>
      <c r="AD14" s="202"/>
      <c r="AE14" s="255">
        <f>+AD14/'18'!AD14*1000</f>
        <v>0</v>
      </c>
    </row>
    <row r="15" spans="1:31" ht="24.75" customHeight="1">
      <c r="A15" s="254">
        <f>+'18'!A15</f>
        <v>2015</v>
      </c>
      <c r="B15" s="202">
        <v>2028</v>
      </c>
      <c r="C15" s="255">
        <f>+B15/'18'!B15*1000</f>
        <v>8.2887154125965576</v>
      </c>
      <c r="D15" s="202">
        <v>162</v>
      </c>
      <c r="E15" s="255">
        <f>+D15/'18'!D15*1000</f>
        <v>6.864988558352402</v>
      </c>
      <c r="F15" s="202">
        <f>+H15+R15</f>
        <v>28</v>
      </c>
      <c r="G15" s="255">
        <f>+F15/'18'!F15*1000</f>
        <v>7.2557657424203166</v>
      </c>
      <c r="H15" s="203">
        <f t="shared" si="3"/>
        <v>10</v>
      </c>
      <c r="I15" s="255">
        <f>+H15/'18'!H15*1000</f>
        <v>6.337135614702154</v>
      </c>
      <c r="J15" s="202">
        <v>7</v>
      </c>
      <c r="K15" s="266">
        <f>+J15/'18'!J15*1000</f>
        <v>7.2239422084623319</v>
      </c>
      <c r="L15" s="202">
        <v>0</v>
      </c>
      <c r="M15" s="266">
        <f>+L15/'18'!L15*1000</f>
        <v>0</v>
      </c>
      <c r="N15" s="256">
        <v>1</v>
      </c>
      <c r="O15" s="266">
        <f>+N15/'18'!N15*1000</f>
        <v>4.5248868778280551</v>
      </c>
      <c r="P15" s="202">
        <v>2</v>
      </c>
      <c r="Q15" s="255">
        <f>+P15/'18'!P15*1000</f>
        <v>13.605442176870747</v>
      </c>
      <c r="R15" s="203">
        <f>+T15+V15+X15+Z15+AB15+AD15</f>
        <v>18</v>
      </c>
      <c r="S15" s="255">
        <f>+R15/'18'!R15*1000</f>
        <v>7.8912757562472606</v>
      </c>
      <c r="T15" s="202">
        <v>7</v>
      </c>
      <c r="U15" s="255">
        <f>+T15/'18'!T15*1000</f>
        <v>5.8873002523128681</v>
      </c>
      <c r="V15" s="256">
        <v>3</v>
      </c>
      <c r="W15" s="255">
        <f>+V15/'18'!V15*1000</f>
        <v>13.45291479820628</v>
      </c>
      <c r="X15" s="202">
        <v>2</v>
      </c>
      <c r="Y15" s="255">
        <f>+X15/'18'!X15*1000</f>
        <v>9.0090090090090094</v>
      </c>
      <c r="Z15" s="256">
        <v>0</v>
      </c>
      <c r="AA15" s="255">
        <f>+Z15/'18'!Z15*1000</f>
        <v>0</v>
      </c>
      <c r="AB15" s="202">
        <v>6</v>
      </c>
      <c r="AC15" s="255">
        <f>+AB15/'18'!AB15*1000</f>
        <v>16.997167138810202</v>
      </c>
      <c r="AD15" s="202">
        <v>0</v>
      </c>
      <c r="AE15" s="255">
        <f>+AD15/'18'!AD15*1000</f>
        <v>0</v>
      </c>
    </row>
    <row r="16" spans="1:31" ht="24.75" customHeight="1">
      <c r="A16" s="254">
        <f>+'18'!A16</f>
        <v>2016</v>
      </c>
      <c r="B16" s="202"/>
      <c r="C16" s="255"/>
      <c r="D16" s="202"/>
      <c r="E16" s="255"/>
      <c r="F16" s="202">
        <f t="shared" ref="F16:F19" si="4">+H16+R16</f>
        <v>0</v>
      </c>
      <c r="G16" s="255"/>
      <c r="H16" s="203">
        <f t="shared" si="3"/>
        <v>0</v>
      </c>
      <c r="I16" s="255"/>
      <c r="J16" s="202"/>
      <c r="K16" s="266">
        <f>+J16/'18'!J16*1000</f>
        <v>0</v>
      </c>
      <c r="L16" s="202"/>
      <c r="M16" s="266"/>
      <c r="N16" s="256"/>
      <c r="O16" s="266"/>
      <c r="P16" s="202"/>
      <c r="Q16" s="255"/>
      <c r="R16" s="203">
        <f t="shared" ref="R16:R19" si="5">+T16+V16+X16+Z16+AB16+AD16</f>
        <v>0</v>
      </c>
      <c r="S16" s="255"/>
      <c r="T16" s="202"/>
      <c r="U16" s="255"/>
      <c r="V16" s="256"/>
      <c r="W16" s="255"/>
      <c r="X16" s="202"/>
      <c r="Y16" s="255"/>
      <c r="Z16" s="256"/>
      <c r="AA16" s="255"/>
      <c r="AB16" s="202"/>
      <c r="AC16" s="255"/>
      <c r="AD16" s="202"/>
      <c r="AE16" s="255"/>
    </row>
    <row r="17" spans="1:31" ht="24.75" customHeight="1">
      <c r="A17" s="254">
        <f>+'18'!A17</f>
        <v>2017</v>
      </c>
      <c r="B17" s="258"/>
      <c r="C17" s="255"/>
      <c r="D17" s="202"/>
      <c r="E17" s="255"/>
      <c r="F17" s="202">
        <f t="shared" si="4"/>
        <v>0</v>
      </c>
      <c r="G17" s="255"/>
      <c r="H17" s="203">
        <f t="shared" si="3"/>
        <v>0</v>
      </c>
      <c r="I17" s="255"/>
      <c r="J17" s="202"/>
      <c r="K17" s="266">
        <f>+J17/'18'!J17*1000</f>
        <v>0</v>
      </c>
      <c r="L17" s="202"/>
      <c r="M17" s="266"/>
      <c r="N17" s="202"/>
      <c r="O17" s="266"/>
      <c r="P17" s="202"/>
      <c r="Q17" s="255"/>
      <c r="R17" s="203">
        <f t="shared" si="5"/>
        <v>0</v>
      </c>
      <c r="S17" s="255"/>
      <c r="T17" s="202"/>
      <c r="U17" s="255"/>
      <c r="V17" s="202"/>
      <c r="W17" s="266"/>
      <c r="X17" s="202"/>
      <c r="Y17" s="266"/>
      <c r="Z17" s="202"/>
      <c r="AA17" s="266"/>
      <c r="AB17" s="202"/>
      <c r="AC17" s="255"/>
      <c r="AD17" s="202"/>
      <c r="AE17" s="255"/>
    </row>
    <row r="18" spans="1:31" ht="24.75" customHeight="1">
      <c r="A18" s="254">
        <f>+'18'!A18</f>
        <v>2018</v>
      </c>
      <c r="B18" s="202">
        <v>172</v>
      </c>
      <c r="C18" s="255">
        <f>+B18/'18'!B18*1000</f>
        <v>0.78419572066218945</v>
      </c>
      <c r="D18" s="202">
        <v>18</v>
      </c>
      <c r="E18" s="255">
        <f>+D18/'18'!D18*1000</f>
        <v>0.88526041410514933</v>
      </c>
      <c r="F18" s="202">
        <f t="shared" si="4"/>
        <v>3</v>
      </c>
      <c r="G18" s="255">
        <f>+F18/'18'!F18*1000</f>
        <v>0.96401028277634959</v>
      </c>
      <c r="H18" s="203">
        <f t="shared" si="3"/>
        <v>1</v>
      </c>
      <c r="I18" s="255">
        <f>+H18/'18'!H18*1000</f>
        <v>0.8703220191470844</v>
      </c>
      <c r="J18" s="202"/>
      <c r="K18" s="266">
        <f>+J18/'18'!J18*1000</f>
        <v>0</v>
      </c>
      <c r="L18" s="202"/>
      <c r="M18" s="266"/>
      <c r="N18" s="202"/>
      <c r="O18" s="266"/>
      <c r="P18" s="202">
        <v>1</v>
      </c>
      <c r="Q18" s="255">
        <f>+P18/'18'!P18*1000</f>
        <v>8.1967213114754109</v>
      </c>
      <c r="R18" s="203">
        <f t="shared" si="5"/>
        <v>2</v>
      </c>
      <c r="S18" s="255">
        <f>+R18/'18'!R18*1000</f>
        <v>1.0188487009679064</v>
      </c>
      <c r="T18" s="202">
        <v>1</v>
      </c>
      <c r="U18" s="255">
        <f>+T18/'18'!T18*1000</f>
        <v>0.97465886939571145</v>
      </c>
      <c r="V18" s="202"/>
      <c r="W18" s="266"/>
      <c r="X18" s="202"/>
      <c r="Y18" s="266"/>
      <c r="Z18" s="202"/>
      <c r="AA18" s="266"/>
      <c r="AB18" s="202">
        <v>1</v>
      </c>
      <c r="AC18" s="255">
        <f>+AB18/'18'!AB18*1000</f>
        <v>3.3444816053511706</v>
      </c>
      <c r="AD18" s="202"/>
      <c r="AE18" s="255"/>
    </row>
    <row r="19" spans="1:31" ht="24.75" customHeight="1">
      <c r="A19" s="254">
        <f>+'18'!A19</f>
        <v>2019</v>
      </c>
      <c r="B19" s="202"/>
      <c r="C19" s="255"/>
      <c r="D19" s="202">
        <v>15</v>
      </c>
      <c r="E19" s="255">
        <f>+D19/'18'!D19*1000</f>
        <v>0.77184316146958931</v>
      </c>
      <c r="F19" s="202">
        <f t="shared" si="4"/>
        <v>2</v>
      </c>
      <c r="G19" s="255">
        <f>+F19/'18'!F19*1000</f>
        <v>0.6445375443119562</v>
      </c>
      <c r="H19" s="203">
        <f t="shared" si="3"/>
        <v>1</v>
      </c>
      <c r="I19" s="255">
        <f>+H19/'18'!H19*1000</f>
        <v>0.8347245409015025</v>
      </c>
      <c r="J19" s="202">
        <v>1</v>
      </c>
      <c r="K19" s="266">
        <f>+J19/'18'!J19*1000</f>
        <v>1.3736263736263736</v>
      </c>
      <c r="L19" s="202"/>
      <c r="M19" s="266"/>
      <c r="N19" s="202"/>
      <c r="O19" s="266"/>
      <c r="P19" s="202"/>
      <c r="Q19" s="255">
        <f>+P19/'18'!P19*1000</f>
        <v>0</v>
      </c>
      <c r="R19" s="203">
        <f t="shared" si="5"/>
        <v>1</v>
      </c>
      <c r="S19" s="255">
        <f>+R19/'18'!R19*1000</f>
        <v>0.52493438320209973</v>
      </c>
      <c r="T19" s="202">
        <v>1</v>
      </c>
      <c r="U19" s="255">
        <f>+T19/'18'!T19*1000</f>
        <v>0.96061479346781942</v>
      </c>
      <c r="V19" s="202"/>
      <c r="W19" s="266"/>
      <c r="X19" s="202"/>
      <c r="Y19" s="266"/>
      <c r="Z19" s="202"/>
      <c r="AA19" s="266"/>
      <c r="AB19" s="202"/>
      <c r="AC19" s="255">
        <f>+AB19/'18'!AB19*1000</f>
        <v>0</v>
      </c>
      <c r="AD19" s="202"/>
      <c r="AE19" s="255"/>
    </row>
    <row r="20" spans="1:31" ht="24.75" customHeight="1">
      <c r="A20" s="254">
        <f>+'18'!A20</f>
        <v>2020</v>
      </c>
      <c r="B20" s="202"/>
      <c r="C20" s="255"/>
      <c r="D20" s="202"/>
      <c r="E20" s="255"/>
      <c r="F20" s="202">
        <f t="shared" ref="F20" si="6">+H20+R20</f>
        <v>0</v>
      </c>
      <c r="G20" s="255">
        <f>+F20/'18'!F20*1000</f>
        <v>0</v>
      </c>
      <c r="H20" s="203">
        <f t="shared" ref="H20" si="7">+J20+L20+N20+P20</f>
        <v>0</v>
      </c>
      <c r="I20" s="255">
        <f>+H20/'18'!H20*1000</f>
        <v>0</v>
      </c>
      <c r="J20" s="202"/>
      <c r="K20" s="266">
        <f>+J20/'18'!J20*1000</f>
        <v>0</v>
      </c>
      <c r="L20" s="202"/>
      <c r="M20" s="266"/>
      <c r="N20" s="202"/>
      <c r="O20" s="266"/>
      <c r="P20" s="202"/>
      <c r="Q20" s="255">
        <f>+P20/'18'!P20*1000</f>
        <v>0</v>
      </c>
      <c r="R20" s="203">
        <f t="shared" ref="R20" si="8">+T20+V20+X20+Z20+AB20+AD20</f>
        <v>0</v>
      </c>
      <c r="S20" s="255">
        <f>+R20/'18'!R20*1000</f>
        <v>0</v>
      </c>
      <c r="T20" s="202"/>
      <c r="U20" s="255">
        <f>+T20/'18'!T20*1000</f>
        <v>0</v>
      </c>
      <c r="V20" s="202"/>
      <c r="W20" s="266"/>
      <c r="X20" s="202"/>
      <c r="Y20" s="266"/>
      <c r="Z20" s="202"/>
      <c r="AA20" s="266"/>
      <c r="AB20" s="202"/>
      <c r="AC20" s="255">
        <f>+AB20/'18'!AB20*1000</f>
        <v>0</v>
      </c>
      <c r="AD20" s="202"/>
      <c r="AE20" s="255"/>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2020  :   DATOS POR RESIDENCIA</v>
      </c>
      <c r="C23" s="263"/>
      <c r="D23" s="263"/>
      <c r="E23" s="263"/>
      <c r="F23" s="263"/>
      <c r="G23" s="263"/>
      <c r="H23" s="263"/>
      <c r="I23" s="263"/>
      <c r="J23" s="263"/>
      <c r="K23" s="212"/>
      <c r="L23" s="1"/>
      <c r="M23" s="1"/>
      <c r="N23" s="1"/>
      <c r="O23" s="1"/>
      <c r="P23" s="1"/>
      <c r="Q23" s="1"/>
      <c r="R23" s="1"/>
      <c r="S23" s="1"/>
      <c r="T23" s="1"/>
      <c r="U23" s="1"/>
      <c r="V23" s="1"/>
      <c r="W23" s="1"/>
      <c r="X23" s="1"/>
      <c r="Y23" s="1"/>
      <c r="Z23" s="1"/>
      <c r="AA23" s="1"/>
      <c r="AB23" s="1"/>
      <c r="AC23" s="1"/>
      <c r="AD23" s="1"/>
      <c r="AE23" s="1"/>
    </row>
    <row r="24" spans="1:31">
      <c r="A24" s="1"/>
      <c r="B24" s="212"/>
      <c r="C24" s="216" t="s">
        <v>664</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0" zoomScaleNormal="100" workbookViewId="0">
      <selection activeCell="AE20" sqref="AE20"/>
    </sheetView>
  </sheetViews>
  <sheetFormatPr baseColWidth="10" defaultRowHeight="13.2"/>
  <cols>
    <col min="1" max="2" width="6.21875" customWidth="1"/>
    <col min="3" max="3" width="6.77734375" customWidth="1"/>
    <col min="4" max="4" width="4.77734375" customWidth="1"/>
    <col min="5" max="5" width="5.77734375" customWidth="1"/>
    <col min="6" max="6" width="6.44140625" customWidth="1"/>
    <col min="7" max="9" width="5.77734375" customWidth="1"/>
    <col min="10" max="10" width="3.77734375" customWidth="1"/>
    <col min="11" max="11" width="5.77734375" customWidth="1"/>
    <col min="12" max="12" width="4.21875" customWidth="1"/>
    <col min="13" max="13" width="5.77734375" customWidth="1"/>
    <col min="14" max="14" width="4.21875" customWidth="1"/>
    <col min="15" max="15" width="5.77734375" customWidth="1"/>
    <col min="16" max="16" width="4" customWidth="1"/>
    <col min="17" max="19" width="5.77734375" customWidth="1"/>
    <col min="20" max="20" width="4" customWidth="1"/>
    <col min="21" max="21" width="5.77734375" customWidth="1"/>
    <col min="22" max="22" width="4.21875" customWidth="1"/>
    <col min="23" max="23" width="5.77734375" customWidth="1"/>
    <col min="24" max="24" width="4.21875" customWidth="1"/>
    <col min="25" max="25" width="5.77734375" customWidth="1"/>
    <col min="26" max="26" width="4.21875" customWidth="1"/>
    <col min="27" max="27" width="5.77734375" customWidth="1"/>
    <col min="28" max="28" width="4" customWidth="1"/>
    <col min="29" max="29" width="5.77734375" customWidth="1"/>
    <col min="30" max="30" width="4.21875" customWidth="1"/>
    <col min="31" max="31" width="5.77734375" customWidth="1"/>
  </cols>
  <sheetData>
    <row r="1" spans="1:31">
      <c r="A1" s="144" t="s">
        <v>665</v>
      </c>
      <c r="B1" s="144"/>
      <c r="C1" s="144"/>
      <c r="D1" s="144"/>
      <c r="E1" s="144"/>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+'19'!A3</f>
        <v>AÑOS   2011  - 2020</v>
      </c>
      <c r="B3" s="144"/>
      <c r="C3" s="144"/>
      <c r="D3" s="144"/>
      <c r="E3" s="144"/>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190"/>
      <c r="B6" s="189"/>
      <c r="C6" s="184"/>
      <c r="D6" s="189"/>
      <c r="E6" s="184"/>
      <c r="F6" s="189"/>
      <c r="G6" s="184"/>
      <c r="H6" s="239"/>
      <c r="I6" s="84"/>
      <c r="J6" s="118" t="s">
        <v>639</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64"/>
      <c r="F7" s="212" t="s">
        <v>647</v>
      </c>
      <c r="G7" s="212"/>
      <c r="H7" s="182" t="s">
        <v>648</v>
      </c>
      <c r="I7" s="242"/>
      <c r="J7" s="243"/>
      <c r="K7" s="244"/>
      <c r="L7" s="243"/>
      <c r="M7" s="244"/>
      <c r="N7" s="243"/>
      <c r="O7" s="244"/>
      <c r="P7" s="243"/>
      <c r="Q7" s="244"/>
      <c r="R7" s="182" t="s">
        <v>648</v>
      </c>
      <c r="S7" s="242"/>
      <c r="T7" s="243"/>
      <c r="U7" s="244"/>
      <c r="V7" s="243"/>
      <c r="W7" s="244"/>
      <c r="X7" s="243"/>
      <c r="Y7" s="244"/>
      <c r="Z7" s="216"/>
      <c r="AA7" s="244"/>
      <c r="AB7" s="243"/>
      <c r="AC7" s="244"/>
      <c r="AD7" s="243"/>
      <c r="AE7" s="244"/>
    </row>
    <row r="8" spans="1:31" ht="18" customHeight="1">
      <c r="A8" s="245" t="s">
        <v>640</v>
      </c>
      <c r="B8" s="199" t="s">
        <v>645</v>
      </c>
      <c r="C8" s="199"/>
      <c r="D8" s="199" t="s">
        <v>646</v>
      </c>
      <c r="E8" s="246"/>
      <c r="F8" s="199" t="s">
        <v>649</v>
      </c>
      <c r="G8" s="246"/>
      <c r="H8" s="199" t="s">
        <v>630</v>
      </c>
      <c r="I8" s="246"/>
      <c r="J8" s="199" t="s">
        <v>630</v>
      </c>
      <c r="K8" s="246"/>
      <c r="L8" s="247" t="s">
        <v>426</v>
      </c>
      <c r="M8" s="248"/>
      <c r="N8" s="199" t="s">
        <v>651</v>
      </c>
      <c r="O8" s="246"/>
      <c r="P8" s="199" t="s">
        <v>429</v>
      </c>
      <c r="Q8" s="246"/>
      <c r="R8" s="199" t="s">
        <v>652</v>
      </c>
      <c r="S8" s="246"/>
      <c r="T8" s="199" t="s">
        <v>652</v>
      </c>
      <c r="U8" s="246"/>
      <c r="V8" s="199" t="s">
        <v>393</v>
      </c>
      <c r="W8" s="246"/>
      <c r="X8" s="199" t="s">
        <v>411</v>
      </c>
      <c r="Y8" s="246"/>
      <c r="Z8" s="199" t="s">
        <v>416</v>
      </c>
      <c r="AA8" s="246"/>
      <c r="AB8" s="199" t="s">
        <v>653</v>
      </c>
      <c r="AC8" s="246"/>
      <c r="AD8" s="199" t="s">
        <v>418</v>
      </c>
      <c r="AE8" s="246"/>
    </row>
    <row r="9" spans="1:31" ht="20.25" customHeight="1">
      <c r="A9" s="249"/>
      <c r="B9" s="250" t="s">
        <v>661</v>
      </c>
      <c r="C9" s="252" t="s">
        <v>662</v>
      </c>
      <c r="D9" s="250" t="s">
        <v>661</v>
      </c>
      <c r="E9" s="252" t="s">
        <v>662</v>
      </c>
      <c r="F9" s="250" t="s">
        <v>661</v>
      </c>
      <c r="G9" s="252" t="s">
        <v>662</v>
      </c>
      <c r="H9" s="250" t="s">
        <v>661</v>
      </c>
      <c r="I9" s="251" t="s">
        <v>662</v>
      </c>
      <c r="J9" s="250" t="s">
        <v>661</v>
      </c>
      <c r="K9" s="251" t="s">
        <v>662</v>
      </c>
      <c r="L9" s="250" t="s">
        <v>661</v>
      </c>
      <c r="M9" s="252" t="s">
        <v>662</v>
      </c>
      <c r="N9" s="250" t="s">
        <v>661</v>
      </c>
      <c r="O9" s="252" t="s">
        <v>662</v>
      </c>
      <c r="P9" s="250" t="s">
        <v>661</v>
      </c>
      <c r="Q9" s="252" t="s">
        <v>662</v>
      </c>
      <c r="R9" s="250" t="s">
        <v>661</v>
      </c>
      <c r="S9" s="251" t="s">
        <v>662</v>
      </c>
      <c r="T9" s="250" t="s">
        <v>661</v>
      </c>
      <c r="U9" s="252" t="s">
        <v>662</v>
      </c>
      <c r="V9" s="250" t="s">
        <v>661</v>
      </c>
      <c r="W9" s="252" t="s">
        <v>662</v>
      </c>
      <c r="X9" s="250" t="s">
        <v>661</v>
      </c>
      <c r="Y9" s="252" t="s">
        <v>662</v>
      </c>
      <c r="Z9" s="250" t="s">
        <v>661</v>
      </c>
      <c r="AA9" s="252" t="s">
        <v>662</v>
      </c>
      <c r="AB9" s="250" t="s">
        <v>661</v>
      </c>
      <c r="AC9" s="252" t="s">
        <v>662</v>
      </c>
      <c r="AD9" s="250" t="s">
        <v>661</v>
      </c>
      <c r="AE9" s="252" t="s">
        <v>662</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ht="24.75" customHeight="1">
      <c r="A11" s="254">
        <f>+'19'!A11</f>
        <v>2011</v>
      </c>
      <c r="B11" s="202">
        <f>+'21'!B11+'19'!B11</f>
        <v>3166</v>
      </c>
      <c r="C11" s="255">
        <f>+B11/'18'!B11*1000</f>
        <v>12.721041148509919</v>
      </c>
      <c r="D11" s="202">
        <f>+'21'!D11+'19'!D11</f>
        <v>268</v>
      </c>
      <c r="E11" s="255">
        <f>+D11/'18'!D11*1000</f>
        <v>11.310880391660337</v>
      </c>
      <c r="F11" s="202">
        <f t="shared" ref="F11:F19" si="0">+R11+H11</f>
        <v>47</v>
      </c>
      <c r="G11" s="255">
        <f>+F11/'18'!F11*1000</f>
        <v>12.709572742022715</v>
      </c>
      <c r="H11" s="268">
        <f t="shared" ref="H11:H19" si="1">+J11+L11+N11+P11</f>
        <v>19</v>
      </c>
      <c r="I11" s="255">
        <f>+H11/'18'!H11*1000</f>
        <v>12.57445400397088</v>
      </c>
      <c r="J11" s="270">
        <f>+'19'!J11+'21'!J11</f>
        <v>12</v>
      </c>
      <c r="K11" s="255">
        <f>+J11/'18'!J11*1000</f>
        <v>12.383900928792571</v>
      </c>
      <c r="L11" s="270">
        <f>+'19'!L11+'21'!L11</f>
        <v>4</v>
      </c>
      <c r="M11" s="255">
        <f>+L11/'18'!L11*1000</f>
        <v>17.241379310344826</v>
      </c>
      <c r="N11" s="270">
        <f>+'19'!N11+'21'!N11</f>
        <v>1</v>
      </c>
      <c r="O11" s="255">
        <f>+N11/'18'!N11*1000</f>
        <v>5.9880239520958085</v>
      </c>
      <c r="P11" s="270">
        <f>+'19'!P11+'21'!P11</f>
        <v>2</v>
      </c>
      <c r="Q11" s="255">
        <f>+P11/'18'!P11*1000</f>
        <v>13.986013986013987</v>
      </c>
      <c r="R11" s="202">
        <f t="shared" ref="R11:R19" si="2">+T11+V11+X11+Z11+AB11+AD11</f>
        <v>28</v>
      </c>
      <c r="S11" s="255">
        <f>+R11/'18'!R11*1000</f>
        <v>12.802926383173297</v>
      </c>
      <c r="T11" s="270">
        <f>+'19'!T11+'21'!T11</f>
        <v>16</v>
      </c>
      <c r="U11" s="255">
        <f>+T11/'18'!T11*1000</f>
        <v>14.285714285714285</v>
      </c>
      <c r="V11" s="270">
        <f>+'19'!V11+'21'!V11</f>
        <v>4</v>
      </c>
      <c r="W11" s="255">
        <f>+V11/'18'!V11*1000</f>
        <v>18.779342723004696</v>
      </c>
      <c r="X11" s="270">
        <f>+'19'!X11+'21'!X11</f>
        <v>3</v>
      </c>
      <c r="Y11" s="255">
        <f>+X11/'18'!X11*1000</f>
        <v>11.904761904761903</v>
      </c>
      <c r="Z11" s="270">
        <f>+'19'!Z11+'21'!Z11</f>
        <v>1</v>
      </c>
      <c r="AA11" s="255">
        <f>+Z11/'18'!Z11*1000</f>
        <v>10</v>
      </c>
      <c r="AB11" s="270">
        <f>+'19'!AB11+'21'!AB11</f>
        <v>2</v>
      </c>
      <c r="AC11" s="255">
        <f>+AB11/'18'!AB11*1000</f>
        <v>6.1728395061728394</v>
      </c>
      <c r="AD11" s="270">
        <f>+'19'!AD11+'21'!AD11</f>
        <v>2</v>
      </c>
      <c r="AE11" s="255">
        <f>+AD11/'18'!AD11*1000</f>
        <v>11.235955056179774</v>
      </c>
    </row>
    <row r="12" spans="1:31" ht="24.75" customHeight="1">
      <c r="A12" s="254">
        <f>+'19'!A12</f>
        <v>2012</v>
      </c>
      <c r="B12" s="202">
        <f>+'21'!B12+'19'!B12</f>
        <v>3098</v>
      </c>
      <c r="C12" s="255">
        <f>+B12/'18'!B12*1000</f>
        <v>12.704114689696462</v>
      </c>
      <c r="D12" s="202">
        <f>+'21'!D12+'19'!D12</f>
        <v>275</v>
      </c>
      <c r="E12" s="255">
        <f>+D12/'18'!D12*1000</f>
        <v>11.643168635420635</v>
      </c>
      <c r="F12" s="202">
        <f t="shared" si="0"/>
        <v>53</v>
      </c>
      <c r="G12" s="255">
        <f>+F12/'18'!F12*1000</f>
        <v>13.910761154855642</v>
      </c>
      <c r="H12" s="268">
        <f t="shared" si="1"/>
        <v>16</v>
      </c>
      <c r="I12" s="255">
        <f>+H12/'18'!H12*1000</f>
        <v>10.376134889753567</v>
      </c>
      <c r="J12" s="270">
        <f>+'19'!J12+'21'!J12</f>
        <v>11</v>
      </c>
      <c r="K12" s="255">
        <f>+J12/'18'!J12*1000</f>
        <v>11.494252873563218</v>
      </c>
      <c r="L12" s="270">
        <f>+'19'!L12+'21'!L12</f>
        <v>0</v>
      </c>
      <c r="M12" s="255">
        <f>+L12/'18'!L12*1000</f>
        <v>0</v>
      </c>
      <c r="N12" s="270">
        <f>+'19'!N12+'21'!N12</f>
        <v>2</v>
      </c>
      <c r="O12" s="255">
        <f>+N12/'18'!N12*1000</f>
        <v>10.416666666666666</v>
      </c>
      <c r="P12" s="270">
        <f>+'19'!P12+'21'!P12</f>
        <v>3</v>
      </c>
      <c r="Q12" s="255">
        <f>+P12/'18'!P12*1000</f>
        <v>20.547945205479451</v>
      </c>
      <c r="R12" s="202">
        <f t="shared" si="2"/>
        <v>37</v>
      </c>
      <c r="S12" s="255">
        <f>+R12/'18'!R12*1000</f>
        <v>16.313932980599645</v>
      </c>
      <c r="T12" s="270">
        <f>+'19'!T12+'21'!T12</f>
        <v>23</v>
      </c>
      <c r="U12" s="255">
        <f>+T12/'18'!T12*1000</f>
        <v>19.087136929460584</v>
      </c>
      <c r="V12" s="270">
        <f>+'19'!V12+'21'!V12</f>
        <v>3</v>
      </c>
      <c r="W12" s="255">
        <f>+V12/'18'!V12*1000</f>
        <v>14.85148514851485</v>
      </c>
      <c r="X12" s="270">
        <f>+'19'!X12+'21'!X12</f>
        <v>2</v>
      </c>
      <c r="Y12" s="255">
        <f>+X12/'18'!X12*1000</f>
        <v>10.101010101010102</v>
      </c>
      <c r="Z12" s="270">
        <f>+'19'!Z12+'21'!Z12</f>
        <v>1</v>
      </c>
      <c r="AA12" s="255">
        <f>+Z12/'18'!Z12*1000</f>
        <v>10.101010101010102</v>
      </c>
      <c r="AB12" s="270">
        <f>+'19'!AB12+'21'!AB12</f>
        <v>6</v>
      </c>
      <c r="AC12" s="255">
        <f>+AB12/'18'!AB12*1000</f>
        <v>15.665796344647518</v>
      </c>
      <c r="AD12" s="270">
        <f>+'19'!AD12+'21'!AD12</f>
        <v>2</v>
      </c>
      <c r="AE12" s="255">
        <f>+AD12/'18'!AD12*1000</f>
        <v>11.049723756906078</v>
      </c>
    </row>
    <row r="13" spans="1:31" ht="24.75" customHeight="1">
      <c r="A13" s="254">
        <f>+'19'!A13</f>
        <v>2013</v>
      </c>
      <c r="B13" s="202">
        <f>+'21'!B13+'19'!B13</f>
        <v>3104</v>
      </c>
      <c r="C13" s="255">
        <f>+B13/'18'!B13*1000</f>
        <v>12.826181277246338</v>
      </c>
      <c r="D13" s="202">
        <f>+'21'!D13+'19'!D13</f>
        <v>254</v>
      </c>
      <c r="E13" s="255">
        <f>+D13/'18'!D13*1000</f>
        <v>10.982833917066632</v>
      </c>
      <c r="F13" s="202">
        <f t="shared" si="0"/>
        <v>41</v>
      </c>
      <c r="G13" s="255">
        <f>+F13/'18'!F13*1000</f>
        <v>11.030400860909337</v>
      </c>
      <c r="H13" s="268">
        <f t="shared" si="1"/>
        <v>19</v>
      </c>
      <c r="I13" s="255">
        <f>+H13/'18'!H13*1000</f>
        <v>12.402088772845952</v>
      </c>
      <c r="J13" s="270">
        <f>+'19'!J13+'21'!J13</f>
        <v>16</v>
      </c>
      <c r="K13" s="255">
        <f>+J13/'18'!J13*1000</f>
        <v>16.824395373291271</v>
      </c>
      <c r="L13" s="270">
        <f>+'19'!L13+'21'!L13</f>
        <v>3</v>
      </c>
      <c r="M13" s="255">
        <f>+L13/'18'!L13*1000</f>
        <v>11.111111111111111</v>
      </c>
      <c r="N13" s="270">
        <f>+'19'!N13+'21'!N13</f>
        <v>0</v>
      </c>
      <c r="O13" s="255">
        <f>+N13/'18'!N13*1000</f>
        <v>0</v>
      </c>
      <c r="P13" s="270">
        <f>+'19'!P13+'21'!P13</f>
        <v>0</v>
      </c>
      <c r="Q13" s="255">
        <f>+P13/'18'!P13*1000</f>
        <v>0</v>
      </c>
      <c r="R13" s="202">
        <f t="shared" si="2"/>
        <v>22</v>
      </c>
      <c r="S13" s="255">
        <f>+R13/'18'!R13*1000</f>
        <v>10.068649885583524</v>
      </c>
      <c r="T13" s="270">
        <f>+'19'!T13+'21'!T13</f>
        <v>8</v>
      </c>
      <c r="U13" s="255">
        <f>+T13/'18'!T13*1000</f>
        <v>7.2202166064981954</v>
      </c>
      <c r="V13" s="270">
        <f>+'19'!V13+'21'!V13</f>
        <v>3</v>
      </c>
      <c r="W13" s="255">
        <f>+V13/'18'!V13*1000</f>
        <v>14.423076923076923</v>
      </c>
      <c r="X13" s="270">
        <f>+'19'!X13+'21'!X13</f>
        <v>2</v>
      </c>
      <c r="Y13" s="255">
        <f>+X13/'18'!X13*1000</f>
        <v>9.4339622641509422</v>
      </c>
      <c r="Z13" s="270">
        <f>+'19'!Z13+'21'!Z13</f>
        <v>2</v>
      </c>
      <c r="AA13" s="255">
        <f>+Z13/'18'!Z13*1000</f>
        <v>22.727272727272727</v>
      </c>
      <c r="AB13" s="270">
        <f>+'19'!AB13+'21'!AB13</f>
        <v>4</v>
      </c>
      <c r="AC13" s="255">
        <f>+AB13/'18'!AB13*1000</f>
        <v>10.666666666666666</v>
      </c>
      <c r="AD13" s="270">
        <f>+'19'!AD13+'21'!AD13</f>
        <v>3</v>
      </c>
      <c r="AE13" s="255">
        <f>+AD13/'18'!AD13*1000</f>
        <v>15.463917525773196</v>
      </c>
    </row>
    <row r="14" spans="1:31" ht="24.75" customHeight="1">
      <c r="A14" s="254">
        <f>+'19'!A14</f>
        <v>2014</v>
      </c>
      <c r="B14" s="202">
        <f>+'21'!B14+'19'!B14</f>
        <v>3098</v>
      </c>
      <c r="C14" s="255">
        <f>+B14/'18'!B14*1000</f>
        <v>12.704114689696462</v>
      </c>
      <c r="D14" s="202">
        <f>+'21'!D14+'19'!D14</f>
        <v>65</v>
      </c>
      <c r="E14" s="255">
        <f>+D14/'18'!D14*1000</f>
        <v>2.6808545739503424</v>
      </c>
      <c r="F14" s="202">
        <f t="shared" si="0"/>
        <v>13</v>
      </c>
      <c r="G14" s="255">
        <f>+F14/'18'!F14*1000</f>
        <v>3.4638955502264852</v>
      </c>
      <c r="H14" s="268">
        <f t="shared" si="1"/>
        <v>2</v>
      </c>
      <c r="I14" s="259">
        <f>+H14/'18'!H14*1000</f>
        <v>1.2812299807815501</v>
      </c>
      <c r="J14" s="270">
        <f>+'19'!J14+'21'!J14</f>
        <v>0</v>
      </c>
      <c r="K14" s="259">
        <f>+J14/'18'!J14*1000</f>
        <v>0</v>
      </c>
      <c r="L14" s="270">
        <f>+'19'!L14+'21'!L14</f>
        <v>1</v>
      </c>
      <c r="M14" s="255">
        <f>+L14/'18'!L14*1000</f>
        <v>3.9370078740157481</v>
      </c>
      <c r="N14" s="270">
        <f>+'19'!N14+'21'!N14</f>
        <v>0</v>
      </c>
      <c r="O14" s="259">
        <f>+N14/'18'!N14*1000</f>
        <v>0</v>
      </c>
      <c r="P14" s="270">
        <f>+'19'!P14+'21'!P14</f>
        <v>1</v>
      </c>
      <c r="Q14" s="255">
        <f>+P14/'18'!P14*1000</f>
        <v>7.5757575757575761</v>
      </c>
      <c r="R14" s="202">
        <f t="shared" si="2"/>
        <v>11</v>
      </c>
      <c r="S14" s="255">
        <f>+R14/'18'!R14*1000</f>
        <v>5.0182481751824817</v>
      </c>
      <c r="T14" s="270">
        <f>+'19'!T14+'21'!T14</f>
        <v>7</v>
      </c>
      <c r="U14" s="255">
        <f>+T14/'18'!T14*1000</f>
        <v>6.3578564940962767</v>
      </c>
      <c r="V14" s="270">
        <f>+'19'!V14+'21'!V14</f>
        <v>2</v>
      </c>
      <c r="W14" s="255">
        <f>+V14/'18'!V14*1000</f>
        <v>10.309278350515465</v>
      </c>
      <c r="X14" s="270">
        <f>+'19'!X14+'21'!X14</f>
        <v>0</v>
      </c>
      <c r="Y14" s="255">
        <f>+X14/'18'!X14*1000</f>
        <v>0</v>
      </c>
      <c r="Z14" s="270">
        <f>+'19'!Z14+'21'!Z14</f>
        <v>1</v>
      </c>
      <c r="AA14" s="255">
        <f>+Z14/'18'!Z14*1000</f>
        <v>8.695652173913043</v>
      </c>
      <c r="AB14" s="270">
        <f>+'19'!AB14+'21'!AB14</f>
        <v>1</v>
      </c>
      <c r="AC14" s="255">
        <f>+AB14/'18'!AB14*1000</f>
        <v>2.5510204081632653</v>
      </c>
      <c r="AD14" s="270">
        <f>+'19'!AD14+'21'!AD14</f>
        <v>0</v>
      </c>
      <c r="AE14" s="255">
        <f>+AD14/'18'!AD14*1000</f>
        <v>0</v>
      </c>
    </row>
    <row r="15" spans="1:31" ht="24.75" customHeight="1">
      <c r="A15" s="254">
        <f>+'19'!A15</f>
        <v>2015</v>
      </c>
      <c r="B15" s="202">
        <f>+'21'!B15+'19'!B15</f>
        <v>3017</v>
      </c>
      <c r="C15" s="255">
        <f>+B15/'18'!B15*1000</f>
        <v>12.330894674459476</v>
      </c>
      <c r="D15" s="202">
        <f>+'21'!D15+'19'!D15</f>
        <v>226</v>
      </c>
      <c r="E15" s="255">
        <f>+D15/'18'!D15*1000</f>
        <v>9.5770828036274249</v>
      </c>
      <c r="F15" s="202">
        <f t="shared" si="0"/>
        <v>41</v>
      </c>
      <c r="G15" s="255">
        <f>+F15/'18'!F15*1000</f>
        <v>10.624514122829748</v>
      </c>
      <c r="H15" s="268">
        <f t="shared" si="1"/>
        <v>13</v>
      </c>
      <c r="I15" s="259">
        <f>+H15/'18'!H15*1000</f>
        <v>8.2382762991128011</v>
      </c>
      <c r="J15" s="270">
        <f>+'19'!J15+'21'!J15</f>
        <v>9</v>
      </c>
      <c r="K15" s="259">
        <f>+J15/'18'!J15*1000</f>
        <v>9.2879256965944261</v>
      </c>
      <c r="L15" s="270">
        <f>+'19'!L15+'21'!L15</f>
        <v>1</v>
      </c>
      <c r="M15" s="255">
        <f>+L15/'18'!L15*1000</f>
        <v>4.1493775933609962</v>
      </c>
      <c r="N15" s="270">
        <f>+'19'!N15+'21'!N15</f>
        <v>1</v>
      </c>
      <c r="O15" s="259">
        <f>+N15/'18'!N15*1000</f>
        <v>4.5248868778280551</v>
      </c>
      <c r="P15" s="270">
        <f>+'19'!P15+'21'!P15</f>
        <v>2</v>
      </c>
      <c r="Q15" s="255">
        <f>+P15/'18'!P15*1000</f>
        <v>13.605442176870747</v>
      </c>
      <c r="R15" s="202">
        <f t="shared" si="2"/>
        <v>28</v>
      </c>
      <c r="S15" s="255">
        <f>+R15/'18'!R15*1000</f>
        <v>12.275317843051292</v>
      </c>
      <c r="T15" s="270">
        <f>+'19'!T15+'21'!T15</f>
        <v>14</v>
      </c>
      <c r="U15" s="255">
        <f>+T15/'18'!T15*1000</f>
        <v>11.774600504625736</v>
      </c>
      <c r="V15" s="270">
        <f>+'19'!V15+'21'!V15</f>
        <v>4</v>
      </c>
      <c r="W15" s="255">
        <f>+V15/'18'!V15*1000</f>
        <v>17.937219730941703</v>
      </c>
      <c r="X15" s="270">
        <f>+'19'!X15+'21'!X15</f>
        <v>4</v>
      </c>
      <c r="Y15" s="255">
        <f>+X15/'18'!X15*1000</f>
        <v>18.018018018018019</v>
      </c>
      <c r="Z15" s="270">
        <f>+'19'!Z15+'21'!Z15</f>
        <v>0</v>
      </c>
      <c r="AA15" s="255">
        <f>+Z15/'18'!Z15*1000</f>
        <v>0</v>
      </c>
      <c r="AB15" s="270">
        <f>+'19'!AB15+'21'!AB15</f>
        <v>6</v>
      </c>
      <c r="AC15" s="255">
        <f>+AB15/'18'!AB15*1000</f>
        <v>16.997167138810202</v>
      </c>
      <c r="AD15" s="270">
        <f>+'19'!AD15+'21'!AD15</f>
        <v>0</v>
      </c>
      <c r="AE15" s="255">
        <f>+AD15/'18'!AD15*1000</f>
        <v>0</v>
      </c>
    </row>
    <row r="16" spans="1:31" ht="24.75" customHeight="1">
      <c r="A16" s="254">
        <f>+'19'!A16</f>
        <v>2016</v>
      </c>
      <c r="B16" s="202">
        <f>+'21'!B16+'19'!B16</f>
        <v>941</v>
      </c>
      <c r="C16" s="255">
        <f>+B16/'18'!B16*1000</f>
        <v>4.0762399826727309</v>
      </c>
      <c r="D16" s="202">
        <f>+'21'!D16+'19'!D16</f>
        <v>69</v>
      </c>
      <c r="E16" s="255">
        <f>+D16/'18'!D16*1000</f>
        <v>3.8553947588981394</v>
      </c>
      <c r="F16" s="202">
        <f t="shared" si="0"/>
        <v>8</v>
      </c>
      <c r="G16" s="255">
        <f>+F16/'18'!F16*1000</f>
        <v>2.4308720753570343</v>
      </c>
      <c r="H16" s="268">
        <f t="shared" si="1"/>
        <v>3</v>
      </c>
      <c r="I16" s="259">
        <f>+H16/'18'!H16*1000</f>
        <v>2.210759027266028</v>
      </c>
      <c r="J16" s="270">
        <f>+'19'!J16+'21'!J16</f>
        <v>0</v>
      </c>
      <c r="K16" s="259">
        <f>+J16/'18'!J16*1000</f>
        <v>0</v>
      </c>
      <c r="L16" s="270">
        <f>+'19'!L16+'21'!L16</f>
        <v>0</v>
      </c>
      <c r="M16" s="255">
        <f>+L16/'18'!L16*1000</f>
        <v>0</v>
      </c>
      <c r="N16" s="270">
        <f>+'19'!N16+'21'!N16</f>
        <v>1</v>
      </c>
      <c r="O16" s="259">
        <f>+N16/'18'!N16*1000</f>
        <v>5.2631578947368416</v>
      </c>
      <c r="P16" s="270">
        <f>+'19'!P16+'21'!P16</f>
        <v>2</v>
      </c>
      <c r="Q16" s="255">
        <f>+P16/'18'!P16*1000</f>
        <v>17.241379310344826</v>
      </c>
      <c r="R16" s="202">
        <f t="shared" si="2"/>
        <v>5</v>
      </c>
      <c r="S16" s="255">
        <f>+R16/'18'!R16*1000</f>
        <v>2.5853154084798344</v>
      </c>
      <c r="T16" s="270">
        <f>+'19'!T16+'21'!T16</f>
        <v>3</v>
      </c>
      <c r="U16" s="255">
        <f>+T16/'18'!T16*1000</f>
        <v>2.8846153846153846</v>
      </c>
      <c r="V16" s="270">
        <f>+'19'!V16+'21'!V16</f>
        <v>1</v>
      </c>
      <c r="W16" s="255">
        <f>+V16/'18'!V16*1000</f>
        <v>5.6497175141242941</v>
      </c>
      <c r="X16" s="270">
        <f>+'19'!X16+'21'!X16</f>
        <v>0</v>
      </c>
      <c r="Y16" s="255">
        <f>+X16/'18'!X16*1000</f>
        <v>0</v>
      </c>
      <c r="Z16" s="270">
        <f>+'19'!Z16+'21'!Z16</f>
        <v>0</v>
      </c>
      <c r="AA16" s="255">
        <f>+Z16/'18'!Z16*1000</f>
        <v>0</v>
      </c>
      <c r="AB16" s="270">
        <f>+'19'!AB16+'21'!AB16</f>
        <v>1</v>
      </c>
      <c r="AC16" s="255">
        <f>+AB16/'18'!AB16*1000</f>
        <v>3.5971223021582737</v>
      </c>
      <c r="AD16" s="270">
        <f>+'19'!AD16+'21'!AD16</f>
        <v>0</v>
      </c>
      <c r="AE16" s="255">
        <f>+AD16/'18'!AD16*1000</f>
        <v>0</v>
      </c>
    </row>
    <row r="17" spans="1:31" ht="24.75" customHeight="1">
      <c r="A17" s="254">
        <f>+'19'!A17</f>
        <v>2017</v>
      </c>
      <c r="B17" s="202">
        <f>+'21'!B17+'19'!B17</f>
        <v>700</v>
      </c>
      <c r="C17" s="255">
        <f>+B17/'18'!B17*1000</f>
        <v>3.1914942119972824</v>
      </c>
      <c r="D17" s="202">
        <f>+'21'!D17+'19'!D17</f>
        <v>71</v>
      </c>
      <c r="E17" s="255">
        <f>+D17/'18'!D17*1000</f>
        <v>3.4918605223036443</v>
      </c>
      <c r="F17" s="202">
        <f t="shared" si="0"/>
        <v>4</v>
      </c>
      <c r="G17" s="255">
        <f>+F17/'18'!F17*1000</f>
        <v>1.3427324605572339</v>
      </c>
      <c r="H17" s="268">
        <f t="shared" si="1"/>
        <v>1</v>
      </c>
      <c r="I17" s="259">
        <f>+H17/'18'!H17*1000</f>
        <v>0.8347245409015025</v>
      </c>
      <c r="J17" s="270">
        <f>+'19'!J17+'21'!J17</f>
        <v>1</v>
      </c>
      <c r="K17" s="259">
        <f>+J17/'18'!J17*1000</f>
        <v>1.3947001394700138</v>
      </c>
      <c r="L17" s="270">
        <f>+'19'!L17+'21'!L17</f>
        <v>0</v>
      </c>
      <c r="M17" s="255">
        <f>+L17/'18'!L17*1000</f>
        <v>0</v>
      </c>
      <c r="N17" s="270">
        <f>+'19'!N17+'21'!N17</f>
        <v>0</v>
      </c>
      <c r="O17" s="259">
        <f>+N17/'18'!N17*1000</f>
        <v>0</v>
      </c>
      <c r="P17" s="270">
        <f>+'19'!P17+'21'!P17</f>
        <v>0</v>
      </c>
      <c r="Q17" s="255">
        <f>+P17/'18'!P17*1000</f>
        <v>0</v>
      </c>
      <c r="R17" s="202">
        <f t="shared" si="2"/>
        <v>3</v>
      </c>
      <c r="S17" s="255">
        <f>+R17/'18'!R17*1000</f>
        <v>1.6844469399213924</v>
      </c>
      <c r="T17" s="270">
        <f>+'19'!T17+'21'!T17</f>
        <v>1</v>
      </c>
      <c r="U17" s="255">
        <f>+T17/'18'!T17*1000</f>
        <v>1.0526315789473684</v>
      </c>
      <c r="V17" s="270">
        <f>+'19'!V17+'21'!V17</f>
        <v>0</v>
      </c>
      <c r="W17" s="255">
        <f>+V17/'18'!V17*1000</f>
        <v>0</v>
      </c>
      <c r="X17" s="270">
        <f>+'19'!X17+'21'!X17</f>
        <v>0</v>
      </c>
      <c r="Y17" s="255">
        <f>+X17/'18'!X17*1000</f>
        <v>0</v>
      </c>
      <c r="Z17" s="270">
        <f>+'19'!Z17+'21'!Z17</f>
        <v>0</v>
      </c>
      <c r="AA17" s="255">
        <f>+Z17/'18'!Z17*1000</f>
        <v>0</v>
      </c>
      <c r="AB17" s="270">
        <f>+'19'!AB17+'21'!AB17</f>
        <v>1</v>
      </c>
      <c r="AC17" s="255">
        <f>+AB17/'18'!AB17*1000</f>
        <v>3.4364261168384878</v>
      </c>
      <c r="AD17" s="270">
        <f>+'19'!AD17+'21'!AD17</f>
        <v>1</v>
      </c>
      <c r="AE17" s="255">
        <f>+AD17/'18'!AD17*1000</f>
        <v>6.369426751592357</v>
      </c>
    </row>
    <row r="18" spans="1:31" ht="24.75" customHeight="1">
      <c r="A18" s="254">
        <f>+'19'!A18</f>
        <v>2018</v>
      </c>
      <c r="B18" s="202">
        <f>+'21'!B18+'19'!B18</f>
        <v>762</v>
      </c>
      <c r="C18" s="255">
        <f>+B18/'18'!B18*1000</f>
        <v>3.4741694136313277</v>
      </c>
      <c r="D18" s="202">
        <f>+'21'!D18+'19'!D18</f>
        <v>74</v>
      </c>
      <c r="E18" s="255">
        <f>+D18/'18'!D18*1000</f>
        <v>3.6394039246545025</v>
      </c>
      <c r="F18" s="202">
        <f t="shared" si="0"/>
        <v>13</v>
      </c>
      <c r="G18" s="255">
        <f>+F18/'18'!F18*1000</f>
        <v>4.1773778920308482</v>
      </c>
      <c r="H18" s="268">
        <f t="shared" si="1"/>
        <v>8</v>
      </c>
      <c r="I18" s="259">
        <f>+H18/'18'!H18*1000</f>
        <v>6.9625761531766752</v>
      </c>
      <c r="J18" s="270">
        <f>+'19'!J18+'21'!J18</f>
        <v>5</v>
      </c>
      <c r="K18" s="259">
        <f>+J18/'18'!J18*1000</f>
        <v>6.9735006973500697</v>
      </c>
      <c r="L18" s="270">
        <f>+'19'!L18+'21'!L18</f>
        <v>1</v>
      </c>
      <c r="M18" s="255">
        <f>+L18/'18'!L18*1000</f>
        <v>5.8479532163742682</v>
      </c>
      <c r="N18" s="270">
        <f>+'19'!N18+'21'!N18</f>
        <v>1</v>
      </c>
      <c r="O18" s="259">
        <f>+N18/'18'!N18*1000</f>
        <v>7.1942446043165473</v>
      </c>
      <c r="P18" s="270">
        <f>+'19'!P18+'21'!P18</f>
        <v>1</v>
      </c>
      <c r="Q18" s="255">
        <f>+P18/'18'!P18*1000</f>
        <v>8.1967213114754109</v>
      </c>
      <c r="R18" s="202">
        <f t="shared" si="2"/>
        <v>5</v>
      </c>
      <c r="S18" s="255">
        <f>+R18/'18'!R18*1000</f>
        <v>2.5471217524197658</v>
      </c>
      <c r="T18" s="270">
        <f>+'19'!T18+'21'!T18</f>
        <v>1</v>
      </c>
      <c r="U18" s="255">
        <f>+T18/'18'!T18*1000</f>
        <v>0.97465886939571145</v>
      </c>
      <c r="V18" s="270">
        <f>+'19'!V18+'21'!V18</f>
        <v>1</v>
      </c>
      <c r="W18" s="255">
        <f>+V18/'18'!V18*1000</f>
        <v>4.6296296296296298</v>
      </c>
      <c r="X18" s="270">
        <f>+'19'!X18+'21'!X18</f>
        <v>1</v>
      </c>
      <c r="Y18" s="255">
        <f>+X18/'18'!X18*1000</f>
        <v>6.1728395061728394</v>
      </c>
      <c r="Z18" s="270">
        <f>+'19'!Z18+'21'!Z18</f>
        <v>0</v>
      </c>
      <c r="AA18" s="255">
        <f>+Z18/'18'!Z18*1000</f>
        <v>0</v>
      </c>
      <c r="AB18" s="270">
        <f>+'19'!AB18+'21'!AB18</f>
        <v>2</v>
      </c>
      <c r="AC18" s="255">
        <f>+AB18/'18'!AB18*1000</f>
        <v>6.6889632107023411</v>
      </c>
      <c r="AD18" s="270">
        <f>+'19'!AD18+'21'!AD18</f>
        <v>0</v>
      </c>
      <c r="AE18" s="255">
        <f>+AD18/'18'!AD18*1000</f>
        <v>0</v>
      </c>
    </row>
    <row r="19" spans="1:31" ht="24.75" customHeight="1">
      <c r="A19" s="254">
        <f>+'19'!A19</f>
        <v>2019</v>
      </c>
      <c r="B19" s="202">
        <f>+'21'!B19+'19'!B19</f>
        <v>618</v>
      </c>
      <c r="C19" s="255">
        <f>+B19/'18'!B19*1000</f>
        <v>2.9610038665535927</v>
      </c>
      <c r="D19" s="202">
        <f>+'21'!D19+'19'!D19</f>
        <v>81</v>
      </c>
      <c r="E19" s="255">
        <f>+D19/'18'!D19*1000</f>
        <v>4.1679530719357825</v>
      </c>
      <c r="F19" s="202">
        <f t="shared" si="0"/>
        <v>11</v>
      </c>
      <c r="G19" s="255">
        <f>+F19/'18'!F19*1000</f>
        <v>3.5449564937157589</v>
      </c>
      <c r="H19" s="268">
        <f t="shared" si="1"/>
        <v>2</v>
      </c>
      <c r="I19" s="259">
        <f>+H19/'18'!H19*1000</f>
        <v>1.669449081803005</v>
      </c>
      <c r="J19" s="270">
        <f>+'19'!J19+'21'!J19</f>
        <v>1</v>
      </c>
      <c r="K19" s="259">
        <f>+J19/'18'!J19*1000</f>
        <v>1.3736263736263736</v>
      </c>
      <c r="L19" s="270">
        <f>+'19'!L19+'21'!L19</f>
        <v>1</v>
      </c>
      <c r="M19" s="255">
        <f>+L19/'18'!L19*1000</f>
        <v>5.3191489361702127</v>
      </c>
      <c r="N19" s="270">
        <f>+'19'!N19+'21'!N19</f>
        <v>0</v>
      </c>
      <c r="O19" s="259">
        <f>+N19/'18'!N19*1000</f>
        <v>0</v>
      </c>
      <c r="P19" s="270">
        <f>+'19'!P19+'21'!P19</f>
        <v>0</v>
      </c>
      <c r="Q19" s="255">
        <f>+P19/'18'!P19*1000</f>
        <v>0</v>
      </c>
      <c r="R19" s="202">
        <f t="shared" si="2"/>
        <v>9</v>
      </c>
      <c r="S19" s="255">
        <f>+R19/'18'!R19*1000</f>
        <v>4.7244094488188972</v>
      </c>
      <c r="T19" s="270">
        <f>+'19'!T19+'21'!T19</f>
        <v>5</v>
      </c>
      <c r="U19" s="255">
        <f>+T19/'18'!T19*1000</f>
        <v>4.8030739673390972</v>
      </c>
      <c r="V19" s="270">
        <f>+'19'!V19+'21'!V19</f>
        <v>0</v>
      </c>
      <c r="W19" s="255">
        <f>+V19/'18'!V19*1000</f>
        <v>0</v>
      </c>
      <c r="X19" s="270">
        <f>+'19'!X19+'21'!X19</f>
        <v>0</v>
      </c>
      <c r="Y19" s="255">
        <f>+X19/'18'!X19*1000</f>
        <v>0</v>
      </c>
      <c r="Z19" s="270">
        <f>+'19'!Z19+'21'!Z19</f>
        <v>1</v>
      </c>
      <c r="AA19" s="255">
        <f>+Z19/'18'!Z19*1000</f>
        <v>13.698630136986301</v>
      </c>
      <c r="AB19" s="270">
        <f>+'19'!AB19+'21'!AB19</f>
        <v>0</v>
      </c>
      <c r="AC19" s="255">
        <f>+AB19/'18'!AB19*1000</f>
        <v>0</v>
      </c>
      <c r="AD19" s="270">
        <f>+'19'!AD19+'21'!AD19</f>
        <v>3</v>
      </c>
      <c r="AE19" s="255">
        <f>+AD19/'18'!AD19*1000</f>
        <v>18.518518518518519</v>
      </c>
    </row>
    <row r="20" spans="1:31" ht="24.75" customHeight="1">
      <c r="A20" s="254">
        <f>+'19'!A20</f>
        <v>2020</v>
      </c>
      <c r="B20" s="202">
        <f>+'21'!B20+'19'!B20</f>
        <v>0</v>
      </c>
      <c r="C20" s="255"/>
      <c r="D20" s="202">
        <f>+'21'!D20+'19'!D20</f>
        <v>0</v>
      </c>
      <c r="E20" s="255"/>
      <c r="F20" s="202">
        <f t="shared" ref="F20" si="3">+R20+H20</f>
        <v>12</v>
      </c>
      <c r="G20" s="255">
        <f>+F20/'18'!F20*1000</f>
        <v>4.5977011494252871</v>
      </c>
      <c r="H20" s="268">
        <f t="shared" ref="H20" si="4">+J20+L20+N20+P20</f>
        <v>5</v>
      </c>
      <c r="I20" s="259">
        <f>+H20/'18'!H20*1000</f>
        <v>5.1229508196721305</v>
      </c>
      <c r="J20" s="270">
        <f>+'19'!J20+'21'!J20</f>
        <v>5</v>
      </c>
      <c r="K20" s="259">
        <f>+J20/'18'!J20*1000</f>
        <v>8.4745762711864412</v>
      </c>
      <c r="L20" s="270">
        <f>+'19'!L20+'21'!L20</f>
        <v>0</v>
      </c>
      <c r="M20" s="255">
        <f>+L20/'18'!L20*1000</f>
        <v>0</v>
      </c>
      <c r="N20" s="270">
        <f>+'19'!N20+'21'!N20</f>
        <v>0</v>
      </c>
      <c r="O20" s="259">
        <f>+N20/'18'!N20*1000</f>
        <v>0</v>
      </c>
      <c r="P20" s="270">
        <f>+'19'!P20+'21'!P20</f>
        <v>0</v>
      </c>
      <c r="Q20" s="255">
        <f>+P20/'18'!P20*1000</f>
        <v>0</v>
      </c>
      <c r="R20" s="202">
        <f t="shared" ref="R20" si="5">+T20+V20+X20+Z20+AB20+AD20</f>
        <v>7</v>
      </c>
      <c r="S20" s="255">
        <f>+R20/'18'!R20*1000</f>
        <v>4.2839657282741737</v>
      </c>
      <c r="T20" s="270">
        <f>+'19'!T20+'21'!T20</f>
        <v>5</v>
      </c>
      <c r="U20" s="255">
        <f>+T20/'18'!T20*1000</f>
        <v>5.7471264367816088</v>
      </c>
      <c r="V20" s="270">
        <f>+'19'!V20+'21'!V20</f>
        <v>1</v>
      </c>
      <c r="W20" s="255">
        <f>+V20/'18'!V20*1000</f>
        <v>5.6818181818181817</v>
      </c>
      <c r="X20" s="270">
        <f>+'19'!X20+'21'!X20</f>
        <v>0</v>
      </c>
      <c r="Y20" s="255">
        <f>+X20/'18'!X20*1000</f>
        <v>0</v>
      </c>
      <c r="Z20" s="270">
        <f>+'19'!Z20+'21'!Z20</f>
        <v>0</v>
      </c>
      <c r="AA20" s="255">
        <f>+Z20/'18'!Z20*1000</f>
        <v>0</v>
      </c>
      <c r="AB20" s="270">
        <f>+'19'!AB20+'21'!AB20</f>
        <v>1</v>
      </c>
      <c r="AC20" s="255">
        <f>+AB20/'18'!AB20*1000</f>
        <v>3.8314176245210727</v>
      </c>
      <c r="AD20" s="270">
        <f>+'19'!AD20+'21'!AD20</f>
        <v>0</v>
      </c>
      <c r="AE20" s="255">
        <f>+AD20/'18'!AD20*1000</f>
        <v>0</v>
      </c>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2020  :   DATOS POR RESIDENCIA</v>
      </c>
      <c r="C23" s="263"/>
      <c r="D23" s="263"/>
      <c r="E23" s="263"/>
      <c r="F23" s="263"/>
      <c r="G23" s="263"/>
      <c r="H23" s="263"/>
      <c r="I23" s="263"/>
      <c r="J23" s="263"/>
      <c r="K23" s="1"/>
      <c r="L23" s="1"/>
      <c r="M23" s="1"/>
      <c r="N23" s="1"/>
      <c r="O23" s="1"/>
      <c r="P23" s="1"/>
      <c r="Q23" s="1"/>
      <c r="R23" s="1"/>
      <c r="S23" s="1"/>
      <c r="T23" s="1"/>
      <c r="U23" s="1"/>
      <c r="V23" s="1"/>
      <c r="W23" s="1"/>
      <c r="X23" s="1"/>
      <c r="Y23" s="1"/>
      <c r="Z23" s="1"/>
      <c r="AA23" s="1"/>
      <c r="AB23" s="1"/>
      <c r="AC23" s="1"/>
      <c r="AD23" s="1"/>
      <c r="AE23" s="1"/>
    </row>
    <row r="24" spans="1:31">
      <c r="A24" s="1"/>
      <c r="B24" s="212"/>
      <c r="C24" s="216" t="s">
        <v>667</v>
      </c>
      <c r="D24" s="263"/>
      <c r="E24" s="263"/>
      <c r="F24" s="263"/>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B10" workbookViewId="0">
      <selection activeCell="AE11" sqref="AE11"/>
    </sheetView>
  </sheetViews>
  <sheetFormatPr baseColWidth="10" defaultRowHeight="13.2"/>
  <cols>
    <col min="1" max="1" width="6.21875" customWidth="1"/>
    <col min="2" max="2" width="5.77734375" customWidth="1"/>
    <col min="3" max="3" width="5.44140625" customWidth="1"/>
    <col min="4" max="4" width="5" customWidth="1"/>
    <col min="5" max="5" width="7.5546875" customWidth="1"/>
    <col min="6" max="6" width="6.21875" customWidth="1"/>
    <col min="7" max="7" width="5.21875" customWidth="1"/>
    <col min="8" max="9" width="6.44140625" customWidth="1"/>
    <col min="10" max="10" width="4" customWidth="1"/>
    <col min="11" max="11" width="5.77734375" customWidth="1"/>
    <col min="12" max="12" width="4" customWidth="1"/>
    <col min="13" max="13" width="5.77734375" customWidth="1"/>
    <col min="14" max="15" width="5.21875" customWidth="1"/>
    <col min="16" max="16" width="4.5546875" customWidth="1"/>
    <col min="17" max="19" width="5.77734375" customWidth="1"/>
    <col min="20" max="20" width="4.21875" customWidth="1"/>
    <col min="21" max="21" width="5.77734375" customWidth="1"/>
    <col min="22" max="22" width="3.77734375" customWidth="1"/>
    <col min="23" max="23" width="5.77734375" customWidth="1"/>
    <col min="24" max="24" width="4" customWidth="1"/>
    <col min="25" max="25" width="5.77734375" customWidth="1"/>
    <col min="26" max="26" width="4.21875" customWidth="1"/>
    <col min="27" max="27" width="5.77734375" customWidth="1"/>
    <col min="28" max="28" width="3.77734375" customWidth="1"/>
    <col min="29" max="29" width="5.77734375" customWidth="1"/>
    <col min="30" max="30" width="3.77734375" customWidth="1"/>
    <col min="31" max="31" width="5.77734375" customWidth="1"/>
  </cols>
  <sheetData>
    <row r="1" spans="1:31">
      <c r="A1" s="144" t="s">
        <v>668</v>
      </c>
      <c r="B1" s="271"/>
      <c r="C1" s="271"/>
      <c r="D1" s="271"/>
      <c r="E1" s="271"/>
      <c r="F1" s="271"/>
      <c r="G1" s="271"/>
      <c r="H1" s="271"/>
      <c r="I1" s="271"/>
      <c r="J1" s="271"/>
      <c r="K1" s="271"/>
      <c r="L1" s="113"/>
      <c r="M1" s="113"/>
      <c r="N1" s="113"/>
      <c r="O1" s="113"/>
      <c r="P1" s="113"/>
      <c r="Q1" s="113"/>
      <c r="R1" s="113"/>
      <c r="S1" s="113"/>
      <c r="T1" s="113"/>
      <c r="U1" s="113"/>
      <c r="V1" s="113"/>
      <c r="W1" s="113"/>
      <c r="X1" s="113"/>
      <c r="Y1" s="113"/>
      <c r="Z1" s="113"/>
      <c r="AA1" s="113"/>
      <c r="AB1" s="113"/>
      <c r="AC1" s="113"/>
      <c r="AD1" s="113"/>
      <c r="AE1" s="113"/>
    </row>
    <row r="2" spans="1:31">
      <c r="A2" s="271"/>
      <c r="B2" s="271"/>
      <c r="C2" s="271"/>
      <c r="D2" s="271"/>
      <c r="E2" s="271"/>
      <c r="F2" s="271"/>
      <c r="G2" s="271"/>
      <c r="H2" s="271"/>
      <c r="I2" s="271"/>
      <c r="J2" s="271"/>
      <c r="K2" s="271"/>
      <c r="L2" s="113"/>
      <c r="M2" s="113"/>
      <c r="N2" s="113"/>
      <c r="O2" s="113"/>
      <c r="P2" s="113"/>
      <c r="Q2" s="113"/>
      <c r="R2" s="113"/>
      <c r="S2" s="113"/>
      <c r="T2" s="113"/>
      <c r="U2" s="113"/>
      <c r="V2" s="113"/>
      <c r="W2" s="113"/>
      <c r="X2" s="113"/>
      <c r="Y2" s="113"/>
      <c r="Z2" s="113"/>
      <c r="AA2" s="113"/>
      <c r="AB2" s="113"/>
      <c r="AC2" s="113"/>
      <c r="AD2" s="113"/>
      <c r="AE2" s="113"/>
    </row>
    <row r="3" spans="1:31">
      <c r="A3" s="144" t="str">
        <f>+'20'!A3</f>
        <v>AÑOS   2011  - 2020</v>
      </c>
      <c r="B3" s="271"/>
      <c r="C3" s="271"/>
      <c r="D3" s="271"/>
      <c r="E3" s="271"/>
      <c r="F3" s="271"/>
      <c r="G3" s="271"/>
      <c r="H3" s="271"/>
      <c r="I3" s="271"/>
      <c r="J3" s="271"/>
      <c r="K3" s="271"/>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86"/>
      <c r="B6" s="272"/>
      <c r="C6" s="273"/>
      <c r="D6" s="272"/>
      <c r="E6" s="273"/>
      <c r="F6" s="272"/>
      <c r="G6" s="273"/>
      <c r="H6" s="239"/>
      <c r="I6" s="84"/>
      <c r="J6" s="118" t="s">
        <v>639</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647</v>
      </c>
      <c r="G7" s="274"/>
      <c r="H7" s="182" t="s">
        <v>648</v>
      </c>
      <c r="I7" s="242"/>
      <c r="J7" s="243"/>
      <c r="K7" s="244"/>
      <c r="L7" s="243"/>
      <c r="M7" s="244"/>
      <c r="N7" s="243"/>
      <c r="O7" s="244"/>
      <c r="P7" s="243"/>
      <c r="Q7" s="244"/>
      <c r="R7" s="182" t="s">
        <v>648</v>
      </c>
      <c r="S7" s="242"/>
      <c r="T7" s="243"/>
      <c r="U7" s="244"/>
      <c r="V7" s="243"/>
      <c r="W7" s="244"/>
      <c r="X7" s="243"/>
      <c r="Y7" s="244"/>
      <c r="Z7" s="216"/>
      <c r="AA7" s="244"/>
      <c r="AB7" s="243"/>
      <c r="AC7" s="244"/>
      <c r="AD7" s="243"/>
      <c r="AE7" s="244"/>
    </row>
    <row r="8" spans="1:31" ht="18" customHeight="1">
      <c r="A8" s="245" t="s">
        <v>640</v>
      </c>
      <c r="B8" s="199" t="s">
        <v>645</v>
      </c>
      <c r="C8" s="199"/>
      <c r="D8" s="199" t="s">
        <v>646</v>
      </c>
      <c r="E8" s="246"/>
      <c r="F8" s="199" t="s">
        <v>649</v>
      </c>
      <c r="G8" s="246"/>
      <c r="H8" s="199" t="s">
        <v>630</v>
      </c>
      <c r="I8" s="246"/>
      <c r="J8" s="199" t="s">
        <v>630</v>
      </c>
      <c r="K8" s="246"/>
      <c r="L8" s="247" t="s">
        <v>426</v>
      </c>
      <c r="M8" s="248"/>
      <c r="N8" s="199" t="s">
        <v>651</v>
      </c>
      <c r="O8" s="246"/>
      <c r="P8" s="199" t="s">
        <v>429</v>
      </c>
      <c r="Q8" s="246"/>
      <c r="R8" s="199" t="s">
        <v>652</v>
      </c>
      <c r="S8" s="246"/>
      <c r="T8" s="199" t="s">
        <v>652</v>
      </c>
      <c r="U8" s="246"/>
      <c r="V8" s="199" t="s">
        <v>393</v>
      </c>
      <c r="W8" s="246"/>
      <c r="X8" s="199" t="s">
        <v>411</v>
      </c>
      <c r="Y8" s="246"/>
      <c r="Z8" s="199" t="s">
        <v>416</v>
      </c>
      <c r="AA8" s="246"/>
      <c r="AB8" s="199" t="s">
        <v>653</v>
      </c>
      <c r="AC8" s="246"/>
      <c r="AD8" s="199" t="s">
        <v>418</v>
      </c>
      <c r="AE8" s="246"/>
    </row>
    <row r="9" spans="1:31" ht="18.75" customHeight="1">
      <c r="A9" s="249"/>
      <c r="B9" s="250" t="s">
        <v>661</v>
      </c>
      <c r="C9" s="252" t="s">
        <v>662</v>
      </c>
      <c r="D9" s="250" t="s">
        <v>661</v>
      </c>
      <c r="E9" s="252" t="s">
        <v>662</v>
      </c>
      <c r="F9" s="250" t="s">
        <v>661</v>
      </c>
      <c r="G9" s="252" t="s">
        <v>662</v>
      </c>
      <c r="H9" s="250" t="s">
        <v>661</v>
      </c>
      <c r="I9" s="251" t="s">
        <v>662</v>
      </c>
      <c r="J9" s="250" t="s">
        <v>661</v>
      </c>
      <c r="K9" s="251" t="s">
        <v>662</v>
      </c>
      <c r="L9" s="250" t="s">
        <v>661</v>
      </c>
      <c r="M9" s="252" t="s">
        <v>662</v>
      </c>
      <c r="N9" s="250" t="s">
        <v>661</v>
      </c>
      <c r="O9" s="252" t="s">
        <v>662</v>
      </c>
      <c r="P9" s="250" t="s">
        <v>661</v>
      </c>
      <c r="Q9" s="252" t="s">
        <v>662</v>
      </c>
      <c r="R9" s="250" t="s">
        <v>661</v>
      </c>
      <c r="S9" s="251" t="s">
        <v>662</v>
      </c>
      <c r="T9" s="250" t="s">
        <v>661</v>
      </c>
      <c r="U9" s="252" t="s">
        <v>662</v>
      </c>
      <c r="V9" s="250" t="s">
        <v>661</v>
      </c>
      <c r="W9" s="252" t="s">
        <v>662</v>
      </c>
      <c r="X9" s="250" t="s">
        <v>661</v>
      </c>
      <c r="Y9" s="252" t="s">
        <v>662</v>
      </c>
      <c r="Z9" s="250" t="s">
        <v>661</v>
      </c>
      <c r="AA9" s="252" t="s">
        <v>662</v>
      </c>
      <c r="AB9" s="250" t="s">
        <v>661</v>
      </c>
      <c r="AC9" s="252" t="s">
        <v>662</v>
      </c>
      <c r="AD9" s="250" t="s">
        <v>661</v>
      </c>
      <c r="AE9" s="252" t="s">
        <v>662</v>
      </c>
    </row>
    <row r="10" spans="1:31">
      <c r="A10" s="181"/>
      <c r="B10" s="182"/>
      <c r="C10" s="242"/>
      <c r="D10" s="182"/>
      <c r="E10" s="242"/>
      <c r="F10" s="182"/>
      <c r="G10" s="242"/>
      <c r="H10" s="253"/>
      <c r="I10" s="253"/>
      <c r="J10" s="182"/>
      <c r="K10" s="242"/>
      <c r="L10" s="182"/>
      <c r="M10" s="242"/>
      <c r="N10" s="182"/>
      <c r="O10" s="242"/>
      <c r="P10" s="182"/>
      <c r="Q10" s="253"/>
      <c r="R10" s="182"/>
      <c r="S10" s="242"/>
      <c r="T10" s="182"/>
      <c r="U10" s="242"/>
      <c r="V10" s="182"/>
      <c r="W10" s="242"/>
      <c r="X10" s="182"/>
      <c r="Y10" s="242"/>
      <c r="Z10" s="182"/>
      <c r="AA10" s="242"/>
      <c r="AB10" s="182"/>
      <c r="AC10" s="253"/>
      <c r="AD10" s="182"/>
      <c r="AE10" s="242"/>
    </row>
    <row r="11" spans="1:31" ht="26.25" customHeight="1">
      <c r="A11" s="254">
        <f>+'20'!A11</f>
        <v>2011</v>
      </c>
      <c r="B11" s="202">
        <v>1068</v>
      </c>
      <c r="C11" s="267">
        <f>+B11/'18'!B11*1000</f>
        <v>4.2912419288087786</v>
      </c>
      <c r="D11" s="256">
        <v>87</v>
      </c>
      <c r="E11" s="267">
        <f>+D11/'18'!D11*1000</f>
        <v>3.6718156495315268</v>
      </c>
      <c r="F11" s="202">
        <f t="shared" ref="F11:F19" si="0">+J11+L11+N11+P11+T11+V11+X11+Z11+AB11+AD11</f>
        <v>19</v>
      </c>
      <c r="G11" s="267">
        <f>+F11/'18'!F11*1000</f>
        <v>5.1379123850730126</v>
      </c>
      <c r="H11" s="275">
        <f t="shared" ref="H11:H19" si="1">+J11+L11+N11+P11</f>
        <v>8</v>
      </c>
      <c r="I11" s="267">
        <f>+H11/'18'!H11*1000</f>
        <v>5.2945069490403709</v>
      </c>
      <c r="J11" s="202">
        <v>4</v>
      </c>
      <c r="K11" s="267">
        <f>+J11/'18'!J11*1000</f>
        <v>4.1279669762641893</v>
      </c>
      <c r="L11" s="256">
        <v>3</v>
      </c>
      <c r="M11" s="267">
        <f>+L11/'18'!L11*1000</f>
        <v>12.931034482758621</v>
      </c>
      <c r="N11" s="256">
        <v>0</v>
      </c>
      <c r="O11" s="267">
        <f>+N11/'18'!N11*1000</f>
        <v>0</v>
      </c>
      <c r="P11" s="256">
        <v>1</v>
      </c>
      <c r="Q11" s="267">
        <f>+P11/'18'!P11*1000</f>
        <v>6.9930069930069934</v>
      </c>
      <c r="R11" s="202">
        <f t="shared" ref="R11:R19" si="2">+T11+V11+X11+Z11+AB11+AD11</f>
        <v>11</v>
      </c>
      <c r="S11" s="259">
        <f>+R11/'18'!R11*1000</f>
        <v>5.0297210791037958</v>
      </c>
      <c r="T11" s="202">
        <v>6</v>
      </c>
      <c r="U11" s="267">
        <f>+T11/'18'!T11*1000</f>
        <v>5.3571428571428568</v>
      </c>
      <c r="V11" s="256">
        <v>2</v>
      </c>
      <c r="W11" s="267">
        <f>+V11/'18'!V11*1000</f>
        <v>9.3896713615023479</v>
      </c>
      <c r="X11" s="256">
        <v>1</v>
      </c>
      <c r="Y11" s="267">
        <f>+X11/'18'!X11*1000</f>
        <v>3.9682539682539679</v>
      </c>
      <c r="Z11" s="256">
        <v>0</v>
      </c>
      <c r="AA11" s="267">
        <f>+Z11/'18'!Z11*1000</f>
        <v>0</v>
      </c>
      <c r="AB11" s="256">
        <v>2</v>
      </c>
      <c r="AC11" s="267">
        <f>+AB11/'18'!AB11*1000</f>
        <v>6.1728395061728394</v>
      </c>
      <c r="AD11" s="256">
        <v>0</v>
      </c>
      <c r="AE11" s="259">
        <f>+AD11/'18'!AD11*1000</f>
        <v>0</v>
      </c>
    </row>
    <row r="12" spans="1:31" ht="26.25" customHeight="1">
      <c r="A12" s="254">
        <f>+'20'!A12</f>
        <v>2012</v>
      </c>
      <c r="B12" s="202">
        <v>1034</v>
      </c>
      <c r="C12" s="267">
        <f>+B12/'18'!B12*1000</f>
        <v>4.2401725594403308</v>
      </c>
      <c r="D12" s="256">
        <v>100</v>
      </c>
      <c r="E12" s="267">
        <f>+D12/'18'!D12*1000</f>
        <v>4.2338795037893222</v>
      </c>
      <c r="F12" s="202">
        <f t="shared" si="0"/>
        <v>18</v>
      </c>
      <c r="G12" s="267">
        <f>+F12/'18'!F12*1000</f>
        <v>4.7244094488188972</v>
      </c>
      <c r="H12" s="275">
        <f t="shared" si="1"/>
        <v>8</v>
      </c>
      <c r="I12" s="267">
        <f>+H12/'18'!H12*1000</f>
        <v>5.1880674448767836</v>
      </c>
      <c r="J12" s="202">
        <v>7</v>
      </c>
      <c r="K12" s="267">
        <f>+J12/'18'!J12*1000</f>
        <v>7.3145245559038665</v>
      </c>
      <c r="L12" s="256">
        <v>0</v>
      </c>
      <c r="M12" s="267">
        <f>+L12/'18'!L12*1000</f>
        <v>0</v>
      </c>
      <c r="N12" s="256">
        <v>1</v>
      </c>
      <c r="O12" s="267">
        <f>+N12/'18'!N12*1000</f>
        <v>5.208333333333333</v>
      </c>
      <c r="P12" s="256">
        <v>0</v>
      </c>
      <c r="Q12" s="267">
        <f>+P12/'18'!P12*1000</f>
        <v>0</v>
      </c>
      <c r="R12" s="202">
        <f t="shared" si="2"/>
        <v>10</v>
      </c>
      <c r="S12" s="259">
        <f>+R12/'18'!R12*1000</f>
        <v>4.409171075837742</v>
      </c>
      <c r="T12" s="202">
        <v>8</v>
      </c>
      <c r="U12" s="267">
        <f>+T12/'18'!T12*1000</f>
        <v>6.6390041493775929</v>
      </c>
      <c r="V12" s="256">
        <v>1</v>
      </c>
      <c r="W12" s="267">
        <f>+V12/'18'!V12*1000</f>
        <v>4.9504950495049505</v>
      </c>
      <c r="X12" s="256">
        <v>1</v>
      </c>
      <c r="Y12" s="267">
        <f>+X12/'18'!X12*1000</f>
        <v>5.0505050505050511</v>
      </c>
      <c r="Z12" s="256">
        <v>0</v>
      </c>
      <c r="AA12" s="267">
        <f>+Z12/'18'!Z12*1000</f>
        <v>0</v>
      </c>
      <c r="AB12" s="256">
        <v>0</v>
      </c>
      <c r="AC12" s="267">
        <f>+AB12/'18'!AB12*1000</f>
        <v>0</v>
      </c>
      <c r="AD12" s="256">
        <v>0</v>
      </c>
      <c r="AE12" s="259">
        <f>+AD12/'18'!AD12*1000</f>
        <v>0</v>
      </c>
    </row>
    <row r="13" spans="1:31" ht="26.25" customHeight="1">
      <c r="A13" s="254">
        <f>+'20'!A13</f>
        <v>2013</v>
      </c>
      <c r="B13" s="202">
        <v>1014</v>
      </c>
      <c r="C13" s="267">
        <f>+B13/'18'!B13*1000</f>
        <v>4.1899960744612716</v>
      </c>
      <c r="D13" s="256">
        <v>93</v>
      </c>
      <c r="E13" s="267">
        <f>+D13/'18'!D13*1000</f>
        <v>4.0212738357763653</v>
      </c>
      <c r="F13" s="202">
        <f t="shared" si="0"/>
        <v>11</v>
      </c>
      <c r="G13" s="267">
        <f>+F13/'18'!F13*1000</f>
        <v>2.9593758407317732</v>
      </c>
      <c r="H13" s="275">
        <f t="shared" si="1"/>
        <v>5</v>
      </c>
      <c r="I13" s="267">
        <f>+H13/'18'!H13*1000</f>
        <v>3.2637075718015662</v>
      </c>
      <c r="J13" s="202">
        <v>4</v>
      </c>
      <c r="K13" s="267">
        <f>+J13/'18'!J13*1000</f>
        <v>4.2060988433228177</v>
      </c>
      <c r="L13" s="256">
        <v>1</v>
      </c>
      <c r="M13" s="267">
        <f>+L13/'18'!L13*1000</f>
        <v>3.7037037037037037</v>
      </c>
      <c r="N13" s="256">
        <v>0</v>
      </c>
      <c r="O13" s="267">
        <f>+N13/'18'!N13*1000</f>
        <v>0</v>
      </c>
      <c r="P13" s="256">
        <v>0</v>
      </c>
      <c r="Q13" s="267">
        <f>+P13/'18'!P13*1000</f>
        <v>0</v>
      </c>
      <c r="R13" s="202">
        <f t="shared" si="2"/>
        <v>6</v>
      </c>
      <c r="S13" s="259">
        <f>+R13/'18'!R13*1000</f>
        <v>2.7459954233409611</v>
      </c>
      <c r="T13" s="202">
        <v>3</v>
      </c>
      <c r="U13" s="267">
        <f>+T13/'18'!T13*1000</f>
        <v>2.7075812274368229</v>
      </c>
      <c r="V13" s="256">
        <v>1</v>
      </c>
      <c r="W13" s="267">
        <f>+V13/'18'!V13*1000</f>
        <v>4.8076923076923084</v>
      </c>
      <c r="X13" s="256">
        <v>0</v>
      </c>
      <c r="Y13" s="267">
        <f>+X13/'18'!X13*1000</f>
        <v>0</v>
      </c>
      <c r="Z13" s="256">
        <v>1</v>
      </c>
      <c r="AA13" s="267">
        <f>+Z13/'18'!Z13*1000</f>
        <v>11.363636363636363</v>
      </c>
      <c r="AB13" s="256">
        <v>1</v>
      </c>
      <c r="AC13" s="267">
        <f>+AB13/'18'!AB13*1000</f>
        <v>2.6666666666666665</v>
      </c>
      <c r="AD13" s="256">
        <v>0</v>
      </c>
      <c r="AE13" s="259">
        <f>+AD13/'18'!AD13*1000</f>
        <v>0</v>
      </c>
    </row>
    <row r="14" spans="1:31" ht="26.25" customHeight="1">
      <c r="A14" s="254">
        <f>+'20'!A14</f>
        <v>2014</v>
      </c>
      <c r="B14" s="202">
        <v>1034</v>
      </c>
      <c r="C14" s="267">
        <f>+B14/'18'!B14*1000</f>
        <v>4.2401725594403308</v>
      </c>
      <c r="D14" s="256">
        <v>65</v>
      </c>
      <c r="E14" s="267">
        <f>+D14/'18'!D14*1000</f>
        <v>2.6808545739503424</v>
      </c>
      <c r="F14" s="202">
        <f t="shared" si="0"/>
        <v>13</v>
      </c>
      <c r="G14" s="267">
        <f>+F14/'18'!F14*1000</f>
        <v>3.4638955502264852</v>
      </c>
      <c r="H14" s="275">
        <f t="shared" si="1"/>
        <v>2</v>
      </c>
      <c r="I14" s="267">
        <f>+H14/'18'!H14*1000</f>
        <v>1.2812299807815501</v>
      </c>
      <c r="J14" s="202">
        <v>0</v>
      </c>
      <c r="K14" s="267">
        <f>+J14/'18'!J14*1000</f>
        <v>0</v>
      </c>
      <c r="L14" s="256">
        <v>1</v>
      </c>
      <c r="M14" s="267">
        <f>+L14/'18'!L14*1000</f>
        <v>3.9370078740157481</v>
      </c>
      <c r="N14" s="256">
        <v>0</v>
      </c>
      <c r="O14" s="267">
        <f>+N14/'18'!N14*1000</f>
        <v>0</v>
      </c>
      <c r="P14" s="256">
        <v>1</v>
      </c>
      <c r="Q14" s="267">
        <f>+P14/'18'!P14*1000</f>
        <v>7.5757575757575761</v>
      </c>
      <c r="R14" s="202">
        <f t="shared" si="2"/>
        <v>11</v>
      </c>
      <c r="S14" s="259">
        <f>+R14/'18'!R14*1000</f>
        <v>5.0182481751824817</v>
      </c>
      <c r="T14" s="202">
        <v>7</v>
      </c>
      <c r="U14" s="267">
        <f>+T14/'18'!T14*1000</f>
        <v>6.3578564940962767</v>
      </c>
      <c r="V14" s="256">
        <v>2</v>
      </c>
      <c r="W14" s="267">
        <f>+V14/'18'!V14*1000</f>
        <v>10.309278350515465</v>
      </c>
      <c r="X14" s="256">
        <v>0</v>
      </c>
      <c r="Y14" s="267">
        <f>+X14/'18'!X14*1000</f>
        <v>0</v>
      </c>
      <c r="Z14" s="256">
        <v>1</v>
      </c>
      <c r="AA14" s="267">
        <f>+Z14/'18'!Z14*1000</f>
        <v>8.695652173913043</v>
      </c>
      <c r="AB14" s="256">
        <v>1</v>
      </c>
      <c r="AC14" s="267">
        <f>+AB14/'18'!AB14*1000</f>
        <v>2.5510204081632653</v>
      </c>
      <c r="AD14" s="256">
        <v>0</v>
      </c>
      <c r="AE14" s="259">
        <f>+AD14/'18'!AD14*1000</f>
        <v>0</v>
      </c>
    </row>
    <row r="15" spans="1:31" ht="26.25" customHeight="1">
      <c r="A15" s="254">
        <f>+'20'!A15</f>
        <v>2015</v>
      </c>
      <c r="B15" s="202">
        <v>989</v>
      </c>
      <c r="C15" s="267">
        <f>+B15/'18'!B15*1000</f>
        <v>4.042179261862918</v>
      </c>
      <c r="D15" s="256">
        <v>64</v>
      </c>
      <c r="E15" s="267">
        <f>+D15/'18'!D15*1000</f>
        <v>2.7120942452750234</v>
      </c>
      <c r="F15" s="202">
        <f t="shared" si="0"/>
        <v>13</v>
      </c>
      <c r="G15" s="267">
        <f>+F15/'18'!F15*1000</f>
        <v>3.3687483804094325</v>
      </c>
      <c r="H15" s="275">
        <f t="shared" si="1"/>
        <v>3</v>
      </c>
      <c r="I15" s="267">
        <f>+H15/'18'!H15*1000</f>
        <v>1.9011406844106464</v>
      </c>
      <c r="J15" s="202">
        <v>2</v>
      </c>
      <c r="K15" s="267">
        <f>+J15/'18'!J15*1000</f>
        <v>2.0639834881320946</v>
      </c>
      <c r="L15" s="256">
        <v>1</v>
      </c>
      <c r="M15" s="267">
        <f>+L15/'18'!L15*1000</f>
        <v>4.1493775933609962</v>
      </c>
      <c r="N15" s="256">
        <v>0</v>
      </c>
      <c r="O15" s="267">
        <f>+N15/'18'!N15*1000</f>
        <v>0</v>
      </c>
      <c r="P15" s="256">
        <v>0</v>
      </c>
      <c r="Q15" s="267">
        <f>+P15/'18'!P15*1000</f>
        <v>0</v>
      </c>
      <c r="R15" s="202">
        <f t="shared" si="2"/>
        <v>10</v>
      </c>
      <c r="S15" s="259">
        <f>+R15/'18'!R15*1000</f>
        <v>4.3840420868040333</v>
      </c>
      <c r="T15" s="202">
        <v>7</v>
      </c>
      <c r="U15" s="267">
        <f>+T15/'18'!T15*1000</f>
        <v>5.8873002523128681</v>
      </c>
      <c r="V15" s="256">
        <v>1</v>
      </c>
      <c r="W15" s="267">
        <f>+V15/'18'!V15*1000</f>
        <v>4.4843049327354256</v>
      </c>
      <c r="X15" s="256">
        <v>2</v>
      </c>
      <c r="Y15" s="267">
        <f>+X15/'18'!X15*1000</f>
        <v>9.0090090090090094</v>
      </c>
      <c r="Z15" s="256">
        <v>0</v>
      </c>
      <c r="AA15" s="267">
        <f>+Z15/'18'!Z15*1000</f>
        <v>0</v>
      </c>
      <c r="AB15" s="256">
        <v>0</v>
      </c>
      <c r="AC15" s="267">
        <f>+AB15/'18'!AB15*1000</f>
        <v>0</v>
      </c>
      <c r="AD15" s="256">
        <v>0</v>
      </c>
      <c r="AE15" s="259">
        <f>+AD15/'18'!AD15*1000</f>
        <v>0</v>
      </c>
    </row>
    <row r="16" spans="1:31" ht="26.25" customHeight="1">
      <c r="A16" s="254">
        <f>+'20'!A16</f>
        <v>2016</v>
      </c>
      <c r="B16" s="202">
        <v>941</v>
      </c>
      <c r="C16" s="267">
        <f>+B16/'18'!B16*1000</f>
        <v>4.0762399826727309</v>
      </c>
      <c r="D16" s="256">
        <v>69</v>
      </c>
      <c r="E16" s="267">
        <f>+D16/'18'!D16*1000</f>
        <v>3.8553947588981394</v>
      </c>
      <c r="F16" s="202">
        <f t="shared" si="0"/>
        <v>8</v>
      </c>
      <c r="G16" s="267">
        <f>+F16/'18'!F16*1000</f>
        <v>2.4308720753570343</v>
      </c>
      <c r="H16" s="275">
        <f t="shared" si="1"/>
        <v>3</v>
      </c>
      <c r="I16" s="267">
        <f>+H16/'18'!H16*1000</f>
        <v>2.210759027266028</v>
      </c>
      <c r="J16" s="202"/>
      <c r="K16" s="267">
        <f>+J16/'18'!J16*1000</f>
        <v>0</v>
      </c>
      <c r="L16" s="256"/>
      <c r="M16" s="267">
        <f>+L16/'18'!L16*1000</f>
        <v>0</v>
      </c>
      <c r="N16" s="256">
        <v>1</v>
      </c>
      <c r="O16" s="267">
        <f>+N16/'18'!N16*1000</f>
        <v>5.2631578947368416</v>
      </c>
      <c r="P16" s="256">
        <v>2</v>
      </c>
      <c r="Q16" s="267">
        <f>+P16/'18'!P16*1000</f>
        <v>17.241379310344826</v>
      </c>
      <c r="R16" s="202">
        <f t="shared" si="2"/>
        <v>5</v>
      </c>
      <c r="S16" s="259">
        <f>+R16/'18'!R16*1000</f>
        <v>2.5853154084798344</v>
      </c>
      <c r="T16" s="202">
        <v>3</v>
      </c>
      <c r="U16" s="267">
        <f>+T16/'18'!T16*1000</f>
        <v>2.8846153846153846</v>
      </c>
      <c r="V16" s="256">
        <v>1</v>
      </c>
      <c r="W16" s="267">
        <f>+V16/'18'!V16*1000</f>
        <v>5.6497175141242941</v>
      </c>
      <c r="X16" s="256">
        <v>0</v>
      </c>
      <c r="Y16" s="267">
        <f>+X16/'18'!X16*1000</f>
        <v>0</v>
      </c>
      <c r="Z16" s="256"/>
      <c r="AA16" s="267">
        <f>+Z16/'18'!Z16*1000</f>
        <v>0</v>
      </c>
      <c r="AB16" s="256">
        <v>1</v>
      </c>
      <c r="AC16" s="267">
        <f>+AB16/'18'!AB16*1000</f>
        <v>3.5971223021582737</v>
      </c>
      <c r="AD16" s="256"/>
      <c r="AE16" s="259">
        <f>+AD16/'18'!AD16*1000</f>
        <v>0</v>
      </c>
    </row>
    <row r="17" spans="1:31" ht="26.25" customHeight="1">
      <c r="A17" s="254">
        <f>+'20'!A17</f>
        <v>2017</v>
      </c>
      <c r="B17" s="202">
        <v>700</v>
      </c>
      <c r="C17" s="267">
        <f>+B17/'18'!B17*1000</f>
        <v>3.1914942119972824</v>
      </c>
      <c r="D17" s="256">
        <v>71</v>
      </c>
      <c r="E17" s="267">
        <f>+D17/'18'!D17*1000</f>
        <v>3.4918605223036443</v>
      </c>
      <c r="F17" s="202">
        <f t="shared" si="0"/>
        <v>4</v>
      </c>
      <c r="G17" s="267">
        <f>+F17/'18'!F17*1000</f>
        <v>1.3427324605572339</v>
      </c>
      <c r="H17" s="275">
        <f t="shared" si="1"/>
        <v>1</v>
      </c>
      <c r="I17" s="267">
        <f>+H17/'18'!H17*1000</f>
        <v>0.8347245409015025</v>
      </c>
      <c r="J17" s="202">
        <v>1</v>
      </c>
      <c r="K17" s="267">
        <f>+J17/'18'!J17*1000</f>
        <v>1.3947001394700138</v>
      </c>
      <c r="L17" s="256"/>
      <c r="M17" s="267">
        <f>+L17/'18'!L17*1000</f>
        <v>0</v>
      </c>
      <c r="N17" s="256"/>
      <c r="O17" s="267">
        <f>+N17/'18'!N17*1000</f>
        <v>0</v>
      </c>
      <c r="P17" s="256"/>
      <c r="Q17" s="267">
        <f>+P17/'18'!P17*1000</f>
        <v>0</v>
      </c>
      <c r="R17" s="202">
        <f t="shared" si="2"/>
        <v>3</v>
      </c>
      <c r="S17" s="259">
        <f>+R17/'18'!R17*1000</f>
        <v>1.6844469399213924</v>
      </c>
      <c r="T17" s="202">
        <v>1</v>
      </c>
      <c r="U17" s="267">
        <f>+T17/'18'!T17*1000</f>
        <v>1.0526315789473684</v>
      </c>
      <c r="V17" s="256"/>
      <c r="W17" s="267">
        <f>+V17/'18'!V17*1000</f>
        <v>0</v>
      </c>
      <c r="X17" s="256">
        <v>0</v>
      </c>
      <c r="Y17" s="267">
        <f>+X17/'18'!X17*1000</f>
        <v>0</v>
      </c>
      <c r="Z17" s="256"/>
      <c r="AA17" s="267">
        <f>+Z17/'18'!Z17*1000</f>
        <v>0</v>
      </c>
      <c r="AB17" s="256">
        <v>1</v>
      </c>
      <c r="AC17" s="267">
        <f>+AB17/'18'!AB17*1000</f>
        <v>3.4364261168384878</v>
      </c>
      <c r="AD17" s="256">
        <v>1</v>
      </c>
      <c r="AE17" s="259">
        <f>+AD17/'18'!AD17*1000</f>
        <v>6.369426751592357</v>
      </c>
    </row>
    <row r="18" spans="1:31" ht="26.25" customHeight="1">
      <c r="A18" s="254">
        <f>+'20'!A18</f>
        <v>2018</v>
      </c>
      <c r="B18" s="202">
        <v>590</v>
      </c>
      <c r="C18" s="267">
        <f>+B18/'18'!B18*1000</f>
        <v>2.6899736929691382</v>
      </c>
      <c r="D18" s="256">
        <v>56</v>
      </c>
      <c r="E18" s="267">
        <f>+D18/'18'!D18*1000</f>
        <v>2.7541435105493535</v>
      </c>
      <c r="F18" s="202">
        <f t="shared" si="0"/>
        <v>10</v>
      </c>
      <c r="G18" s="267">
        <f>+F18/'18'!F18*1000</f>
        <v>3.2133676092544987</v>
      </c>
      <c r="H18" s="275">
        <f t="shared" si="1"/>
        <v>7</v>
      </c>
      <c r="I18" s="267">
        <f>+H18/'18'!H18*1000</f>
        <v>6.0922541340295915</v>
      </c>
      <c r="J18" s="202">
        <v>5</v>
      </c>
      <c r="K18" s="267">
        <f>+J18/'18'!J18*1000</f>
        <v>6.9735006973500697</v>
      </c>
      <c r="L18" s="256">
        <v>1</v>
      </c>
      <c r="M18" s="267">
        <f>+L18/'18'!L18*1000</f>
        <v>5.8479532163742682</v>
      </c>
      <c r="N18" s="256">
        <v>1</v>
      </c>
      <c r="O18" s="267">
        <f>+N18/'18'!N18*1000</f>
        <v>7.1942446043165473</v>
      </c>
      <c r="P18" s="256"/>
      <c r="Q18" s="267">
        <f>+P18/'18'!P18*1000</f>
        <v>0</v>
      </c>
      <c r="R18" s="202">
        <f t="shared" si="2"/>
        <v>3</v>
      </c>
      <c r="S18" s="259">
        <f>+R18/'18'!R18*1000</f>
        <v>1.5282730514518594</v>
      </c>
      <c r="T18" s="202">
        <v>0</v>
      </c>
      <c r="U18" s="267">
        <f>+T18/'18'!T18*1000</f>
        <v>0</v>
      </c>
      <c r="V18" s="256">
        <v>1</v>
      </c>
      <c r="W18" s="267">
        <f>+V18/'18'!V18*1000</f>
        <v>4.6296296296296298</v>
      </c>
      <c r="X18" s="256">
        <v>1</v>
      </c>
      <c r="Y18" s="267">
        <f>+X18/'18'!X18*1000</f>
        <v>6.1728395061728394</v>
      </c>
      <c r="Z18" s="256"/>
      <c r="AA18" s="267">
        <f>+Z18/'18'!Z18*1000</f>
        <v>0</v>
      </c>
      <c r="AB18" s="256">
        <v>1</v>
      </c>
      <c r="AC18" s="267">
        <f>+AB18/'18'!AB18*1000</f>
        <v>3.3444816053511706</v>
      </c>
      <c r="AD18" s="256"/>
      <c r="AE18" s="259">
        <f>+AD18/'18'!AD18*1000</f>
        <v>0</v>
      </c>
    </row>
    <row r="19" spans="1:31" ht="26.25" customHeight="1">
      <c r="A19" s="254">
        <f>+'20'!A19</f>
        <v>2019</v>
      </c>
      <c r="B19" s="202">
        <v>618</v>
      </c>
      <c r="C19" s="267">
        <f>+B19/'18'!B19*1000</f>
        <v>2.9610038665535927</v>
      </c>
      <c r="D19" s="256">
        <v>66</v>
      </c>
      <c r="E19" s="267">
        <f>+D19/'18'!D19*1000</f>
        <v>3.3961099104661931</v>
      </c>
      <c r="F19" s="202">
        <f t="shared" si="0"/>
        <v>9</v>
      </c>
      <c r="G19" s="267">
        <f>+F19/'18'!F19*1000</f>
        <v>2.9004189494038028</v>
      </c>
      <c r="H19" s="275">
        <f t="shared" si="1"/>
        <v>1</v>
      </c>
      <c r="I19" s="267">
        <f>+H19/'18'!H19*1000</f>
        <v>0.8347245409015025</v>
      </c>
      <c r="J19" s="202"/>
      <c r="K19" s="267">
        <f>+J19/'18'!J19*1000</f>
        <v>0</v>
      </c>
      <c r="L19" s="256">
        <v>1</v>
      </c>
      <c r="M19" s="267">
        <f>+L19/'18'!L19*1000</f>
        <v>5.3191489361702127</v>
      </c>
      <c r="N19" s="256"/>
      <c r="O19" s="267">
        <f>+N19/'18'!N19*1000</f>
        <v>0</v>
      </c>
      <c r="P19" s="256"/>
      <c r="Q19" s="267">
        <f>+P19/'18'!P19*1000</f>
        <v>0</v>
      </c>
      <c r="R19" s="202">
        <f t="shared" si="2"/>
        <v>8</v>
      </c>
      <c r="S19" s="259">
        <f>+R19/'18'!R19*1000</f>
        <v>4.1994750656167978</v>
      </c>
      <c r="T19" s="202">
        <v>4</v>
      </c>
      <c r="U19" s="267">
        <f>+T19/'18'!T19*1000</f>
        <v>3.8424591738712777</v>
      </c>
      <c r="V19" s="256"/>
      <c r="W19" s="267">
        <f>+V19/'18'!V19*1000</f>
        <v>0</v>
      </c>
      <c r="X19" s="256"/>
      <c r="Y19" s="267">
        <f>+X19/'18'!X19*1000</f>
        <v>0</v>
      </c>
      <c r="Z19" s="256">
        <v>1</v>
      </c>
      <c r="AA19" s="267">
        <f>+Z19/'18'!Z19*1000</f>
        <v>13.698630136986301</v>
      </c>
      <c r="AB19" s="256"/>
      <c r="AC19" s="267">
        <f>+AB19/'18'!AB19*1000</f>
        <v>0</v>
      </c>
      <c r="AD19" s="256">
        <v>3</v>
      </c>
      <c r="AE19" s="259">
        <f>+AD19/'18'!AD19*1000</f>
        <v>18.518518518518519</v>
      </c>
    </row>
    <row r="20" spans="1:31" ht="26.25" customHeight="1">
      <c r="A20" s="254">
        <f>+'20'!A20</f>
        <v>2020</v>
      </c>
      <c r="B20" s="202"/>
      <c r="C20" s="267"/>
      <c r="D20" s="256"/>
      <c r="E20" s="267"/>
      <c r="F20" s="202">
        <f t="shared" ref="F20" si="3">+J20+L20+N20+P20+T20+V20+X20+Z20+AB20+AD20</f>
        <v>12</v>
      </c>
      <c r="G20" s="267">
        <f>+F20/'18'!F20*1000</f>
        <v>4.5977011494252871</v>
      </c>
      <c r="H20" s="275">
        <f t="shared" ref="H20" si="4">+J20+L20+N20+P20</f>
        <v>5</v>
      </c>
      <c r="I20" s="267">
        <f>+H20/'18'!H20*1000</f>
        <v>5.1229508196721305</v>
      </c>
      <c r="J20" s="202">
        <v>5</v>
      </c>
      <c r="K20" s="267">
        <f>+J20/'18'!J20*1000</f>
        <v>8.4745762711864412</v>
      </c>
      <c r="L20" s="256"/>
      <c r="M20" s="267">
        <f>+L20/'18'!L20*1000</f>
        <v>0</v>
      </c>
      <c r="N20" s="256"/>
      <c r="O20" s="267">
        <f>+N20/'18'!N20*1000</f>
        <v>0</v>
      </c>
      <c r="P20" s="256"/>
      <c r="Q20" s="267">
        <f>+P20/'18'!P20*1000</f>
        <v>0</v>
      </c>
      <c r="R20" s="202">
        <f t="shared" ref="R20" si="5">+T20+V20+X20+Z20+AB20+AD20</f>
        <v>7</v>
      </c>
      <c r="S20" s="259">
        <f>+R20/'18'!R20*1000</f>
        <v>4.2839657282741737</v>
      </c>
      <c r="T20" s="202">
        <v>5</v>
      </c>
      <c r="U20" s="267">
        <f>+T20/'18'!T20*1000</f>
        <v>5.7471264367816088</v>
      </c>
      <c r="V20" s="256">
        <v>1</v>
      </c>
      <c r="W20" s="267">
        <f>+V20/'18'!V20*1000</f>
        <v>5.6818181818181817</v>
      </c>
      <c r="X20" s="256"/>
      <c r="Y20" s="267">
        <f>+X20/'18'!X20*1000</f>
        <v>0</v>
      </c>
      <c r="Z20" s="256"/>
      <c r="AA20" s="267">
        <f>+Z20/'18'!Z20*1000</f>
        <v>0</v>
      </c>
      <c r="AB20" s="256">
        <v>1</v>
      </c>
      <c r="AC20" s="267">
        <f>+AB20/'18'!AB20*1000</f>
        <v>3.8314176245210727</v>
      </c>
      <c r="AD20" s="256"/>
      <c r="AE20" s="259">
        <f>+AD20/'18'!AD20*1000</f>
        <v>0</v>
      </c>
    </row>
    <row r="21" spans="1:31" ht="18.75" customHeight="1">
      <c r="A21" s="260"/>
      <c r="B21" s="276"/>
      <c r="C21" s="277"/>
      <c r="D21" s="276"/>
      <c r="E21" s="261"/>
      <c r="F21" s="208"/>
      <c r="G21" s="261"/>
      <c r="H21" s="262"/>
      <c r="I21" s="262"/>
      <c r="J21" s="205"/>
      <c r="K21" s="261"/>
      <c r="L21" s="205"/>
      <c r="M21" s="277"/>
      <c r="N21" s="205"/>
      <c r="O21" s="261"/>
      <c r="P21" s="205"/>
      <c r="Q21" s="262"/>
      <c r="R21" s="205"/>
      <c r="S21" s="261"/>
      <c r="T21" s="276"/>
      <c r="U21" s="261"/>
      <c r="V21" s="205"/>
      <c r="W21" s="277"/>
      <c r="X21" s="205"/>
      <c r="Y21" s="261"/>
      <c r="Z21" s="205"/>
      <c r="AA21" s="261"/>
      <c r="AB21" s="205"/>
      <c r="AC21" s="278"/>
      <c r="AD21" s="205"/>
      <c r="AE21" s="261"/>
    </row>
    <row r="22" spans="1:31">
      <c r="A22" s="1"/>
      <c r="B22" s="1"/>
      <c r="C22" s="1"/>
      <c r="D22" s="1"/>
      <c r="E22" s="1"/>
      <c r="F22" s="1"/>
      <c r="G22" s="1"/>
      <c r="H22" s="1"/>
      <c r="I22" s="1"/>
      <c r="J22" s="1"/>
      <c r="K22" s="1"/>
      <c r="L22" s="1"/>
      <c r="M22" s="1"/>
      <c r="N22" s="1"/>
      <c r="O22" s="1"/>
      <c r="P22" s="1"/>
      <c r="Q22" s="1"/>
      <c r="R22" s="1"/>
      <c r="S22" s="1"/>
      <c r="T22" s="1"/>
      <c r="U22" s="1062"/>
      <c r="V22" s="1"/>
      <c r="W22" s="1"/>
      <c r="X22" s="1"/>
      <c r="Y22" s="1"/>
      <c r="Z22" s="1"/>
      <c r="AA22" s="1"/>
      <c r="AB22" s="1"/>
      <c r="AC22" s="1"/>
      <c r="AD22" s="1"/>
      <c r="AE22" s="1"/>
    </row>
    <row r="23" spans="1:31">
      <c r="A23" s="1"/>
      <c r="B23" s="216" t="str">
        <f>+'18'!B22</f>
        <v>AÑO   2020  :   DATOS POR RESIDENCIA</v>
      </c>
      <c r="C23" s="263"/>
      <c r="D23" s="263"/>
      <c r="E23" s="263"/>
      <c r="F23" s="263"/>
      <c r="G23" s="167"/>
      <c r="H23" s="167"/>
      <c r="I23" s="167"/>
      <c r="J23" s="167"/>
      <c r="K23" s="1"/>
      <c r="L23" s="1"/>
      <c r="M23" s="1"/>
      <c r="N23" s="1"/>
      <c r="O23" s="1"/>
      <c r="P23" s="1"/>
      <c r="Q23" s="1"/>
      <c r="R23" s="1"/>
      <c r="S23" s="1"/>
      <c r="T23" s="1"/>
      <c r="U23" s="1"/>
      <c r="V23" s="1"/>
      <c r="W23" s="1"/>
      <c r="X23" s="1"/>
      <c r="Y23" s="1"/>
      <c r="Z23" s="1"/>
      <c r="AA23" s="1"/>
      <c r="AB23" s="1"/>
      <c r="AC23" s="1"/>
      <c r="AD23" s="1"/>
      <c r="AE23" s="1"/>
    </row>
    <row r="24" spans="1:31">
      <c r="A24" s="1"/>
      <c r="B24" s="212"/>
      <c r="C24" s="216" t="s">
        <v>669</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0" zoomScaleNormal="100" workbookViewId="0">
      <selection activeCell="AE11" sqref="AE11"/>
    </sheetView>
  </sheetViews>
  <sheetFormatPr baseColWidth="10" defaultRowHeight="13.2"/>
  <cols>
    <col min="1" max="1" width="6.21875" customWidth="1"/>
    <col min="2" max="3" width="5.44140625" customWidth="1"/>
    <col min="4" max="4" width="5" customWidth="1"/>
    <col min="5" max="6" width="5.77734375" customWidth="1"/>
    <col min="7" max="7" width="5.44140625" customWidth="1"/>
    <col min="8" max="9" width="5.77734375" customWidth="1"/>
    <col min="10" max="10" width="4.21875" customWidth="1"/>
    <col min="11" max="11" width="5.77734375" customWidth="1"/>
    <col min="12" max="12" width="4" customWidth="1"/>
    <col min="13" max="13" width="5.77734375" customWidth="1"/>
    <col min="14" max="14" width="3.77734375" customWidth="1"/>
    <col min="15" max="15" width="5.77734375" customWidth="1"/>
    <col min="16" max="16" width="4.21875" customWidth="1"/>
    <col min="17" max="17" width="5.77734375" customWidth="1"/>
    <col min="18" max="18" width="5" customWidth="1"/>
    <col min="19" max="19" width="4.77734375" customWidth="1"/>
    <col min="20" max="20" width="4" customWidth="1"/>
    <col min="21" max="21" width="5.77734375" customWidth="1"/>
    <col min="22" max="22" width="4" customWidth="1"/>
    <col min="23" max="23" width="5.77734375" customWidth="1"/>
    <col min="24" max="24" width="3.77734375" customWidth="1"/>
    <col min="25" max="25" width="5.77734375" customWidth="1"/>
    <col min="26" max="26" width="4.44140625" customWidth="1"/>
    <col min="27" max="27" width="5.77734375" customWidth="1"/>
    <col min="28" max="28" width="4.44140625" customWidth="1"/>
    <col min="29" max="29" width="5.77734375" customWidth="1"/>
    <col min="30" max="30" width="4.5546875" customWidth="1"/>
    <col min="31" max="31" width="5.77734375" customWidth="1"/>
  </cols>
  <sheetData>
    <row r="1" spans="1:31">
      <c r="A1" s="144" t="s">
        <v>670</v>
      </c>
      <c r="B1" s="144"/>
      <c r="C1" s="144"/>
      <c r="D1" s="144"/>
      <c r="E1" s="144"/>
      <c r="F1" s="144"/>
      <c r="G1" s="144"/>
      <c r="H1" s="144"/>
      <c r="I1" s="144"/>
      <c r="J1" s="144"/>
      <c r="K1" s="144"/>
      <c r="L1" s="144"/>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13"/>
      <c r="N2" s="113"/>
      <c r="O2" s="113"/>
      <c r="P2" s="113"/>
      <c r="Q2" s="113"/>
      <c r="R2" s="113"/>
      <c r="S2" s="113"/>
      <c r="T2" s="113"/>
      <c r="U2" s="113"/>
      <c r="V2" s="113"/>
      <c r="W2" s="113"/>
      <c r="X2" s="113"/>
      <c r="Y2" s="113"/>
      <c r="Z2" s="113"/>
      <c r="AA2" s="113"/>
      <c r="AB2" s="113"/>
      <c r="AC2" s="113"/>
      <c r="AD2" s="113"/>
      <c r="AE2" s="113"/>
    </row>
    <row r="3" spans="1:31">
      <c r="A3" s="144" t="str">
        <f>+'21'!A3</f>
        <v>AÑOS   2011  - 2020</v>
      </c>
      <c r="B3" s="144"/>
      <c r="C3" s="144"/>
      <c r="D3" s="144"/>
      <c r="E3" s="144"/>
      <c r="F3" s="144"/>
      <c r="G3" s="144"/>
      <c r="H3" s="144"/>
      <c r="I3" s="144"/>
      <c r="J3" s="144"/>
      <c r="K3" s="144"/>
      <c r="L3" s="144"/>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86"/>
      <c r="B6" s="272"/>
      <c r="C6" s="273"/>
      <c r="D6" s="272"/>
      <c r="E6" s="273"/>
      <c r="F6" s="272"/>
      <c r="G6" s="273"/>
      <c r="H6" s="239"/>
      <c r="I6" s="84"/>
      <c r="J6" s="118" t="s">
        <v>639</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647</v>
      </c>
      <c r="G7" s="274"/>
      <c r="H7" s="182" t="s">
        <v>648</v>
      </c>
      <c r="I7" s="242"/>
      <c r="J7" s="243"/>
      <c r="K7" s="244"/>
      <c r="L7" s="243"/>
      <c r="M7" s="244"/>
      <c r="N7" s="243"/>
      <c r="O7" s="244"/>
      <c r="P7" s="243"/>
      <c r="Q7" s="244"/>
      <c r="R7" s="182" t="s">
        <v>648</v>
      </c>
      <c r="S7" s="242"/>
      <c r="T7" s="243"/>
      <c r="U7" s="244"/>
      <c r="V7" s="243"/>
      <c r="W7" s="244"/>
      <c r="X7" s="243"/>
      <c r="Y7" s="244"/>
      <c r="Z7" s="216"/>
      <c r="AA7" s="244"/>
      <c r="AB7" s="243"/>
      <c r="AC7" s="244"/>
      <c r="AD7" s="243"/>
      <c r="AE7" s="244"/>
    </row>
    <row r="8" spans="1:31" ht="17.25" customHeight="1">
      <c r="A8" s="245" t="s">
        <v>640</v>
      </c>
      <c r="B8" s="199" t="s">
        <v>645</v>
      </c>
      <c r="C8" s="199"/>
      <c r="D8" s="199" t="s">
        <v>646</v>
      </c>
      <c r="E8" s="246"/>
      <c r="F8" s="199" t="s">
        <v>649</v>
      </c>
      <c r="G8" s="246"/>
      <c r="H8" s="199" t="s">
        <v>630</v>
      </c>
      <c r="I8" s="246"/>
      <c r="J8" s="199" t="s">
        <v>630</v>
      </c>
      <c r="K8" s="246"/>
      <c r="L8" s="247" t="s">
        <v>426</v>
      </c>
      <c r="M8" s="248"/>
      <c r="N8" s="199" t="s">
        <v>651</v>
      </c>
      <c r="O8" s="246"/>
      <c r="P8" s="199" t="s">
        <v>429</v>
      </c>
      <c r="Q8" s="246"/>
      <c r="R8" s="199" t="s">
        <v>652</v>
      </c>
      <c r="S8" s="246"/>
      <c r="T8" s="199" t="s">
        <v>652</v>
      </c>
      <c r="U8" s="246"/>
      <c r="V8" s="199" t="s">
        <v>393</v>
      </c>
      <c r="W8" s="246"/>
      <c r="X8" s="199" t="s">
        <v>411</v>
      </c>
      <c r="Y8" s="246"/>
      <c r="Z8" s="199" t="s">
        <v>416</v>
      </c>
      <c r="AA8" s="246"/>
      <c r="AB8" s="199" t="s">
        <v>653</v>
      </c>
      <c r="AC8" s="246"/>
      <c r="AD8" s="199" t="s">
        <v>418</v>
      </c>
      <c r="AE8" s="246"/>
    </row>
    <row r="9" spans="1:31" ht="20.25" customHeight="1">
      <c r="A9" s="249"/>
      <c r="B9" s="250" t="s">
        <v>661</v>
      </c>
      <c r="C9" s="252" t="s">
        <v>662</v>
      </c>
      <c r="D9" s="250" t="s">
        <v>661</v>
      </c>
      <c r="E9" s="252" t="s">
        <v>662</v>
      </c>
      <c r="F9" s="250" t="s">
        <v>661</v>
      </c>
      <c r="G9" s="252" t="s">
        <v>662</v>
      </c>
      <c r="H9" s="250" t="s">
        <v>661</v>
      </c>
      <c r="I9" s="251" t="s">
        <v>662</v>
      </c>
      <c r="J9" s="250" t="s">
        <v>661</v>
      </c>
      <c r="K9" s="251" t="s">
        <v>662</v>
      </c>
      <c r="L9" s="250" t="s">
        <v>661</v>
      </c>
      <c r="M9" s="252" t="s">
        <v>662</v>
      </c>
      <c r="N9" s="250" t="s">
        <v>661</v>
      </c>
      <c r="O9" s="252" t="s">
        <v>662</v>
      </c>
      <c r="P9" s="250" t="s">
        <v>661</v>
      </c>
      <c r="Q9" s="252" t="s">
        <v>662</v>
      </c>
      <c r="R9" s="250" t="s">
        <v>661</v>
      </c>
      <c r="S9" s="251" t="s">
        <v>662</v>
      </c>
      <c r="T9" s="250" t="s">
        <v>661</v>
      </c>
      <c r="U9" s="252" t="s">
        <v>662</v>
      </c>
      <c r="V9" s="250" t="s">
        <v>661</v>
      </c>
      <c r="W9" s="252" t="s">
        <v>662</v>
      </c>
      <c r="X9" s="250" t="s">
        <v>661</v>
      </c>
      <c r="Y9" s="252" t="s">
        <v>662</v>
      </c>
      <c r="Z9" s="250" t="s">
        <v>661</v>
      </c>
      <c r="AA9" s="252" t="s">
        <v>662</v>
      </c>
      <c r="AB9" s="250" t="s">
        <v>661</v>
      </c>
      <c r="AC9" s="252" t="s">
        <v>662</v>
      </c>
      <c r="AD9" s="250" t="s">
        <v>661</v>
      </c>
      <c r="AE9" s="252" t="s">
        <v>662</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s="6" customFormat="1" ht="26.25" customHeight="1">
      <c r="A11" s="254">
        <f>+'21'!A11</f>
        <v>2011</v>
      </c>
      <c r="B11" s="202">
        <v>1346</v>
      </c>
      <c r="C11" s="267">
        <f>+B11/'18'!B11*1000</f>
        <v>5.4082505956709888</v>
      </c>
      <c r="D11" s="256">
        <v>108</v>
      </c>
      <c r="E11" s="267">
        <f>+D11/'18'!D11*1000</f>
        <v>4.5581159787287922</v>
      </c>
      <c r="F11" s="202">
        <f t="shared" ref="F11:F19" si="0">+J11+L11+N11+P11+T11+V11+X11+Z11+AB11+AD11</f>
        <v>23</v>
      </c>
      <c r="G11" s="266">
        <f>+F11/'18'!F11*1000</f>
        <v>6.2195781503515413</v>
      </c>
      <c r="H11" s="275">
        <f t="shared" ref="H11:H19" si="1">+J11+L11+N11+P11</f>
        <v>10</v>
      </c>
      <c r="I11" s="269">
        <f>+H11/'18'!H11*1000</f>
        <v>6.6181336863004638</v>
      </c>
      <c r="J11" s="202">
        <v>6</v>
      </c>
      <c r="K11" s="266">
        <f>+J11/'18'!J11*1000</f>
        <v>6.1919504643962853</v>
      </c>
      <c r="L11" s="202">
        <v>3</v>
      </c>
      <c r="M11" s="255">
        <f>+L11/'18'!L11*1000</f>
        <v>12.931034482758621</v>
      </c>
      <c r="N11" s="202">
        <v>0</v>
      </c>
      <c r="O11" s="266">
        <f>+N11/'18'!N11*1000</f>
        <v>0</v>
      </c>
      <c r="P11" s="202">
        <v>1</v>
      </c>
      <c r="Q11" s="255">
        <f>+P11/'18'!P11*1000</f>
        <v>6.9930069930069934</v>
      </c>
      <c r="R11" s="203">
        <f t="shared" ref="R11:R19" si="2">+T11+V11+X11+Z11+AB11+AD11</f>
        <v>13</v>
      </c>
      <c r="S11" s="269">
        <f>+R11/'18'!R11*1000</f>
        <v>5.9442158207590303</v>
      </c>
      <c r="T11" s="202">
        <v>7</v>
      </c>
      <c r="U11" s="266">
        <f>+T11/'18'!T11*1000</f>
        <v>6.25</v>
      </c>
      <c r="V11" s="202">
        <v>2</v>
      </c>
      <c r="W11" s="266">
        <f>+V11/'18'!V11*1000</f>
        <v>9.3896713615023479</v>
      </c>
      <c r="X11" s="202">
        <v>1</v>
      </c>
      <c r="Y11" s="266">
        <f>+X11/'18'!X11*1000</f>
        <v>3.9682539682539679</v>
      </c>
      <c r="Z11" s="202">
        <v>0</v>
      </c>
      <c r="AA11" s="266">
        <f>+Z11/'18'!Z11*1000</f>
        <v>0</v>
      </c>
      <c r="AB11" s="202">
        <v>3</v>
      </c>
      <c r="AC11" s="255">
        <f>+AB11/'18'!AB11*1000</f>
        <v>9.2592592592592595</v>
      </c>
      <c r="AD11" s="202">
        <v>0</v>
      </c>
      <c r="AE11" s="255">
        <f>+AD11/'18'!AD11*1000</f>
        <v>0</v>
      </c>
    </row>
    <row r="12" spans="1:31" s="6" customFormat="1" ht="26.25" customHeight="1">
      <c r="A12" s="254">
        <f>+'21'!A12</f>
        <v>2012</v>
      </c>
      <c r="B12" s="202">
        <v>1307</v>
      </c>
      <c r="C12" s="267">
        <f>+B12/'18'!B12*1000</f>
        <v>5.3596765330643246</v>
      </c>
      <c r="D12" s="256">
        <v>126</v>
      </c>
      <c r="E12" s="267">
        <f>+D12/'18'!D12*1000</f>
        <v>5.3346881747745458</v>
      </c>
      <c r="F12" s="202">
        <f t="shared" si="0"/>
        <v>28</v>
      </c>
      <c r="G12" s="266">
        <f>+F12/'18'!F12*1000</f>
        <v>7.349081364829396</v>
      </c>
      <c r="H12" s="275">
        <f t="shared" si="1"/>
        <v>12</v>
      </c>
      <c r="I12" s="269">
        <f>+H12/'18'!H12*1000</f>
        <v>7.782101167315175</v>
      </c>
      <c r="J12" s="202">
        <v>9</v>
      </c>
      <c r="K12" s="266">
        <f>+J12/'18'!J12*1000</f>
        <v>9.4043887147335425</v>
      </c>
      <c r="L12" s="202">
        <v>0</v>
      </c>
      <c r="M12" s="255">
        <f>+L12/'18'!L12*1000</f>
        <v>0</v>
      </c>
      <c r="N12" s="202">
        <v>3</v>
      </c>
      <c r="O12" s="266">
        <f>+N12/'18'!N12*1000</f>
        <v>15.625</v>
      </c>
      <c r="P12" s="202">
        <v>0</v>
      </c>
      <c r="Q12" s="255">
        <f>+P12/'18'!P12*1000</f>
        <v>0</v>
      </c>
      <c r="R12" s="203">
        <f t="shared" si="2"/>
        <v>16</v>
      </c>
      <c r="S12" s="269">
        <f>+R12/'18'!R12*1000</f>
        <v>7.0546737213403876</v>
      </c>
      <c r="T12" s="202">
        <v>12</v>
      </c>
      <c r="U12" s="266">
        <f>+T12/'18'!T12*1000</f>
        <v>9.9585062240663902</v>
      </c>
      <c r="V12" s="202">
        <v>1</v>
      </c>
      <c r="W12" s="266">
        <f>+V12/'18'!V12*1000</f>
        <v>4.9504950495049505</v>
      </c>
      <c r="X12" s="202">
        <v>2</v>
      </c>
      <c r="Y12" s="266">
        <f>+X12/'18'!X12*1000</f>
        <v>10.101010101010102</v>
      </c>
      <c r="Z12" s="202">
        <v>0</v>
      </c>
      <c r="AA12" s="266">
        <f>+Z12/'18'!Z12*1000</f>
        <v>0</v>
      </c>
      <c r="AB12" s="202">
        <v>1</v>
      </c>
      <c r="AC12" s="255">
        <f>+AB12/'18'!AB12*1000</f>
        <v>2.6109660574412534</v>
      </c>
      <c r="AD12" s="202">
        <v>0</v>
      </c>
      <c r="AE12" s="255">
        <f>+AD12/'18'!AD12*1000</f>
        <v>0</v>
      </c>
    </row>
    <row r="13" spans="1:31" s="6" customFormat="1" ht="26.25" customHeight="1">
      <c r="A13" s="254">
        <f>+'21'!A13</f>
        <v>2013</v>
      </c>
      <c r="B13" s="202">
        <v>1253</v>
      </c>
      <c r="C13" s="267">
        <f>+B13/'18'!B13*1000</f>
        <v>5.1775789756409987</v>
      </c>
      <c r="D13" s="256">
        <v>116</v>
      </c>
      <c r="E13" s="267">
        <f>+D13/'18'!D13*1000</f>
        <v>5.0157824188178317</v>
      </c>
      <c r="F13" s="202">
        <f t="shared" si="0"/>
        <v>17</v>
      </c>
      <c r="G13" s="266">
        <f>+F13/'18'!F13*1000</f>
        <v>4.5735808447672852</v>
      </c>
      <c r="H13" s="275">
        <f t="shared" si="1"/>
        <v>6</v>
      </c>
      <c r="I13" s="269">
        <f>+H13/'18'!H13*1000</f>
        <v>3.9164490861618795</v>
      </c>
      <c r="J13" s="202">
        <v>4</v>
      </c>
      <c r="K13" s="266">
        <f>+J13/'18'!J13*1000</f>
        <v>4.2060988433228177</v>
      </c>
      <c r="L13" s="202">
        <v>1</v>
      </c>
      <c r="M13" s="255">
        <f>+L13/'18'!L13*1000</f>
        <v>3.7037037037037037</v>
      </c>
      <c r="N13" s="202">
        <v>0</v>
      </c>
      <c r="O13" s="266">
        <f>+N13/'18'!N13*1000</f>
        <v>0</v>
      </c>
      <c r="P13" s="202">
        <v>1</v>
      </c>
      <c r="Q13" s="255">
        <f>+P13/'18'!P13*1000</f>
        <v>6.9444444444444438</v>
      </c>
      <c r="R13" s="203">
        <f t="shared" si="2"/>
        <v>11</v>
      </c>
      <c r="S13" s="269">
        <f>+R13/'18'!R13*1000</f>
        <v>5.0343249427917618</v>
      </c>
      <c r="T13" s="202">
        <v>7</v>
      </c>
      <c r="U13" s="266">
        <f>+T13/'18'!T13*1000</f>
        <v>6.3176895306859198</v>
      </c>
      <c r="V13" s="202">
        <v>2</v>
      </c>
      <c r="W13" s="266">
        <f>+V13/'18'!V13*1000</f>
        <v>9.6153846153846168</v>
      </c>
      <c r="X13" s="202">
        <v>0</v>
      </c>
      <c r="Y13" s="266">
        <f>+X13/'18'!X13*1000</f>
        <v>0</v>
      </c>
      <c r="Z13" s="202">
        <v>1</v>
      </c>
      <c r="AA13" s="266">
        <f>+Z13/'18'!Z13*1000</f>
        <v>11.363636363636363</v>
      </c>
      <c r="AB13" s="202">
        <v>1</v>
      </c>
      <c r="AC13" s="255">
        <f>+AB13/'18'!AB13*1000</f>
        <v>2.6666666666666665</v>
      </c>
      <c r="AD13" s="202">
        <v>0</v>
      </c>
      <c r="AE13" s="255">
        <f>+AD13/'18'!AD13*1000</f>
        <v>0</v>
      </c>
    </row>
    <row r="14" spans="1:31" s="6" customFormat="1" ht="26.25" customHeight="1">
      <c r="A14" s="254">
        <f>+'21'!A14</f>
        <v>2014</v>
      </c>
      <c r="B14" s="258">
        <v>1307</v>
      </c>
      <c r="C14" s="267">
        <f>+B14/'18'!B14*1000</f>
        <v>5.3596765330643246</v>
      </c>
      <c r="D14" s="256">
        <v>81</v>
      </c>
      <c r="E14" s="267">
        <f>+D14/'18'!D14*1000</f>
        <v>3.3407572383073498</v>
      </c>
      <c r="F14" s="202">
        <f t="shared" si="0"/>
        <v>20</v>
      </c>
      <c r="G14" s="266">
        <f>+F14/'18'!F14*1000</f>
        <v>5.329070077271516</v>
      </c>
      <c r="H14" s="275">
        <f t="shared" si="1"/>
        <v>5</v>
      </c>
      <c r="I14" s="269">
        <f>+H14/'18'!H14*1000</f>
        <v>3.2030749519538757</v>
      </c>
      <c r="J14" s="202">
        <v>1</v>
      </c>
      <c r="K14" s="266">
        <f>+J14/'18'!J14*1000</f>
        <v>0.9765625</v>
      </c>
      <c r="L14" s="202">
        <v>2</v>
      </c>
      <c r="M14" s="255">
        <f>+L14/'18'!L14*1000</f>
        <v>7.8740157480314963</v>
      </c>
      <c r="N14" s="202">
        <v>0</v>
      </c>
      <c r="O14" s="266">
        <f>+N14/'18'!N14*1000</f>
        <v>0</v>
      </c>
      <c r="P14" s="202">
        <v>2</v>
      </c>
      <c r="Q14" s="255">
        <f>+P14/'18'!P14*1000</f>
        <v>15.151515151515152</v>
      </c>
      <c r="R14" s="203">
        <f t="shared" si="2"/>
        <v>15</v>
      </c>
      <c r="S14" s="269">
        <f>+R14/'18'!R14*1000</f>
        <v>6.8430656934306571</v>
      </c>
      <c r="T14" s="202">
        <v>10</v>
      </c>
      <c r="U14" s="266">
        <f>+T14/'18'!T14*1000</f>
        <v>9.0826521344232525</v>
      </c>
      <c r="V14" s="202">
        <v>2</v>
      </c>
      <c r="W14" s="266">
        <f>+V14/'18'!V14*1000</f>
        <v>10.309278350515465</v>
      </c>
      <c r="X14" s="202">
        <v>0</v>
      </c>
      <c r="Y14" s="266">
        <f>+X14/'18'!X14*1000</f>
        <v>0</v>
      </c>
      <c r="Z14" s="202">
        <v>1</v>
      </c>
      <c r="AA14" s="266">
        <f>+Z14/'18'!Z14*1000</f>
        <v>8.695652173913043</v>
      </c>
      <c r="AB14" s="202">
        <v>2</v>
      </c>
      <c r="AC14" s="255">
        <f>+AB14/'18'!AB14*1000</f>
        <v>5.1020408163265305</v>
      </c>
      <c r="AD14" s="202">
        <v>0</v>
      </c>
      <c r="AE14" s="255">
        <f>+AD14/'18'!AD14*1000</f>
        <v>0</v>
      </c>
    </row>
    <row r="15" spans="1:31" s="6" customFormat="1" ht="26.25" customHeight="1">
      <c r="A15" s="254">
        <f>+'21'!A15</f>
        <v>2015</v>
      </c>
      <c r="B15" s="258">
        <v>1250</v>
      </c>
      <c r="C15" s="267">
        <f>+B15/'18'!B15*1000</f>
        <v>5.1089222217680961</v>
      </c>
      <c r="D15" s="256">
        <v>113</v>
      </c>
      <c r="E15" s="267">
        <f>+D15/'18'!D15*1000</f>
        <v>4.7885414018137125</v>
      </c>
      <c r="F15" s="202">
        <f t="shared" si="0"/>
        <v>23</v>
      </c>
      <c r="G15" s="266">
        <f>+F15/'18'!F15*1000</f>
        <v>5.9600932884166884</v>
      </c>
      <c r="H15" s="275">
        <f t="shared" si="1"/>
        <v>7</v>
      </c>
      <c r="I15" s="269">
        <f>+H15/'18'!H15*1000</f>
        <v>4.4359949302915087</v>
      </c>
      <c r="J15" s="202">
        <v>4</v>
      </c>
      <c r="K15" s="266">
        <f>+J15/'18'!J15*1000</f>
        <v>4.1279669762641893</v>
      </c>
      <c r="L15" s="202">
        <v>3</v>
      </c>
      <c r="M15" s="255">
        <f>+L15/'18'!L15*1000</f>
        <v>12.448132780082986</v>
      </c>
      <c r="N15" s="202">
        <v>0</v>
      </c>
      <c r="O15" s="266">
        <f>+N15/'18'!N15*1000</f>
        <v>0</v>
      </c>
      <c r="P15" s="202">
        <v>0</v>
      </c>
      <c r="Q15" s="255">
        <f>+P15/'18'!P15*1000</f>
        <v>0</v>
      </c>
      <c r="R15" s="203">
        <f t="shared" si="2"/>
        <v>16</v>
      </c>
      <c r="S15" s="269">
        <f>+R15/'18'!R15*1000</f>
        <v>7.0144673388864538</v>
      </c>
      <c r="T15" s="202">
        <v>10</v>
      </c>
      <c r="U15" s="266">
        <f>+T15/'18'!T15*1000</f>
        <v>8.4104289318755256</v>
      </c>
      <c r="V15" s="202">
        <v>2</v>
      </c>
      <c r="W15" s="266">
        <f>+V15/'18'!V15*1000</f>
        <v>8.9686098654708513</v>
      </c>
      <c r="X15" s="202">
        <v>2</v>
      </c>
      <c r="Y15" s="266">
        <f>+X15/'18'!X15*1000</f>
        <v>9.0090090090090094</v>
      </c>
      <c r="Z15" s="202">
        <v>0</v>
      </c>
      <c r="AA15" s="266">
        <f>+Z15/'18'!Z15*1000</f>
        <v>0</v>
      </c>
      <c r="AB15" s="202">
        <v>2</v>
      </c>
      <c r="AC15" s="255">
        <f>+AB15/'18'!AB15*1000</f>
        <v>5.6657223796034</v>
      </c>
      <c r="AD15" s="202">
        <v>0</v>
      </c>
      <c r="AE15" s="255">
        <f>+AD15/'18'!AD15*1000</f>
        <v>0</v>
      </c>
    </row>
    <row r="16" spans="1:31" s="6" customFormat="1" ht="26.25" customHeight="1">
      <c r="A16" s="254">
        <f>+'21'!A16</f>
        <v>2016</v>
      </c>
      <c r="B16" s="258">
        <v>1209</v>
      </c>
      <c r="C16" s="267">
        <f>+B16/'18'!B16*1000</f>
        <v>5.2371669915529564</v>
      </c>
      <c r="D16" s="256">
        <v>90</v>
      </c>
      <c r="E16" s="267">
        <f>+D16/'18'!D16*1000</f>
        <v>5.028775772475834</v>
      </c>
      <c r="F16" s="202">
        <f t="shared" si="0"/>
        <v>10</v>
      </c>
      <c r="G16" s="266">
        <f>+F16/'18'!F16*1000</f>
        <v>3.0385900941962931</v>
      </c>
      <c r="H16" s="275">
        <f t="shared" si="1"/>
        <v>3</v>
      </c>
      <c r="I16" s="269">
        <f>+H16/'18'!H16*1000</f>
        <v>2.210759027266028</v>
      </c>
      <c r="J16" s="202">
        <v>0</v>
      </c>
      <c r="K16" s="266">
        <f>+J16/'18'!J16*1000</f>
        <v>0</v>
      </c>
      <c r="L16" s="202">
        <v>0</v>
      </c>
      <c r="M16" s="255">
        <f>+L16/'18'!L16*1000</f>
        <v>0</v>
      </c>
      <c r="N16" s="202">
        <v>1</v>
      </c>
      <c r="O16" s="266">
        <f>+N16/'18'!N16*1000</f>
        <v>5.2631578947368416</v>
      </c>
      <c r="P16" s="202">
        <v>2</v>
      </c>
      <c r="Q16" s="255">
        <f>+P16/'18'!P16*1000</f>
        <v>17.241379310344826</v>
      </c>
      <c r="R16" s="203">
        <f t="shared" si="2"/>
        <v>7</v>
      </c>
      <c r="S16" s="269">
        <f>+R16/'18'!R16*1000</f>
        <v>3.6194415718717683</v>
      </c>
      <c r="T16" s="202">
        <v>3</v>
      </c>
      <c r="U16" s="266">
        <f>+T16/'18'!T16*1000</f>
        <v>2.8846153846153846</v>
      </c>
      <c r="V16" s="202">
        <v>1</v>
      </c>
      <c r="W16" s="266">
        <f>+V16/'18'!V16*1000</f>
        <v>5.6497175141242941</v>
      </c>
      <c r="X16" s="202">
        <v>1</v>
      </c>
      <c r="Y16" s="266">
        <f>+X16/'18'!X16*1000</f>
        <v>5.1020408163265305</v>
      </c>
      <c r="Z16" s="202">
        <v>0</v>
      </c>
      <c r="AA16" s="266">
        <f>+Z16/'18'!Z16*1000</f>
        <v>0</v>
      </c>
      <c r="AB16" s="202">
        <v>1</v>
      </c>
      <c r="AC16" s="255">
        <f>+AB16/'18'!AB16*1000</f>
        <v>3.5971223021582737</v>
      </c>
      <c r="AD16" s="202">
        <v>1</v>
      </c>
      <c r="AE16" s="255">
        <f>+AD16/'18'!AD16*1000</f>
        <v>6.4516129032258061</v>
      </c>
    </row>
    <row r="17" spans="1:31" s="6" customFormat="1" ht="26.25" customHeight="1">
      <c r="A17" s="254">
        <f>+'21'!A17</f>
        <v>2017</v>
      </c>
      <c r="B17" s="202">
        <v>956</v>
      </c>
      <c r="C17" s="267">
        <f>+B17/'18'!B17*1000</f>
        <v>4.3586692380991465</v>
      </c>
      <c r="D17" s="256">
        <v>105</v>
      </c>
      <c r="E17" s="267">
        <f>+D17/'18'!D17*1000</f>
        <v>5.1640190822800376</v>
      </c>
      <c r="F17" s="202">
        <f t="shared" si="0"/>
        <v>12</v>
      </c>
      <c r="G17" s="266">
        <f>+F17/'18'!F17*1000</f>
        <v>4.0281973816717018</v>
      </c>
      <c r="H17" s="275">
        <f t="shared" si="1"/>
        <v>2</v>
      </c>
      <c r="I17" s="269">
        <f>+H17/'18'!H17*1000</f>
        <v>1.669449081803005</v>
      </c>
      <c r="J17" s="202">
        <v>2</v>
      </c>
      <c r="K17" s="266">
        <f>+J17/'18'!J17*1000</f>
        <v>2.7894002789400276</v>
      </c>
      <c r="L17" s="202">
        <v>0</v>
      </c>
      <c r="M17" s="255">
        <f>+L17/'18'!L17*1000</f>
        <v>0</v>
      </c>
      <c r="N17" s="202"/>
      <c r="O17" s="266">
        <f>+N17/'18'!N17*1000</f>
        <v>0</v>
      </c>
      <c r="P17" s="202"/>
      <c r="Q17" s="255">
        <f>+P17/'18'!P17*1000</f>
        <v>0</v>
      </c>
      <c r="R17" s="203">
        <f t="shared" si="2"/>
        <v>10</v>
      </c>
      <c r="S17" s="269">
        <f>+R17/'18'!R17*1000</f>
        <v>5.6148231330713081</v>
      </c>
      <c r="T17" s="202">
        <v>6</v>
      </c>
      <c r="U17" s="266">
        <f>+T17/'18'!T17*1000</f>
        <v>6.3157894736842106</v>
      </c>
      <c r="V17" s="202"/>
      <c r="W17" s="266">
        <f>+V17/'18'!V17*1000</f>
        <v>0</v>
      </c>
      <c r="X17" s="202"/>
      <c r="Y17" s="266">
        <f>+X17/'18'!X17*1000</f>
        <v>0</v>
      </c>
      <c r="Z17" s="202">
        <v>0</v>
      </c>
      <c r="AA17" s="266">
        <f>+Z17/'18'!Z17*1000</f>
        <v>0</v>
      </c>
      <c r="AB17" s="202">
        <v>2</v>
      </c>
      <c r="AC17" s="255">
        <f>+AB17/'18'!AB17*1000</f>
        <v>6.8728522336769755</v>
      </c>
      <c r="AD17" s="202">
        <v>2</v>
      </c>
      <c r="AE17" s="255">
        <f>+AD17/'18'!AD17*1000</f>
        <v>12.738853503184714</v>
      </c>
    </row>
    <row r="18" spans="1:31" s="6" customFormat="1" ht="26.25" customHeight="1">
      <c r="A18" s="254">
        <f>+'21'!A18</f>
        <v>2018</v>
      </c>
      <c r="B18" s="202">
        <v>941</v>
      </c>
      <c r="C18" s="267">
        <f>+B18/'18'!B18*1000</f>
        <v>4.2902800764134899</v>
      </c>
      <c r="D18" s="256">
        <v>82</v>
      </c>
      <c r="E18" s="267">
        <f>+D18/'18'!D18*1000</f>
        <v>4.0328529975901244</v>
      </c>
      <c r="F18" s="202">
        <f t="shared" si="0"/>
        <v>14</v>
      </c>
      <c r="G18" s="266">
        <f>+F18/'18'!F18*1000</f>
        <v>4.4987146529562985</v>
      </c>
      <c r="H18" s="275">
        <f t="shared" si="1"/>
        <v>9</v>
      </c>
      <c r="I18" s="269">
        <f>+H18/'18'!H18*1000</f>
        <v>7.832898172323759</v>
      </c>
      <c r="J18" s="202">
        <v>7</v>
      </c>
      <c r="K18" s="266">
        <f>+J18/'18'!J18*1000</f>
        <v>9.7629009762900978</v>
      </c>
      <c r="L18" s="202">
        <v>1</v>
      </c>
      <c r="M18" s="255">
        <f>+L18/'18'!L18*1000</f>
        <v>5.8479532163742682</v>
      </c>
      <c r="N18" s="202">
        <v>1</v>
      </c>
      <c r="O18" s="266">
        <f>+N18/'18'!N18*1000</f>
        <v>7.1942446043165473</v>
      </c>
      <c r="P18" s="202"/>
      <c r="Q18" s="255">
        <f>+P18/'18'!P18*1000</f>
        <v>0</v>
      </c>
      <c r="R18" s="203">
        <f t="shared" si="2"/>
        <v>5</v>
      </c>
      <c r="S18" s="269">
        <f>+R18/'18'!R18*1000</f>
        <v>2.5471217524197658</v>
      </c>
      <c r="T18" s="202"/>
      <c r="U18" s="266">
        <f>+T18/'18'!T18*1000</f>
        <v>0</v>
      </c>
      <c r="V18" s="202">
        <v>1</v>
      </c>
      <c r="W18" s="266">
        <f>+V18/'18'!V18*1000</f>
        <v>4.6296296296296298</v>
      </c>
      <c r="X18" s="202">
        <v>1</v>
      </c>
      <c r="Y18" s="266">
        <f>+X18/'18'!X18*1000</f>
        <v>6.1728395061728394</v>
      </c>
      <c r="Z18" s="202"/>
      <c r="AA18" s="266">
        <f>+Z18/'18'!Z18*1000</f>
        <v>0</v>
      </c>
      <c r="AB18" s="202">
        <v>3</v>
      </c>
      <c r="AC18" s="255">
        <f>+AB18/'18'!AB18*1000</f>
        <v>10.033444816053512</v>
      </c>
      <c r="AD18" s="202"/>
      <c r="AE18" s="255">
        <f>+AD18/'18'!AD18*1000</f>
        <v>0</v>
      </c>
    </row>
    <row r="19" spans="1:31" s="6" customFormat="1" ht="26.25" customHeight="1">
      <c r="A19" s="254">
        <f>+'21'!A19</f>
        <v>2019</v>
      </c>
      <c r="B19" s="202">
        <v>859</v>
      </c>
      <c r="C19" s="267">
        <f>+B19/'18'!B19*1000</f>
        <v>4.1156995491416444</v>
      </c>
      <c r="D19" s="256">
        <v>87</v>
      </c>
      <c r="E19" s="267">
        <f>+D19/'18'!D19*1000</f>
        <v>4.4766903365236184</v>
      </c>
      <c r="F19" s="202">
        <f t="shared" si="0"/>
        <v>16</v>
      </c>
      <c r="G19" s="266">
        <f>+F19/'18'!F19*1000</f>
        <v>5.1563003544956496</v>
      </c>
      <c r="H19" s="275">
        <f t="shared" si="1"/>
        <v>3</v>
      </c>
      <c r="I19" s="269">
        <f>+H19/'18'!H19*1000</f>
        <v>2.5041736227045073</v>
      </c>
      <c r="J19" s="202"/>
      <c r="K19" s="266">
        <f>+J19/'18'!J19*1000</f>
        <v>0</v>
      </c>
      <c r="L19" s="202">
        <v>2</v>
      </c>
      <c r="M19" s="255">
        <f>+L19/'18'!L19*1000</f>
        <v>10.638297872340425</v>
      </c>
      <c r="N19" s="202"/>
      <c r="O19" s="266">
        <f>+N19/'18'!N19*1000</f>
        <v>0</v>
      </c>
      <c r="P19" s="202">
        <v>1</v>
      </c>
      <c r="Q19" s="255">
        <f>+P19/'18'!P19*1000</f>
        <v>8.4033613445378155</v>
      </c>
      <c r="R19" s="203">
        <f t="shared" si="2"/>
        <v>13</v>
      </c>
      <c r="S19" s="269">
        <f>+R19/'18'!R19*1000</f>
        <v>6.8241469816272966</v>
      </c>
      <c r="T19" s="202">
        <v>7</v>
      </c>
      <c r="U19" s="266">
        <f>+T19/'18'!T19*1000</f>
        <v>6.7243035542747354</v>
      </c>
      <c r="V19" s="202"/>
      <c r="W19" s="266">
        <f>+V19/'18'!V19*1000</f>
        <v>0</v>
      </c>
      <c r="X19" s="202">
        <v>1</v>
      </c>
      <c r="Y19" s="266">
        <f>+X19/'18'!X19*1000</f>
        <v>6.8027210884353737</v>
      </c>
      <c r="Z19" s="202">
        <v>1</v>
      </c>
      <c r="AA19" s="266">
        <f>+Z19/'18'!Z19*1000</f>
        <v>13.698630136986301</v>
      </c>
      <c r="AB19" s="202">
        <v>1</v>
      </c>
      <c r="AC19" s="255">
        <f>+AB19/'18'!AB19*1000</f>
        <v>3.2051282051282048</v>
      </c>
      <c r="AD19" s="202">
        <v>3</v>
      </c>
      <c r="AE19" s="255">
        <f>+AD19/'18'!AD19*1000</f>
        <v>18.518518518518519</v>
      </c>
    </row>
    <row r="20" spans="1:31" s="6" customFormat="1" ht="26.25" customHeight="1">
      <c r="A20" s="254">
        <f>+'21'!A20</f>
        <v>2020</v>
      </c>
      <c r="B20" s="202"/>
      <c r="C20" s="267"/>
      <c r="D20" s="256"/>
      <c r="E20" s="267"/>
      <c r="F20" s="202">
        <f t="shared" ref="F20" si="3">+J20+L20+N20+P20+T20+V20+X20+Z20+AB20+AD20</f>
        <v>13</v>
      </c>
      <c r="G20" s="266">
        <f>+F20/'18'!F20*1000</f>
        <v>4.9808429118773949</v>
      </c>
      <c r="H20" s="275">
        <f t="shared" ref="H20" si="4">+J20+L20+N20+P20</f>
        <v>5</v>
      </c>
      <c r="I20" s="269">
        <f>+H20/'18'!H20*1000</f>
        <v>5.1229508196721305</v>
      </c>
      <c r="J20" s="202">
        <v>5</v>
      </c>
      <c r="K20" s="266">
        <f>+J20/'18'!J20*1000</f>
        <v>8.4745762711864412</v>
      </c>
      <c r="L20" s="202"/>
      <c r="M20" s="255">
        <f>+L20/'18'!L20*1000</f>
        <v>0</v>
      </c>
      <c r="N20" s="202"/>
      <c r="O20" s="266">
        <f>+N20/'18'!N20*1000</f>
        <v>0</v>
      </c>
      <c r="P20" s="202"/>
      <c r="Q20" s="255">
        <f>+P20/'18'!P20*1000</f>
        <v>0</v>
      </c>
      <c r="R20" s="203">
        <f t="shared" ref="R20" si="5">+T20+V20+X20+Z20+AB20+AD20</f>
        <v>8</v>
      </c>
      <c r="S20" s="269">
        <f>+R20/'18'!R20*1000</f>
        <v>4.8959608323133414</v>
      </c>
      <c r="T20" s="202">
        <v>6</v>
      </c>
      <c r="U20" s="266">
        <f>+T20/'18'!T20*1000</f>
        <v>6.8965517241379306</v>
      </c>
      <c r="V20" s="202">
        <v>1</v>
      </c>
      <c r="W20" s="266">
        <f>+V20/'18'!V20*1000</f>
        <v>5.6818181818181817</v>
      </c>
      <c r="X20" s="202"/>
      <c r="Y20" s="266">
        <f>+X20/'18'!X20*1000</f>
        <v>0</v>
      </c>
      <c r="Z20" s="202"/>
      <c r="AA20" s="266">
        <f>+Z20/'18'!Z20*1000</f>
        <v>0</v>
      </c>
      <c r="AB20" s="202">
        <v>1</v>
      </c>
      <c r="AC20" s="255">
        <f>+AB20/'18'!AB20*1000</f>
        <v>3.8314176245210727</v>
      </c>
      <c r="AD20" s="202"/>
      <c r="AE20" s="255">
        <f>+AD20/'18'!AD20*1000</f>
        <v>0</v>
      </c>
    </row>
    <row r="21" spans="1:31">
      <c r="A21" s="260"/>
      <c r="B21" s="205"/>
      <c r="C21" s="261"/>
      <c r="D21" s="205"/>
      <c r="E21" s="261"/>
      <c r="F21" s="208"/>
      <c r="G21" s="261"/>
      <c r="H21" s="278"/>
      <c r="I21" s="278"/>
      <c r="J21" s="205"/>
      <c r="K21" s="261"/>
      <c r="L21" s="205"/>
      <c r="M21" s="261"/>
      <c r="N21" s="205"/>
      <c r="O21" s="261"/>
      <c r="P21" s="205"/>
      <c r="Q21" s="261"/>
      <c r="R21" s="278"/>
      <c r="S21" s="278"/>
      <c r="T21" s="205"/>
      <c r="U21" s="261"/>
      <c r="V21" s="205"/>
      <c r="W21" s="261"/>
      <c r="X21" s="205"/>
      <c r="Y21" s="261"/>
      <c r="Z21" s="205"/>
      <c r="AA21" s="261"/>
      <c r="AB21" s="205"/>
      <c r="AC21" s="261"/>
      <c r="AD21" s="262"/>
      <c r="AE21" s="261"/>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2020  :   DATOS POR RESIDENCIA</v>
      </c>
      <c r="C23" s="263"/>
      <c r="D23" s="263"/>
      <c r="E23" s="263"/>
      <c r="F23" s="263"/>
      <c r="G23" s="263"/>
      <c r="H23" s="263"/>
      <c r="I23" s="263"/>
      <c r="J23" s="263"/>
      <c r="K23" s="212"/>
      <c r="L23" s="1"/>
      <c r="M23" s="1"/>
      <c r="N23" s="1"/>
      <c r="O23" s="1"/>
      <c r="P23" s="1"/>
      <c r="Q23" s="1"/>
      <c r="R23" s="1"/>
      <c r="S23" s="1"/>
      <c r="T23" s="1"/>
      <c r="U23" s="1"/>
      <c r="V23" s="1"/>
      <c r="W23" s="1"/>
      <c r="X23" s="1"/>
      <c r="Y23" s="1"/>
      <c r="Z23" s="1"/>
      <c r="AA23" s="1"/>
      <c r="AB23" s="1"/>
      <c r="AC23" s="1"/>
      <c r="AD23" s="1"/>
      <c r="AE23" s="1"/>
    </row>
    <row r="24" spans="1:31">
      <c r="A24" s="1"/>
      <c r="B24" s="212"/>
      <c r="C24" s="216" t="s">
        <v>671</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0" workbookViewId="0">
      <selection activeCell="AE11" sqref="AE11"/>
    </sheetView>
  </sheetViews>
  <sheetFormatPr baseColWidth="10" defaultRowHeight="13.2"/>
  <cols>
    <col min="1" max="1" width="6.21875" customWidth="1"/>
    <col min="2" max="2" width="6" customWidth="1"/>
    <col min="3" max="3" width="5" customWidth="1"/>
    <col min="4" max="4" width="5.44140625" customWidth="1"/>
    <col min="5" max="6" width="5.77734375" customWidth="1"/>
    <col min="7" max="9" width="6.5546875" customWidth="1"/>
    <col min="10" max="10" width="4" customWidth="1"/>
    <col min="11" max="11" width="5.77734375" customWidth="1"/>
    <col min="12" max="12" width="4" customWidth="1"/>
    <col min="13" max="13" width="5.77734375" customWidth="1"/>
    <col min="14" max="14" width="4" customWidth="1"/>
    <col min="15" max="15" width="5.77734375" customWidth="1"/>
    <col min="16" max="16" width="4.21875" customWidth="1"/>
    <col min="17" max="19" width="5.77734375" customWidth="1"/>
    <col min="20" max="20" width="4.21875" customWidth="1"/>
    <col min="21" max="21" width="5.77734375" customWidth="1"/>
    <col min="22" max="22" width="3.77734375" customWidth="1"/>
    <col min="23" max="23" width="5.77734375" customWidth="1"/>
    <col min="24" max="24" width="4.21875" customWidth="1"/>
    <col min="25" max="25" width="5.77734375" customWidth="1"/>
    <col min="26" max="26" width="4.21875" customWidth="1"/>
    <col min="27" max="27" width="5.77734375" customWidth="1"/>
    <col min="28" max="28" width="4.21875" customWidth="1"/>
    <col min="29" max="29" width="5.77734375" customWidth="1"/>
    <col min="30" max="30" width="4" customWidth="1"/>
    <col min="31" max="31" width="5.77734375" customWidth="1"/>
  </cols>
  <sheetData>
    <row r="1" spans="1:31">
      <c r="A1" s="144" t="s">
        <v>672</v>
      </c>
      <c r="B1" s="144"/>
      <c r="C1" s="113"/>
      <c r="D1" s="113"/>
      <c r="E1" s="113"/>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+'22'!A3</f>
        <v>AÑOS   2011  - 2020</v>
      </c>
      <c r="B3" s="144"/>
      <c r="C3" s="113"/>
      <c r="D3" s="113"/>
      <c r="E3" s="113"/>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9.5" customHeight="1">
      <c r="A6" s="87"/>
      <c r="B6" s="279"/>
      <c r="C6" s="280"/>
      <c r="D6" s="279"/>
      <c r="E6" s="280"/>
      <c r="F6" s="279"/>
      <c r="G6" s="280"/>
      <c r="H6" s="239"/>
      <c r="I6" s="84"/>
      <c r="J6" s="118" t="s">
        <v>639</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647</v>
      </c>
      <c r="G7" s="274"/>
      <c r="H7" s="182" t="s">
        <v>648</v>
      </c>
      <c r="I7" s="242"/>
      <c r="J7" s="243"/>
      <c r="K7" s="244"/>
      <c r="L7" s="243"/>
      <c r="M7" s="244"/>
      <c r="N7" s="243"/>
      <c r="O7" s="244"/>
      <c r="P7" s="243"/>
      <c r="Q7" s="244"/>
      <c r="R7" s="182" t="s">
        <v>648</v>
      </c>
      <c r="S7" s="242"/>
      <c r="T7" s="243"/>
      <c r="U7" s="244"/>
      <c r="V7" s="243"/>
      <c r="W7" s="244"/>
      <c r="X7" s="243"/>
      <c r="Y7" s="244"/>
      <c r="Z7" s="216"/>
      <c r="AA7" s="244"/>
      <c r="AB7" s="243"/>
      <c r="AC7" s="244"/>
      <c r="AD7" s="243"/>
      <c r="AE7" s="244"/>
    </row>
    <row r="8" spans="1:31" ht="18" customHeight="1">
      <c r="A8" s="245" t="s">
        <v>640</v>
      </c>
      <c r="B8" s="199" t="s">
        <v>645</v>
      </c>
      <c r="C8" s="199"/>
      <c r="D8" s="199" t="s">
        <v>646</v>
      </c>
      <c r="E8" s="246"/>
      <c r="F8" s="199" t="s">
        <v>649</v>
      </c>
      <c r="G8" s="246"/>
      <c r="H8" s="199" t="s">
        <v>630</v>
      </c>
      <c r="I8" s="246"/>
      <c r="J8" s="199" t="s">
        <v>630</v>
      </c>
      <c r="K8" s="246"/>
      <c r="L8" s="247" t="s">
        <v>426</v>
      </c>
      <c r="M8" s="248"/>
      <c r="N8" s="199" t="s">
        <v>651</v>
      </c>
      <c r="O8" s="246"/>
      <c r="P8" s="199" t="s">
        <v>429</v>
      </c>
      <c r="Q8" s="246"/>
      <c r="R8" s="199" t="s">
        <v>652</v>
      </c>
      <c r="S8" s="246"/>
      <c r="T8" s="199" t="s">
        <v>652</v>
      </c>
      <c r="U8" s="246"/>
      <c r="V8" s="199" t="s">
        <v>393</v>
      </c>
      <c r="W8" s="246"/>
      <c r="X8" s="199" t="s">
        <v>411</v>
      </c>
      <c r="Y8" s="246"/>
      <c r="Z8" s="199" t="s">
        <v>416</v>
      </c>
      <c r="AA8" s="246"/>
      <c r="AB8" s="199" t="s">
        <v>653</v>
      </c>
      <c r="AC8" s="246"/>
      <c r="AD8" s="199" t="s">
        <v>418</v>
      </c>
      <c r="AE8" s="246"/>
    </row>
    <row r="9" spans="1:31" ht="18.75" customHeight="1">
      <c r="A9" s="249"/>
      <c r="B9" s="250" t="s">
        <v>661</v>
      </c>
      <c r="C9" s="252" t="s">
        <v>662</v>
      </c>
      <c r="D9" s="250" t="s">
        <v>661</v>
      </c>
      <c r="E9" s="252" t="s">
        <v>662</v>
      </c>
      <c r="F9" s="250" t="s">
        <v>661</v>
      </c>
      <c r="G9" s="252" t="s">
        <v>662</v>
      </c>
      <c r="H9" s="250" t="s">
        <v>661</v>
      </c>
      <c r="I9" s="251" t="s">
        <v>662</v>
      </c>
      <c r="J9" s="250" t="s">
        <v>661</v>
      </c>
      <c r="K9" s="251" t="s">
        <v>662</v>
      </c>
      <c r="L9" s="250" t="s">
        <v>661</v>
      </c>
      <c r="M9" s="252" t="s">
        <v>662</v>
      </c>
      <c r="N9" s="250" t="s">
        <v>661</v>
      </c>
      <c r="O9" s="252" t="s">
        <v>662</v>
      </c>
      <c r="P9" s="250" t="s">
        <v>661</v>
      </c>
      <c r="Q9" s="252" t="s">
        <v>662</v>
      </c>
      <c r="R9" s="250" t="s">
        <v>661</v>
      </c>
      <c r="S9" s="251" t="s">
        <v>662</v>
      </c>
      <c r="T9" s="250" t="s">
        <v>661</v>
      </c>
      <c r="U9" s="252" t="s">
        <v>662</v>
      </c>
      <c r="V9" s="250" t="s">
        <v>661</v>
      </c>
      <c r="W9" s="252" t="s">
        <v>662</v>
      </c>
      <c r="X9" s="250" t="s">
        <v>661</v>
      </c>
      <c r="Y9" s="252" t="s">
        <v>662</v>
      </c>
      <c r="Z9" s="250" t="s">
        <v>661</v>
      </c>
      <c r="AA9" s="252" t="s">
        <v>662</v>
      </c>
      <c r="AB9" s="250" t="s">
        <v>661</v>
      </c>
      <c r="AC9" s="252" t="s">
        <v>662</v>
      </c>
      <c r="AD9" s="250" t="s">
        <v>661</v>
      </c>
      <c r="AE9" s="252" t="s">
        <v>662</v>
      </c>
    </row>
    <row r="10" spans="1:31">
      <c r="A10" s="87"/>
      <c r="B10" s="279"/>
      <c r="C10" s="280"/>
      <c r="D10" s="279"/>
      <c r="E10" s="280"/>
      <c r="F10" s="279"/>
      <c r="G10" s="280"/>
      <c r="H10" s="281"/>
      <c r="I10" s="281"/>
      <c r="J10" s="279"/>
      <c r="K10" s="280"/>
      <c r="L10" s="279"/>
      <c r="M10" s="280"/>
      <c r="N10" s="279"/>
      <c r="O10" s="280"/>
      <c r="P10" s="279"/>
      <c r="Q10" s="280"/>
      <c r="R10" s="281"/>
      <c r="S10" s="281"/>
      <c r="T10" s="279"/>
      <c r="U10" s="280"/>
      <c r="V10" s="279"/>
      <c r="W10" s="280"/>
      <c r="X10" s="279"/>
      <c r="Y10" s="280"/>
      <c r="Z10" s="279"/>
      <c r="AA10" s="280"/>
      <c r="AB10" s="279"/>
      <c r="AC10" s="280"/>
      <c r="AD10" s="281"/>
      <c r="AE10" s="280"/>
    </row>
    <row r="11" spans="1:31" s="6" customFormat="1" ht="26.25" customHeight="1">
      <c r="A11" s="254">
        <f>+'22'!A11</f>
        <v>2011</v>
      </c>
      <c r="B11" s="202">
        <v>562</v>
      </c>
      <c r="C11" s="267">
        <f>+B11/'18'!B11*1000</f>
        <v>2.2581254344480648</v>
      </c>
      <c r="D11" s="256">
        <v>60</v>
      </c>
      <c r="E11" s="267">
        <f>+D11/'18'!D11*1000</f>
        <v>2.5322866548493286</v>
      </c>
      <c r="F11" s="202">
        <f t="shared" ref="F11:F19" si="0">+J11+L11+N11+P11+T11+V11+X11+Z11+AB11+AD11</f>
        <v>6</v>
      </c>
      <c r="G11" s="266">
        <f>+F11/'18'!F11*1000</f>
        <v>1.6224986479177934</v>
      </c>
      <c r="H11" s="275">
        <f t="shared" ref="H11:H19" si="1">+J11+L11+N11+P11</f>
        <v>1</v>
      </c>
      <c r="I11" s="269">
        <f>+H11/'18'!H11*1000</f>
        <v>0.66181336863004636</v>
      </c>
      <c r="J11" s="202">
        <v>1</v>
      </c>
      <c r="K11" s="269">
        <f>+J11/'18'!J11*1000</f>
        <v>1.0319917440660473</v>
      </c>
      <c r="L11" s="202">
        <v>0</v>
      </c>
      <c r="M11" s="255">
        <f>+L11/'18'!L11*1000</f>
        <v>0</v>
      </c>
      <c r="N11" s="202">
        <v>0</v>
      </c>
      <c r="O11" s="266">
        <f>+N11/'18'!N11*1000</f>
        <v>0</v>
      </c>
      <c r="P11" s="202">
        <v>0</v>
      </c>
      <c r="Q11" s="266">
        <f>+P11/'18'!P11*1000</f>
        <v>0</v>
      </c>
      <c r="R11" s="202">
        <f t="shared" ref="R11:R19" si="2">+T11+V11+X11+Z11+AB11+AD11</f>
        <v>5</v>
      </c>
      <c r="S11" s="269">
        <f>+R11/'18'!R11*1000</f>
        <v>2.2862368541380889</v>
      </c>
      <c r="T11" s="202">
        <v>1</v>
      </c>
      <c r="U11" s="266">
        <f>+T11/'18'!T11*1000</f>
        <v>0.89285714285714279</v>
      </c>
      <c r="V11" s="202">
        <v>0</v>
      </c>
      <c r="W11" s="266">
        <f>+V11/'18'!V11*1000</f>
        <v>0</v>
      </c>
      <c r="X11" s="202">
        <v>1</v>
      </c>
      <c r="Y11" s="266">
        <f>+X11/'18'!X11*1000</f>
        <v>3.9682539682539679</v>
      </c>
      <c r="Z11" s="202">
        <v>0</v>
      </c>
      <c r="AA11" s="266">
        <f>+Z11/'18'!Z11*1000</f>
        <v>0</v>
      </c>
      <c r="AB11" s="202">
        <v>3</v>
      </c>
      <c r="AC11" s="255">
        <f>+AB11/'18'!AB11*1000</f>
        <v>9.2592592592592595</v>
      </c>
      <c r="AD11" s="202">
        <v>0</v>
      </c>
      <c r="AE11" s="255">
        <f>+AD11/'18'!AD11*1000</f>
        <v>0</v>
      </c>
    </row>
    <row r="12" spans="1:31" s="6" customFormat="1" ht="26.25" customHeight="1">
      <c r="A12" s="254">
        <f>+'22'!A12</f>
        <v>2012</v>
      </c>
      <c r="B12" s="202">
        <v>505</v>
      </c>
      <c r="C12" s="267">
        <f>+B12/'18'!B12*1000</f>
        <v>2.0708773138465828</v>
      </c>
      <c r="D12" s="256">
        <v>53</v>
      </c>
      <c r="E12" s="267">
        <f>+D12/'18'!D12*1000</f>
        <v>2.243956137008341</v>
      </c>
      <c r="F12" s="202">
        <f t="shared" si="0"/>
        <v>6</v>
      </c>
      <c r="G12" s="266">
        <f>+F12/'18'!F12*1000</f>
        <v>1.5748031496062991</v>
      </c>
      <c r="H12" s="275">
        <f t="shared" si="1"/>
        <v>5</v>
      </c>
      <c r="I12" s="259">
        <f>+H12/'18'!H12*1000</f>
        <v>3.2425421530479897</v>
      </c>
      <c r="J12" s="202">
        <v>5</v>
      </c>
      <c r="K12" s="269">
        <f>+J12/'18'!J12*1000</f>
        <v>5.2246603970741905</v>
      </c>
      <c r="L12" s="202">
        <v>0</v>
      </c>
      <c r="M12" s="255">
        <f>+L12/'18'!L12*1000</f>
        <v>0</v>
      </c>
      <c r="N12" s="202">
        <v>0</v>
      </c>
      <c r="O12" s="266">
        <f>+N12/'18'!N12*1000</f>
        <v>0</v>
      </c>
      <c r="P12" s="202">
        <v>0</v>
      </c>
      <c r="Q12" s="266">
        <f>+P12/'18'!P12*1000</f>
        <v>0</v>
      </c>
      <c r="R12" s="202">
        <f t="shared" si="2"/>
        <v>1</v>
      </c>
      <c r="S12" s="269">
        <f>+R12/'18'!R12*1000</f>
        <v>0.44091710758377423</v>
      </c>
      <c r="T12" s="202">
        <v>1</v>
      </c>
      <c r="U12" s="266">
        <f>+T12/'18'!T12*1000</f>
        <v>0.82987551867219911</v>
      </c>
      <c r="V12" s="202">
        <v>0</v>
      </c>
      <c r="W12" s="266">
        <f>+V12/'18'!V12*1000</f>
        <v>0</v>
      </c>
      <c r="X12" s="202">
        <v>0</v>
      </c>
      <c r="Y12" s="266">
        <f>+X12/'18'!X12*1000</f>
        <v>0</v>
      </c>
      <c r="Z12" s="202">
        <v>0</v>
      </c>
      <c r="AA12" s="266">
        <f>+Z12/'18'!Z12*1000</f>
        <v>0</v>
      </c>
      <c r="AB12" s="202">
        <v>0</v>
      </c>
      <c r="AC12" s="255">
        <f>+AB12/'18'!AB12*1000</f>
        <v>0</v>
      </c>
      <c r="AD12" s="202">
        <v>0</v>
      </c>
      <c r="AE12" s="255">
        <f>+AD12/'18'!AD12*1000</f>
        <v>0</v>
      </c>
    </row>
    <row r="13" spans="1:31" s="6" customFormat="1" ht="26.25" customHeight="1">
      <c r="A13" s="254">
        <f>+'22'!A13</f>
        <v>2013</v>
      </c>
      <c r="B13" s="202">
        <v>439</v>
      </c>
      <c r="C13" s="267">
        <f>+B13/'18'!B13*1000</f>
        <v>1.8140121071878681</v>
      </c>
      <c r="D13" s="256">
        <v>40</v>
      </c>
      <c r="E13" s="267">
        <f>+D13/'18'!D13*1000</f>
        <v>1.7295801444199421</v>
      </c>
      <c r="F13" s="202">
        <f t="shared" si="0"/>
        <v>6</v>
      </c>
      <c r="G13" s="266">
        <f>+F13/'18'!F13*1000</f>
        <v>1.6142050040355125</v>
      </c>
      <c r="H13" s="275">
        <f t="shared" si="1"/>
        <v>2</v>
      </c>
      <c r="I13" s="259">
        <f>+H13/'18'!H13*1000</f>
        <v>1.3054830287206267</v>
      </c>
      <c r="J13" s="202">
        <v>1</v>
      </c>
      <c r="K13" s="269">
        <f>+J13/'18'!J13*1000</f>
        <v>1.0515247108307044</v>
      </c>
      <c r="L13" s="202">
        <v>1</v>
      </c>
      <c r="M13" s="255">
        <f>+L13/'18'!L13*1000</f>
        <v>3.7037037037037037</v>
      </c>
      <c r="N13" s="202">
        <v>0</v>
      </c>
      <c r="O13" s="266">
        <f>+N13/'18'!N13*1000</f>
        <v>0</v>
      </c>
      <c r="P13" s="202">
        <v>0</v>
      </c>
      <c r="Q13" s="266">
        <f>+P13/'18'!P13*1000</f>
        <v>0</v>
      </c>
      <c r="R13" s="202">
        <f t="shared" si="2"/>
        <v>4</v>
      </c>
      <c r="S13" s="269">
        <f>+R13/'18'!R13*1000</f>
        <v>1.8306636155606408</v>
      </c>
      <c r="T13" s="202">
        <v>3</v>
      </c>
      <c r="U13" s="266">
        <f>+T13/'18'!T13*1000</f>
        <v>2.7075812274368229</v>
      </c>
      <c r="V13" s="202">
        <v>0</v>
      </c>
      <c r="W13" s="266">
        <f>+V13/'18'!V13*1000</f>
        <v>0</v>
      </c>
      <c r="X13" s="202">
        <v>0</v>
      </c>
      <c r="Y13" s="266">
        <f>+X13/'18'!X13*1000</f>
        <v>0</v>
      </c>
      <c r="Z13" s="202">
        <v>0</v>
      </c>
      <c r="AA13" s="266">
        <f>+Z13/'18'!Z13*1000</f>
        <v>0</v>
      </c>
      <c r="AB13" s="202">
        <v>0</v>
      </c>
      <c r="AC13" s="255">
        <f>+AB13/'18'!AB13*1000</f>
        <v>0</v>
      </c>
      <c r="AD13" s="202">
        <v>1</v>
      </c>
      <c r="AE13" s="255">
        <f>+AD13/'18'!AD13*1000</f>
        <v>5.1546391752577323</v>
      </c>
    </row>
    <row r="14" spans="1:31" s="6" customFormat="1" ht="26.25" customHeight="1">
      <c r="A14" s="254">
        <f>+'22'!A14</f>
        <v>2014</v>
      </c>
      <c r="B14" s="202">
        <v>505</v>
      </c>
      <c r="C14" s="267">
        <f>+B14/'18'!B14*1000</f>
        <v>2.0708773138465828</v>
      </c>
      <c r="D14" s="256">
        <v>40</v>
      </c>
      <c r="E14" s="267">
        <f>+D14/'18'!D14*1000</f>
        <v>1.6497566608925183</v>
      </c>
      <c r="F14" s="202">
        <f t="shared" si="0"/>
        <v>8</v>
      </c>
      <c r="G14" s="266">
        <f>+F14/'18'!F14*1000</f>
        <v>2.1316280309086064</v>
      </c>
      <c r="H14" s="275">
        <f t="shared" si="1"/>
        <v>3</v>
      </c>
      <c r="I14" s="259">
        <f>+H14/'18'!H14*1000</f>
        <v>1.9218449711723256</v>
      </c>
      <c r="J14" s="202">
        <v>3</v>
      </c>
      <c r="K14" s="269">
        <f>+J14/'18'!J14*1000</f>
        <v>2.9296875</v>
      </c>
      <c r="L14" s="202">
        <v>0</v>
      </c>
      <c r="M14" s="255">
        <f>+L14/'18'!L14*1000</f>
        <v>0</v>
      </c>
      <c r="N14" s="202">
        <v>0</v>
      </c>
      <c r="O14" s="266">
        <f>+N14/'18'!N14*1000</f>
        <v>0</v>
      </c>
      <c r="P14" s="202">
        <v>0</v>
      </c>
      <c r="Q14" s="266">
        <f>+P14/'18'!P14*1000</f>
        <v>0</v>
      </c>
      <c r="R14" s="202">
        <f t="shared" si="2"/>
        <v>5</v>
      </c>
      <c r="S14" s="269">
        <f>+R14/'18'!R14*1000</f>
        <v>2.2810218978102186</v>
      </c>
      <c r="T14" s="202">
        <v>3</v>
      </c>
      <c r="U14" s="266">
        <f>+T14/'18'!T14*1000</f>
        <v>2.7247956403269753</v>
      </c>
      <c r="V14" s="202">
        <v>0</v>
      </c>
      <c r="W14" s="266">
        <f>+V14/'18'!V14*1000</f>
        <v>0</v>
      </c>
      <c r="X14" s="202">
        <v>0</v>
      </c>
      <c r="Y14" s="266">
        <f>+X14/'18'!X14*1000</f>
        <v>0</v>
      </c>
      <c r="Z14" s="202">
        <v>1</v>
      </c>
      <c r="AA14" s="266">
        <f>+Z14/'18'!Z14*1000</f>
        <v>8.695652173913043</v>
      </c>
      <c r="AB14" s="202">
        <v>0</v>
      </c>
      <c r="AC14" s="255">
        <f>+AB14/'18'!AB14*1000</f>
        <v>0</v>
      </c>
      <c r="AD14" s="202">
        <v>1</v>
      </c>
      <c r="AE14" s="255">
        <f>+AD14/'18'!AD14*1000</f>
        <v>5.0761421319796947</v>
      </c>
    </row>
    <row r="15" spans="1:31" s="6" customFormat="1" ht="26.25" customHeight="1">
      <c r="A15" s="254">
        <f>+'22'!A15</f>
        <v>2015</v>
      </c>
      <c r="B15" s="202">
        <v>433</v>
      </c>
      <c r="C15" s="267">
        <f>+B15/'18'!B15*1000</f>
        <v>1.7697306576204686</v>
      </c>
      <c r="D15" s="256">
        <v>43</v>
      </c>
      <c r="E15" s="267">
        <f>+D15/'18'!D15*1000</f>
        <v>1.8221883210441563</v>
      </c>
      <c r="F15" s="202">
        <f t="shared" si="0"/>
        <v>7</v>
      </c>
      <c r="G15" s="266">
        <f>+F15/'18'!F15*1000</f>
        <v>1.8139414356050791</v>
      </c>
      <c r="H15" s="275">
        <f t="shared" si="1"/>
        <v>4</v>
      </c>
      <c r="I15" s="259">
        <f>+H15/'18'!H15*1000</f>
        <v>2.5348542458808616</v>
      </c>
      <c r="J15" s="202">
        <v>2</v>
      </c>
      <c r="K15" s="269">
        <f>+J15/'18'!J15*1000</f>
        <v>2.0639834881320946</v>
      </c>
      <c r="L15" s="202">
        <v>1</v>
      </c>
      <c r="M15" s="255">
        <f>+L15/'18'!L15*1000</f>
        <v>4.1493775933609962</v>
      </c>
      <c r="N15" s="202">
        <v>1</v>
      </c>
      <c r="O15" s="266">
        <f>+N15/'18'!N15*1000</f>
        <v>4.5248868778280551</v>
      </c>
      <c r="P15" s="202">
        <v>0</v>
      </c>
      <c r="Q15" s="266">
        <f>+P15/'18'!P15*1000</f>
        <v>0</v>
      </c>
      <c r="R15" s="202">
        <f t="shared" si="2"/>
        <v>3</v>
      </c>
      <c r="S15" s="269">
        <f>+R15/'18'!R15*1000</f>
        <v>1.31521262604121</v>
      </c>
      <c r="T15" s="202">
        <v>1</v>
      </c>
      <c r="U15" s="266">
        <f>+T15/'18'!T15*1000</f>
        <v>0.84104289318755254</v>
      </c>
      <c r="V15" s="202">
        <v>1</v>
      </c>
      <c r="W15" s="266">
        <f>+V15/'18'!V15*1000</f>
        <v>4.4843049327354256</v>
      </c>
      <c r="X15" s="202">
        <v>1</v>
      </c>
      <c r="Y15" s="266">
        <f>+X15/'18'!X15*1000</f>
        <v>4.5045045045045047</v>
      </c>
      <c r="Z15" s="202">
        <v>0</v>
      </c>
      <c r="AA15" s="266">
        <f>+Z15/'18'!Z15*1000</f>
        <v>0</v>
      </c>
      <c r="AB15" s="202">
        <v>0</v>
      </c>
      <c r="AC15" s="255">
        <f>+AB15/'18'!AB15*1000</f>
        <v>0</v>
      </c>
      <c r="AD15" s="202">
        <v>0</v>
      </c>
      <c r="AE15" s="255">
        <f>+AD15/'18'!AD15*1000</f>
        <v>0</v>
      </c>
    </row>
    <row r="16" spans="1:31" s="6" customFormat="1" ht="26.25" customHeight="1">
      <c r="A16" s="254">
        <f>+'22'!A16</f>
        <v>2016</v>
      </c>
      <c r="B16" s="202">
        <v>387</v>
      </c>
      <c r="C16" s="267">
        <f>+B16/'18'!B16*1000</f>
        <v>1.6764132553606237</v>
      </c>
      <c r="D16" s="256">
        <v>47</v>
      </c>
      <c r="E16" s="267">
        <f>+D16/'18'!D16*1000</f>
        <v>2.626138458959602</v>
      </c>
      <c r="F16" s="202">
        <f t="shared" si="0"/>
        <v>6</v>
      </c>
      <c r="G16" s="266">
        <f>+F16/'18'!F16*1000</f>
        <v>1.8231540565177757</v>
      </c>
      <c r="H16" s="275">
        <f t="shared" si="1"/>
        <v>2</v>
      </c>
      <c r="I16" s="259">
        <f>+H16/'18'!H16*1000</f>
        <v>1.4738393515106853</v>
      </c>
      <c r="J16" s="202"/>
      <c r="K16" s="269">
        <f>+J16/'18'!J16*1000</f>
        <v>0</v>
      </c>
      <c r="L16" s="202"/>
      <c r="M16" s="255">
        <f>+L16/'18'!L16*1000</f>
        <v>0</v>
      </c>
      <c r="N16" s="202">
        <v>2</v>
      </c>
      <c r="O16" s="266">
        <f>+N16/'18'!N16*1000</f>
        <v>10.526315789473683</v>
      </c>
      <c r="P16" s="202"/>
      <c r="Q16" s="266">
        <f>+P16/'18'!P16*1000</f>
        <v>0</v>
      </c>
      <c r="R16" s="202">
        <f t="shared" si="2"/>
        <v>4</v>
      </c>
      <c r="S16" s="269">
        <f>+R16/'18'!R16*1000</f>
        <v>2.0682523267838677</v>
      </c>
      <c r="T16" s="202">
        <v>4</v>
      </c>
      <c r="U16" s="266">
        <f>+T16/'18'!T16*1000</f>
        <v>3.8461538461538463</v>
      </c>
      <c r="V16" s="202"/>
      <c r="W16" s="266">
        <f>+V16/'18'!V16*1000</f>
        <v>0</v>
      </c>
      <c r="X16" s="202"/>
      <c r="Y16" s="266">
        <f>+X16/'18'!X16*1000</f>
        <v>0</v>
      </c>
      <c r="Z16" s="202"/>
      <c r="AA16" s="266">
        <f>+Z16/'18'!Z16*1000</f>
        <v>0</v>
      </c>
      <c r="AB16" s="202"/>
      <c r="AC16" s="255">
        <f>+AB16/'18'!AB16*1000</f>
        <v>0</v>
      </c>
      <c r="AD16" s="202"/>
      <c r="AE16" s="255">
        <f>+AD16/'18'!AD16*1000</f>
        <v>0</v>
      </c>
    </row>
    <row r="17" spans="1:31" s="6" customFormat="1" ht="26.25" customHeight="1">
      <c r="A17" s="254">
        <f>+'22'!A17</f>
        <v>2017</v>
      </c>
      <c r="B17" s="202">
        <v>345</v>
      </c>
      <c r="C17" s="267">
        <f>+B17/'18'!B17*1000</f>
        <v>1.5729507187700893</v>
      </c>
      <c r="D17" s="256">
        <v>38</v>
      </c>
      <c r="E17" s="267">
        <f>+D17/'18'!D17*1000</f>
        <v>1.868883096444204</v>
      </c>
      <c r="F17" s="202">
        <f t="shared" si="0"/>
        <v>7</v>
      </c>
      <c r="G17" s="266">
        <f>+F17/'18'!F17*1000</f>
        <v>2.3497818059751596</v>
      </c>
      <c r="H17" s="275">
        <f t="shared" si="1"/>
        <v>5</v>
      </c>
      <c r="I17" s="259">
        <f>+H17/'18'!H17*1000</f>
        <v>4.1736227045075127</v>
      </c>
      <c r="J17" s="202">
        <v>3</v>
      </c>
      <c r="K17" s="269">
        <f>+J17/'18'!J17*1000</f>
        <v>4.1841004184100417</v>
      </c>
      <c r="L17" s="202"/>
      <c r="M17" s="255">
        <f>+L17/'18'!L17*1000</f>
        <v>0</v>
      </c>
      <c r="N17" s="202"/>
      <c r="O17" s="266">
        <f>+N17/'18'!N17*1000</f>
        <v>0</v>
      </c>
      <c r="P17" s="202">
        <v>2</v>
      </c>
      <c r="Q17" s="266">
        <f>+P17/'18'!P17*1000</f>
        <v>14.925373134328359</v>
      </c>
      <c r="R17" s="202">
        <f t="shared" si="2"/>
        <v>2</v>
      </c>
      <c r="S17" s="269">
        <f>+R17/'18'!R17*1000</f>
        <v>1.1229646266142617</v>
      </c>
      <c r="T17" s="202">
        <v>2</v>
      </c>
      <c r="U17" s="266">
        <f>+T17/'18'!T17*1000</f>
        <v>2.1052631578947367</v>
      </c>
      <c r="V17" s="202"/>
      <c r="W17" s="266">
        <f>+V17/'18'!V17*1000</f>
        <v>0</v>
      </c>
      <c r="X17" s="202"/>
      <c r="Y17" s="266">
        <f>+X17/'18'!X17*1000</f>
        <v>0</v>
      </c>
      <c r="Z17" s="202"/>
      <c r="AA17" s="266">
        <f>+Z17/'18'!Z17*1000</f>
        <v>0</v>
      </c>
      <c r="AB17" s="202"/>
      <c r="AC17" s="255">
        <f>+AB17/'18'!AB17*1000</f>
        <v>0</v>
      </c>
      <c r="AD17" s="202"/>
      <c r="AE17" s="255">
        <f>+AD17/'18'!AD17*1000</f>
        <v>0</v>
      </c>
    </row>
    <row r="18" spans="1:31" s="6" customFormat="1" ht="26.25" customHeight="1">
      <c r="A18" s="254">
        <f>+'22'!A18</f>
        <v>2018</v>
      </c>
      <c r="B18" s="202">
        <v>353</v>
      </c>
      <c r="C18" s="267">
        <f>+B18/'18'!B18*1000</f>
        <v>1.6094249383357726</v>
      </c>
      <c r="D18" s="256">
        <v>38</v>
      </c>
      <c r="E18" s="267">
        <f>+D18/'18'!D18*1000</f>
        <v>1.868883096444204</v>
      </c>
      <c r="F18" s="202">
        <f t="shared" si="0"/>
        <v>5</v>
      </c>
      <c r="G18" s="266">
        <f>+F18/'18'!F18*1000</f>
        <v>1.6066838046272494</v>
      </c>
      <c r="H18" s="275">
        <f t="shared" si="1"/>
        <v>0</v>
      </c>
      <c r="I18" s="259">
        <f>+H18/'18'!H18*1000</f>
        <v>0</v>
      </c>
      <c r="J18" s="202"/>
      <c r="K18" s="269">
        <f>+J18/'18'!J18*1000</f>
        <v>0</v>
      </c>
      <c r="L18" s="202"/>
      <c r="M18" s="255">
        <f>+L18/'18'!L18*1000</f>
        <v>0</v>
      </c>
      <c r="N18" s="202"/>
      <c r="O18" s="266">
        <f>+N18/'18'!N18*1000</f>
        <v>0</v>
      </c>
      <c r="P18" s="202"/>
      <c r="Q18" s="266">
        <f>+P18/'18'!P18*1000</f>
        <v>0</v>
      </c>
      <c r="R18" s="202">
        <f t="shared" si="2"/>
        <v>5</v>
      </c>
      <c r="S18" s="269">
        <f>+R18/'18'!R18*1000</f>
        <v>2.5471217524197658</v>
      </c>
      <c r="T18" s="202">
        <v>4</v>
      </c>
      <c r="U18" s="266">
        <f>+T18/'18'!T18*1000</f>
        <v>3.8986354775828458</v>
      </c>
      <c r="V18" s="202"/>
      <c r="W18" s="266">
        <f>+V18/'18'!V18*1000</f>
        <v>0</v>
      </c>
      <c r="X18" s="202"/>
      <c r="Y18" s="266">
        <f>+X18/'18'!X18*1000</f>
        <v>0</v>
      </c>
      <c r="Z18" s="202"/>
      <c r="AA18" s="266">
        <f>+Z18/'18'!Z18*1000</f>
        <v>0</v>
      </c>
      <c r="AB18" s="202">
        <v>1</v>
      </c>
      <c r="AC18" s="255">
        <f>+AB18/'18'!AB18*1000</f>
        <v>3.3444816053511706</v>
      </c>
      <c r="AD18" s="202"/>
      <c r="AE18" s="255">
        <f>+AD18/'18'!AD18*1000</f>
        <v>0</v>
      </c>
    </row>
    <row r="19" spans="1:31" s="6" customFormat="1" ht="26.25" customHeight="1">
      <c r="A19" s="254">
        <f>+'22'!A19</f>
        <v>2019</v>
      </c>
      <c r="B19" s="202">
        <v>348</v>
      </c>
      <c r="C19" s="267">
        <f>+B19/'18'!B19*1000</f>
        <v>1.6673614005835766</v>
      </c>
      <c r="D19" s="256">
        <v>31</v>
      </c>
      <c r="E19" s="267">
        <f>+D19/'18'!D19*1000</f>
        <v>1.5951425337038181</v>
      </c>
      <c r="F19" s="202">
        <f t="shared" si="0"/>
        <v>3</v>
      </c>
      <c r="G19" s="266">
        <f>+F19/'18'!F19*1000</f>
        <v>0.96680631646793425</v>
      </c>
      <c r="H19" s="275">
        <f t="shared" si="1"/>
        <v>2</v>
      </c>
      <c r="I19" s="259">
        <f>+H19/'18'!H19*1000</f>
        <v>1.669449081803005</v>
      </c>
      <c r="J19" s="202">
        <v>2</v>
      </c>
      <c r="K19" s="269">
        <f>+J19/'18'!J19*1000</f>
        <v>2.7472527472527473</v>
      </c>
      <c r="L19" s="202"/>
      <c r="M19" s="255">
        <f>+L19/'18'!L19*1000</f>
        <v>0</v>
      </c>
      <c r="N19" s="202"/>
      <c r="O19" s="266">
        <f>+N19/'18'!N19*1000</f>
        <v>0</v>
      </c>
      <c r="P19" s="202"/>
      <c r="Q19" s="266">
        <f>+P19/'18'!P19*1000</f>
        <v>0</v>
      </c>
      <c r="R19" s="202">
        <f t="shared" si="2"/>
        <v>1</v>
      </c>
      <c r="S19" s="269">
        <f>+R19/'18'!R19*1000</f>
        <v>0.52493438320209973</v>
      </c>
      <c r="T19" s="202">
        <v>1</v>
      </c>
      <c r="U19" s="266">
        <f>+T19/'18'!T19*1000</f>
        <v>0.96061479346781942</v>
      </c>
      <c r="V19" s="202"/>
      <c r="W19" s="266">
        <f>+V19/'18'!V19*1000</f>
        <v>0</v>
      </c>
      <c r="X19" s="202"/>
      <c r="Y19" s="266">
        <f>+X19/'18'!X19*1000</f>
        <v>0</v>
      </c>
      <c r="Z19" s="202"/>
      <c r="AA19" s="266">
        <f>+Z19/'18'!Z19*1000</f>
        <v>0</v>
      </c>
      <c r="AB19" s="202"/>
      <c r="AC19" s="255">
        <f>+AB19/'18'!AB19*1000</f>
        <v>0</v>
      </c>
      <c r="AD19" s="202"/>
      <c r="AE19" s="255">
        <f>+AD19/'18'!AD19*1000</f>
        <v>0</v>
      </c>
    </row>
    <row r="20" spans="1:31" s="6" customFormat="1" ht="26.25" customHeight="1">
      <c r="A20" s="254">
        <f>+'22'!A20</f>
        <v>2020</v>
      </c>
      <c r="B20" s="202"/>
      <c r="C20" s="267"/>
      <c r="D20" s="256"/>
      <c r="E20" s="267"/>
      <c r="F20" s="202">
        <f t="shared" ref="F20" si="3">+J20+L20+N20+P20+T20+V20+X20+Z20+AB20+AD20</f>
        <v>3</v>
      </c>
      <c r="G20" s="266">
        <f>+F20/'18'!F20*1000</f>
        <v>1.1494252873563218</v>
      </c>
      <c r="H20" s="275">
        <f t="shared" ref="H20" si="4">+J20+L20+N20+P20</f>
        <v>1</v>
      </c>
      <c r="I20" s="259">
        <f>+H20/'18'!H20*1000</f>
        <v>1.0245901639344264</v>
      </c>
      <c r="J20" s="202">
        <v>1</v>
      </c>
      <c r="K20" s="269">
        <f>+J20/'18'!J20*1000</f>
        <v>1.6949152542372881</v>
      </c>
      <c r="L20" s="202"/>
      <c r="M20" s="255">
        <f>+L20/'18'!L20*1000</f>
        <v>0</v>
      </c>
      <c r="N20" s="202"/>
      <c r="O20" s="266">
        <f>+N20/'18'!N20*1000</f>
        <v>0</v>
      </c>
      <c r="P20" s="202"/>
      <c r="Q20" s="266">
        <f>+P20/'18'!P20*1000</f>
        <v>0</v>
      </c>
      <c r="R20" s="202">
        <f t="shared" ref="R20" si="5">+T20+V20+X20+Z20+AB20+AD20</f>
        <v>2</v>
      </c>
      <c r="S20" s="269">
        <f>+R20/'18'!R20*1000</f>
        <v>1.2239902080783354</v>
      </c>
      <c r="T20" s="202">
        <v>2</v>
      </c>
      <c r="U20" s="266">
        <f>+T20/'18'!T20*1000</f>
        <v>2.2988505747126435</v>
      </c>
      <c r="V20" s="202"/>
      <c r="W20" s="266">
        <f>+V20/'18'!V20*1000</f>
        <v>0</v>
      </c>
      <c r="X20" s="202"/>
      <c r="Y20" s="266">
        <f>+X20/'18'!X20*1000</f>
        <v>0</v>
      </c>
      <c r="Z20" s="202"/>
      <c r="AA20" s="266">
        <f>+Z20/'18'!Z20*1000</f>
        <v>0</v>
      </c>
      <c r="AB20" s="202"/>
      <c r="AC20" s="255">
        <f>+AB20/'18'!AB20*1000</f>
        <v>0</v>
      </c>
      <c r="AD20" s="202"/>
      <c r="AE20" s="255">
        <f>+AD20/'18'!AD20*1000</f>
        <v>0</v>
      </c>
    </row>
    <row r="21" spans="1:31">
      <c r="A21" s="260"/>
      <c r="B21" s="205"/>
      <c r="C21" s="277"/>
      <c r="D21" s="276"/>
      <c r="E21" s="277"/>
      <c r="F21" s="208"/>
      <c r="G21" s="261"/>
      <c r="H21" s="262"/>
      <c r="I21" s="261"/>
      <c r="J21" s="1000"/>
      <c r="K21" s="100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B22" s="1"/>
      <c r="C22" s="1"/>
      <c r="D22" s="1"/>
      <c r="E22" s="1"/>
      <c r="F22" s="1"/>
      <c r="G22" s="1"/>
      <c r="H22" s="1"/>
      <c r="I22" s="1"/>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2020  :   DATOS POR RESIDENCIA</v>
      </c>
      <c r="C23" s="263"/>
      <c r="D23" s="212"/>
      <c r="E23" s="212"/>
      <c r="F23" s="212"/>
      <c r="G23" s="212"/>
      <c r="H23" s="212"/>
      <c r="I23" s="212"/>
      <c r="J23" s="212"/>
      <c r="K23" s="212"/>
      <c r="L23" s="212"/>
      <c r="M23" s="212"/>
      <c r="N23" s="1"/>
      <c r="O23" s="1"/>
      <c r="P23" s="1"/>
      <c r="Q23" s="1"/>
      <c r="R23" s="1"/>
      <c r="S23" s="1"/>
      <c r="T23" s="1"/>
      <c r="U23" s="1"/>
      <c r="V23" s="1"/>
      <c r="W23" s="1"/>
      <c r="X23" s="1"/>
      <c r="Y23" s="1"/>
      <c r="Z23" s="1"/>
      <c r="AA23" s="1"/>
      <c r="AB23" s="1"/>
      <c r="AC23" s="1"/>
      <c r="AD23" s="1"/>
      <c r="AE23" s="1"/>
    </row>
    <row r="24" spans="1:31">
      <c r="A24" s="1"/>
      <c r="B24" s="212"/>
      <c r="C24" s="216" t="s">
        <v>671</v>
      </c>
      <c r="D24" s="216"/>
      <c r="E24" s="212"/>
      <c r="F24" s="212"/>
      <c r="G24" s="212"/>
      <c r="H24" s="212"/>
      <c r="I24" s="212"/>
      <c r="J24" s="212"/>
      <c r="K24" s="212"/>
      <c r="L24" s="212"/>
      <c r="M24" s="212"/>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K25" s="212"/>
      <c r="L25" s="212"/>
      <c r="M25" s="212"/>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topLeftCell="A8" zoomScaleNormal="100" workbookViewId="0">
      <selection activeCell="AE11" sqref="AE11"/>
    </sheetView>
  </sheetViews>
  <sheetFormatPr baseColWidth="10" defaultRowHeight="13.2"/>
  <cols>
    <col min="1" max="2" width="5.44140625" customWidth="1"/>
    <col min="3" max="3" width="7.21875" customWidth="1"/>
    <col min="4" max="4" width="5.77734375" customWidth="1"/>
    <col min="5" max="5" width="6.44140625" customWidth="1"/>
    <col min="6" max="6" width="5.44140625" customWidth="1"/>
    <col min="7" max="7" width="5.21875" customWidth="1"/>
    <col min="8" max="8" width="5.77734375" customWidth="1"/>
    <col min="9" max="9" width="5.44140625" customWidth="1"/>
    <col min="10" max="10" width="4.77734375" customWidth="1"/>
    <col min="11" max="11" width="5.44140625" customWidth="1"/>
    <col min="12" max="12" width="4.77734375" customWidth="1"/>
    <col min="13" max="13" width="6" customWidth="1"/>
    <col min="14" max="14" width="4.77734375" customWidth="1"/>
    <col min="15" max="15" width="5.5546875" customWidth="1"/>
    <col min="16" max="16" width="4.77734375" customWidth="1"/>
    <col min="17" max="17" width="5.5546875" customWidth="1"/>
    <col min="18" max="18" width="5.77734375" customWidth="1"/>
    <col min="19" max="19" width="5.21875" customWidth="1"/>
    <col min="20" max="20" width="4.77734375" customWidth="1"/>
    <col min="21" max="21" width="6.21875" customWidth="1"/>
    <col min="22" max="22" width="4.77734375" customWidth="1"/>
    <col min="23" max="23" width="5" customWidth="1"/>
    <col min="24" max="24" width="4.77734375" customWidth="1"/>
    <col min="25" max="25" width="6.21875" customWidth="1"/>
    <col min="26" max="26" width="4.77734375" customWidth="1"/>
    <col min="27" max="27" width="5.77734375" customWidth="1"/>
    <col min="28" max="28" width="3.5546875" customWidth="1"/>
    <col min="29" max="29" width="6.21875" customWidth="1"/>
    <col min="30" max="30" width="4.77734375" customWidth="1"/>
    <col min="31" max="31" width="5.44140625" customWidth="1"/>
  </cols>
  <sheetData>
    <row r="1" spans="1:31">
      <c r="A1" s="144" t="s">
        <v>673</v>
      </c>
      <c r="B1" s="1"/>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+'23'!A3</f>
        <v>AÑOS   2011  - 2020</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2"/>
      <c r="B6" s="283"/>
      <c r="C6" s="284"/>
      <c r="D6" s="283"/>
      <c r="E6" s="284"/>
      <c r="F6" s="283"/>
      <c r="G6" s="284"/>
      <c r="H6" s="239"/>
      <c r="I6" s="84"/>
      <c r="J6" s="118" t="s">
        <v>639</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647</v>
      </c>
      <c r="G7" s="274"/>
      <c r="H7" s="182" t="s">
        <v>648</v>
      </c>
      <c r="I7" s="242"/>
      <c r="J7" s="243"/>
      <c r="K7" s="244"/>
      <c r="L7" s="243"/>
      <c r="M7" s="244"/>
      <c r="N7" s="243"/>
      <c r="O7" s="244"/>
      <c r="P7" s="243"/>
      <c r="Q7" s="244"/>
      <c r="R7" s="182" t="s">
        <v>648</v>
      </c>
      <c r="S7" s="242"/>
      <c r="T7" s="243"/>
      <c r="U7" s="244"/>
      <c r="V7" s="243"/>
      <c r="W7" s="244"/>
      <c r="X7" s="243"/>
      <c r="Y7" s="244"/>
      <c r="Z7" s="216"/>
      <c r="AA7" s="244"/>
      <c r="AB7" s="243"/>
      <c r="AC7" s="244"/>
      <c r="AD7" s="243"/>
      <c r="AE7" s="244"/>
    </row>
    <row r="8" spans="1:31" ht="17.25" customHeight="1">
      <c r="A8" s="245" t="s">
        <v>640</v>
      </c>
      <c r="B8" s="199" t="s">
        <v>645</v>
      </c>
      <c r="C8" s="199"/>
      <c r="D8" s="199" t="s">
        <v>646</v>
      </c>
      <c r="E8" s="246"/>
      <c r="F8" s="199" t="s">
        <v>649</v>
      </c>
      <c r="G8" s="246"/>
      <c r="H8" s="199" t="s">
        <v>630</v>
      </c>
      <c r="I8" s="246"/>
      <c r="J8" s="199" t="s">
        <v>630</v>
      </c>
      <c r="K8" s="246"/>
      <c r="L8" s="247" t="s">
        <v>426</v>
      </c>
      <c r="M8" s="248"/>
      <c r="N8" s="199" t="s">
        <v>651</v>
      </c>
      <c r="O8" s="246"/>
      <c r="P8" s="199" t="s">
        <v>429</v>
      </c>
      <c r="Q8" s="246"/>
      <c r="R8" s="199" t="s">
        <v>652</v>
      </c>
      <c r="S8" s="246"/>
      <c r="T8" s="199" t="s">
        <v>652</v>
      </c>
      <c r="U8" s="246"/>
      <c r="V8" s="199" t="s">
        <v>393</v>
      </c>
      <c r="W8" s="246"/>
      <c r="X8" s="199" t="s">
        <v>411</v>
      </c>
      <c r="Y8" s="246"/>
      <c r="Z8" s="199" t="s">
        <v>416</v>
      </c>
      <c r="AA8" s="246"/>
      <c r="AB8" s="199" t="s">
        <v>653</v>
      </c>
      <c r="AC8" s="246"/>
      <c r="AD8" s="199" t="s">
        <v>418</v>
      </c>
      <c r="AE8" s="246"/>
    </row>
    <row r="9" spans="1:31" ht="18.75" customHeight="1">
      <c r="A9" s="249"/>
      <c r="B9" s="250" t="s">
        <v>661</v>
      </c>
      <c r="C9" s="252" t="s">
        <v>662</v>
      </c>
      <c r="D9" s="250" t="s">
        <v>661</v>
      </c>
      <c r="E9" s="252" t="s">
        <v>662</v>
      </c>
      <c r="F9" s="250" t="s">
        <v>661</v>
      </c>
      <c r="G9" s="252" t="s">
        <v>662</v>
      </c>
      <c r="H9" s="250" t="s">
        <v>661</v>
      </c>
      <c r="I9" s="251" t="s">
        <v>662</v>
      </c>
      <c r="J9" s="250" t="s">
        <v>661</v>
      </c>
      <c r="K9" s="251" t="s">
        <v>662</v>
      </c>
      <c r="L9" s="250" t="s">
        <v>661</v>
      </c>
      <c r="M9" s="252" t="s">
        <v>662</v>
      </c>
      <c r="N9" s="250" t="s">
        <v>661</v>
      </c>
      <c r="O9" s="252" t="s">
        <v>662</v>
      </c>
      <c r="P9" s="250" t="s">
        <v>661</v>
      </c>
      <c r="Q9" s="252" t="s">
        <v>662</v>
      </c>
      <c r="R9" s="250" t="s">
        <v>661</v>
      </c>
      <c r="S9" s="251" t="s">
        <v>662</v>
      </c>
      <c r="T9" s="250" t="s">
        <v>661</v>
      </c>
      <c r="U9" s="252" t="s">
        <v>662</v>
      </c>
      <c r="V9" s="250" t="s">
        <v>661</v>
      </c>
      <c r="W9" s="252" t="s">
        <v>662</v>
      </c>
      <c r="X9" s="250" t="s">
        <v>661</v>
      </c>
      <c r="Y9" s="252" t="s">
        <v>662</v>
      </c>
      <c r="Z9" s="250" t="s">
        <v>661</v>
      </c>
      <c r="AA9" s="252" t="s">
        <v>662</v>
      </c>
      <c r="AB9" s="250" t="s">
        <v>661</v>
      </c>
      <c r="AC9" s="252" t="s">
        <v>662</v>
      </c>
      <c r="AD9" s="250" t="s">
        <v>661</v>
      </c>
      <c r="AE9" s="252" t="s">
        <v>662</v>
      </c>
    </row>
    <row r="10" spans="1:31">
      <c r="A10" s="87"/>
      <c r="B10" s="279"/>
      <c r="C10" s="280"/>
      <c r="D10" s="279"/>
      <c r="E10" s="280"/>
      <c r="F10" s="279"/>
      <c r="G10" s="280"/>
      <c r="H10" s="281"/>
      <c r="I10" s="281"/>
      <c r="J10" s="279"/>
      <c r="K10" s="280"/>
      <c r="L10" s="279"/>
      <c r="M10" s="280"/>
      <c r="N10" s="279"/>
      <c r="O10" s="280"/>
      <c r="P10" s="279"/>
      <c r="Q10" s="280"/>
      <c r="R10" s="281"/>
      <c r="S10" s="281"/>
      <c r="T10" s="279"/>
      <c r="U10" s="280"/>
      <c r="V10" s="279"/>
      <c r="W10" s="280"/>
      <c r="X10" s="279"/>
      <c r="Y10" s="280"/>
      <c r="Z10" s="279"/>
      <c r="AA10" s="280"/>
      <c r="AB10" s="279"/>
      <c r="AC10" s="280"/>
      <c r="AD10" s="281"/>
      <c r="AE10" s="280"/>
    </row>
    <row r="11" spans="1:31" s="6" customFormat="1" ht="27.75" customHeight="1">
      <c r="A11" s="254">
        <f>+'23'!A11</f>
        <v>2011</v>
      </c>
      <c r="B11" s="270">
        <f>+'23'!B11+'22'!B11</f>
        <v>1908</v>
      </c>
      <c r="C11" s="266">
        <f>+B11/'18'!B11*1000</f>
        <v>7.6663760301190536</v>
      </c>
      <c r="D11" s="270">
        <f>+'23'!D11+'22'!D11</f>
        <v>168</v>
      </c>
      <c r="E11" s="266">
        <f>+D11/'18'!D11*1000</f>
        <v>7.0904026335781216</v>
      </c>
      <c r="F11" s="202">
        <f t="shared" ref="F11:F16" si="0">+J11+L11+N11+P11+T11+V11+X11+Z11+AB11+AD11</f>
        <v>29</v>
      </c>
      <c r="G11" s="255">
        <f>+F11/'18'!F11*1000</f>
        <v>7.8420767982693338</v>
      </c>
      <c r="H11" s="268">
        <f t="shared" ref="H11:H16" si="1">+J11+L11+N11+P11</f>
        <v>11</v>
      </c>
      <c r="I11" s="269">
        <f>+H11/'18'!H11*1000</f>
        <v>7.2799470549305099</v>
      </c>
      <c r="J11" s="270">
        <f>+'23'!J11+'22'!J11</f>
        <v>7</v>
      </c>
      <c r="K11" s="266">
        <f>+J11/'18'!J11*1000</f>
        <v>7.2239422084623319</v>
      </c>
      <c r="L11" s="270">
        <f>+'23'!L11+'22'!L11</f>
        <v>3</v>
      </c>
      <c r="M11" s="266">
        <f>+L11/'18'!L11*1000</f>
        <v>12.931034482758621</v>
      </c>
      <c r="N11" s="270">
        <f>+'23'!N11+'22'!N11</f>
        <v>0</v>
      </c>
      <c r="O11" s="266">
        <f>+N11/'18'!N11*1000</f>
        <v>0</v>
      </c>
      <c r="P11" s="270">
        <f>+'23'!P11+'22'!P11</f>
        <v>1</v>
      </c>
      <c r="Q11" s="266">
        <f>+P11/'18'!P11*1000</f>
        <v>6.9930069930069934</v>
      </c>
      <c r="R11" s="202">
        <f t="shared" ref="R11:R16" si="2">+T11+V11+X11+Z11+AB11+AD11</f>
        <v>18</v>
      </c>
      <c r="S11" s="269">
        <f>+R11/'18'!R11*1000</f>
        <v>8.2304526748971192</v>
      </c>
      <c r="T11" s="270">
        <f>+'23'!T11+'22'!T11</f>
        <v>8</v>
      </c>
      <c r="U11" s="266">
        <f>+T11/'18'!T11*1000</f>
        <v>7.1428571428571423</v>
      </c>
      <c r="V11" s="270">
        <f>+'23'!V11+'22'!V11</f>
        <v>2</v>
      </c>
      <c r="W11" s="266">
        <f>+V11/'18'!V11*1000</f>
        <v>9.3896713615023479</v>
      </c>
      <c r="X11" s="270">
        <f>+'23'!X11+'22'!X11</f>
        <v>2</v>
      </c>
      <c r="Y11" s="266">
        <f>+X11/'18'!X11*1000</f>
        <v>7.9365079365079358</v>
      </c>
      <c r="Z11" s="270">
        <f>+'23'!Z11+'22'!Z11</f>
        <v>0</v>
      </c>
      <c r="AA11" s="266">
        <f>+Z11/'18'!Z11*1000</f>
        <v>0</v>
      </c>
      <c r="AB11" s="270">
        <f>+'23'!AB11+'22'!AB11</f>
        <v>6</v>
      </c>
      <c r="AC11" s="266">
        <f>+AB11/'18'!AB11*1000</f>
        <v>18.518518518518519</v>
      </c>
      <c r="AD11" s="270">
        <f>+'23'!AD11+'22'!AD11</f>
        <v>0</v>
      </c>
      <c r="AE11" s="255">
        <f>+AD11/'18'!AD11*1000</f>
        <v>0</v>
      </c>
    </row>
    <row r="12" spans="1:31" s="6" customFormat="1" ht="27.75" customHeight="1">
      <c r="A12" s="254">
        <f>+'23'!A12</f>
        <v>2012</v>
      </c>
      <c r="B12" s="270">
        <f>+'23'!B12+'22'!B12</f>
        <v>1812</v>
      </c>
      <c r="C12" s="266">
        <f>+B12/'18'!B12*1000</f>
        <v>7.4305538469109074</v>
      </c>
      <c r="D12" s="270">
        <f>+'23'!D12+'22'!D12</f>
        <v>179</v>
      </c>
      <c r="E12" s="266">
        <f>+D12/'18'!D12*1000</f>
        <v>7.5786443117828863</v>
      </c>
      <c r="F12" s="202">
        <f t="shared" si="0"/>
        <v>34</v>
      </c>
      <c r="G12" s="255">
        <f>+F12/'18'!F12*1000</f>
        <v>8.9238845144356951</v>
      </c>
      <c r="H12" s="268">
        <f t="shared" si="1"/>
        <v>17</v>
      </c>
      <c r="I12" s="269">
        <f>+H12/'18'!H12*1000</f>
        <v>11.024643320363165</v>
      </c>
      <c r="J12" s="270">
        <f>+'23'!J12+'22'!J12</f>
        <v>14</v>
      </c>
      <c r="K12" s="266">
        <f>+J12/'18'!J12*1000</f>
        <v>14.629049111807733</v>
      </c>
      <c r="L12" s="270">
        <f>+'23'!L12+'22'!L12</f>
        <v>0</v>
      </c>
      <c r="M12" s="266">
        <f>+L12/'18'!L12*1000</f>
        <v>0</v>
      </c>
      <c r="N12" s="270">
        <f>+'23'!N12+'22'!N12</f>
        <v>3</v>
      </c>
      <c r="O12" s="266">
        <f>+N12/'18'!N12*1000</f>
        <v>15.625</v>
      </c>
      <c r="P12" s="270">
        <f>+'23'!P12+'22'!P12</f>
        <v>0</v>
      </c>
      <c r="Q12" s="266">
        <f>+P12/'18'!P12*1000</f>
        <v>0</v>
      </c>
      <c r="R12" s="202">
        <f t="shared" si="2"/>
        <v>17</v>
      </c>
      <c r="S12" s="269">
        <f>+R12/'18'!R12*1000</f>
        <v>7.4955908289241622</v>
      </c>
      <c r="T12" s="270">
        <f>+'23'!T12+'22'!T12</f>
        <v>13</v>
      </c>
      <c r="U12" s="266">
        <f>+T12/'18'!T12*1000</f>
        <v>10.788381742738588</v>
      </c>
      <c r="V12" s="270">
        <f>+'23'!V12+'22'!V12</f>
        <v>1</v>
      </c>
      <c r="W12" s="266">
        <f>+V12/'18'!V12*1000</f>
        <v>4.9504950495049505</v>
      </c>
      <c r="X12" s="270">
        <f>+'23'!X12+'22'!X12</f>
        <v>2</v>
      </c>
      <c r="Y12" s="266">
        <f>+X12/'18'!X12*1000</f>
        <v>10.101010101010102</v>
      </c>
      <c r="Z12" s="270">
        <f>+'23'!Z12+'22'!Z12</f>
        <v>0</v>
      </c>
      <c r="AA12" s="266">
        <f>+Z12/'18'!Z12*1000</f>
        <v>0</v>
      </c>
      <c r="AB12" s="270">
        <f>+'23'!AB12+'22'!AB12</f>
        <v>1</v>
      </c>
      <c r="AC12" s="266">
        <f>+AB12/'18'!AB12*1000</f>
        <v>2.6109660574412534</v>
      </c>
      <c r="AD12" s="270">
        <f>+'23'!AD12+'22'!AD12</f>
        <v>0</v>
      </c>
      <c r="AE12" s="255">
        <f>+AD12/'18'!AD12*1000</f>
        <v>0</v>
      </c>
    </row>
    <row r="13" spans="1:31" s="6" customFormat="1" ht="27.75" customHeight="1">
      <c r="A13" s="254">
        <f>+'23'!A13</f>
        <v>2013</v>
      </c>
      <c r="B13" s="270">
        <f>+'23'!B13+'22'!B13</f>
        <v>1692</v>
      </c>
      <c r="C13" s="266">
        <f>+B13/'18'!B13*1000</f>
        <v>6.991591082828867</v>
      </c>
      <c r="D13" s="270">
        <f>+'23'!D13+'22'!D13</f>
        <v>156</v>
      </c>
      <c r="E13" s="266">
        <f>+D13/'18'!D13*1000</f>
        <v>6.7453625632377738</v>
      </c>
      <c r="F13" s="202">
        <f t="shared" si="0"/>
        <v>23</v>
      </c>
      <c r="G13" s="255">
        <f>+F13/'18'!F13*1000</f>
        <v>6.1877858488027986</v>
      </c>
      <c r="H13" s="268">
        <f t="shared" si="1"/>
        <v>8</v>
      </c>
      <c r="I13" s="269">
        <f>+H13/'18'!H13*1000</f>
        <v>5.2219321148825069</v>
      </c>
      <c r="J13" s="270">
        <f>+'23'!J13+'22'!J13</f>
        <v>5</v>
      </c>
      <c r="K13" s="266">
        <f>+J13/'18'!J13*1000</f>
        <v>5.2576235541535228</v>
      </c>
      <c r="L13" s="270">
        <f>+'23'!L13+'22'!L13</f>
        <v>2</v>
      </c>
      <c r="M13" s="266">
        <f>+L13/'18'!L13*1000</f>
        <v>7.4074074074074074</v>
      </c>
      <c r="N13" s="270">
        <f>+'23'!N13+'22'!N13</f>
        <v>0</v>
      </c>
      <c r="O13" s="266">
        <f>+N13/'18'!N13*1000</f>
        <v>0</v>
      </c>
      <c r="P13" s="270">
        <f>+'23'!P13+'22'!P13</f>
        <v>1</v>
      </c>
      <c r="Q13" s="266">
        <f>+P13/'18'!P13*1000</f>
        <v>6.9444444444444438</v>
      </c>
      <c r="R13" s="202">
        <f t="shared" si="2"/>
        <v>15</v>
      </c>
      <c r="S13" s="269">
        <f>+R13/'18'!R13*1000</f>
        <v>6.864988558352402</v>
      </c>
      <c r="T13" s="270">
        <f>+'23'!T13+'22'!T13</f>
        <v>10</v>
      </c>
      <c r="U13" s="266">
        <f>+T13/'18'!T13*1000</f>
        <v>9.025270758122744</v>
      </c>
      <c r="V13" s="270">
        <f>+'23'!V13+'22'!V13</f>
        <v>2</v>
      </c>
      <c r="W13" s="266">
        <f>+V13/'18'!V13*1000</f>
        <v>9.6153846153846168</v>
      </c>
      <c r="X13" s="270">
        <f>+'23'!X13+'22'!X13</f>
        <v>0</v>
      </c>
      <c r="Y13" s="266">
        <f>+X13/'18'!X13*1000</f>
        <v>0</v>
      </c>
      <c r="Z13" s="270">
        <f>+'23'!Z13+'22'!Z13</f>
        <v>1</v>
      </c>
      <c r="AA13" s="266">
        <f>+Z13/'18'!Z13*1000</f>
        <v>11.363636363636363</v>
      </c>
      <c r="AB13" s="270">
        <f>+'23'!AB13+'22'!AB13</f>
        <v>1</v>
      </c>
      <c r="AC13" s="266">
        <f>+AB13/'18'!AB13*1000</f>
        <v>2.6666666666666665</v>
      </c>
      <c r="AD13" s="270">
        <f>+'23'!AD13+'22'!AD13</f>
        <v>1</v>
      </c>
      <c r="AE13" s="255">
        <f>+AD13/'18'!AD13*1000</f>
        <v>5.1546391752577323</v>
      </c>
    </row>
    <row r="14" spans="1:31" s="6" customFormat="1" ht="27.75" customHeight="1">
      <c r="A14" s="254">
        <f>+'23'!A14</f>
        <v>2014</v>
      </c>
      <c r="B14" s="270">
        <f>+'23'!B14+'22'!B14</f>
        <v>1812</v>
      </c>
      <c r="C14" s="266">
        <f>+B14/'18'!B14*1000</f>
        <v>7.4305538469109074</v>
      </c>
      <c r="D14" s="270">
        <f>+'23'!D14+'22'!D14</f>
        <v>121</v>
      </c>
      <c r="E14" s="266">
        <f>+D14/'18'!D14*1000</f>
        <v>4.9905138991998683</v>
      </c>
      <c r="F14" s="202">
        <f t="shared" si="0"/>
        <v>28</v>
      </c>
      <c r="G14" s="255">
        <f>+F14/'18'!F14*1000</f>
        <v>7.4606981081801225</v>
      </c>
      <c r="H14" s="268">
        <f t="shared" si="1"/>
        <v>8</v>
      </c>
      <c r="I14" s="269">
        <f>+H14/'18'!H14*1000</f>
        <v>5.1249199231262006</v>
      </c>
      <c r="J14" s="270">
        <f>+'23'!J14+'22'!J14</f>
        <v>4</v>
      </c>
      <c r="K14" s="266">
        <f>+J14/'18'!J14*1000</f>
        <v>3.90625</v>
      </c>
      <c r="L14" s="270">
        <f>+'23'!L14+'22'!L14</f>
        <v>2</v>
      </c>
      <c r="M14" s="266">
        <f>+L14/'18'!L14*1000</f>
        <v>7.8740157480314963</v>
      </c>
      <c r="N14" s="270">
        <f>+'23'!N14+'22'!N14</f>
        <v>0</v>
      </c>
      <c r="O14" s="266">
        <f>+N14/'18'!N14*1000</f>
        <v>0</v>
      </c>
      <c r="P14" s="270">
        <f>+'23'!P14+'22'!P14</f>
        <v>2</v>
      </c>
      <c r="Q14" s="266">
        <f>+P14/'18'!P14*1000</f>
        <v>15.151515151515152</v>
      </c>
      <c r="R14" s="202">
        <f t="shared" si="2"/>
        <v>20</v>
      </c>
      <c r="S14" s="269">
        <f>+R14/'18'!R14*1000</f>
        <v>9.1240875912408743</v>
      </c>
      <c r="T14" s="270">
        <f>+'23'!T14+'22'!T14</f>
        <v>13</v>
      </c>
      <c r="U14" s="266">
        <f>+T14/'18'!T14*1000</f>
        <v>11.807447774750226</v>
      </c>
      <c r="V14" s="270">
        <f>+'23'!V14+'22'!V14</f>
        <v>2</v>
      </c>
      <c r="W14" s="266">
        <f>+V14/'18'!V14*1000</f>
        <v>10.309278350515465</v>
      </c>
      <c r="X14" s="270">
        <f>+'23'!X14+'22'!X14</f>
        <v>0</v>
      </c>
      <c r="Y14" s="266">
        <f>+X14/'18'!X14*1000</f>
        <v>0</v>
      </c>
      <c r="Z14" s="270">
        <f>+'23'!Z14+'22'!Z14</f>
        <v>2</v>
      </c>
      <c r="AA14" s="266">
        <f>+Z14/'18'!Z14*1000</f>
        <v>17.391304347826086</v>
      </c>
      <c r="AB14" s="270">
        <f>+'23'!AB14+'22'!AB14</f>
        <v>2</v>
      </c>
      <c r="AC14" s="266">
        <f>+AB14/'18'!AB14*1000</f>
        <v>5.1020408163265305</v>
      </c>
      <c r="AD14" s="270">
        <f>+'23'!AD14+'22'!AD14</f>
        <v>1</v>
      </c>
      <c r="AE14" s="255">
        <f>+AD14/'18'!AD14*1000</f>
        <v>5.0761421319796947</v>
      </c>
    </row>
    <row r="15" spans="1:31" s="6" customFormat="1" ht="27.75" customHeight="1">
      <c r="A15" s="254">
        <f>+'23'!A15</f>
        <v>2015</v>
      </c>
      <c r="B15" s="270">
        <f>+'23'!B15+'22'!B15</f>
        <v>1683</v>
      </c>
      <c r="C15" s="266">
        <f>+B15/'18'!B15*1000</f>
        <v>6.8786528793885644</v>
      </c>
      <c r="D15" s="270">
        <f>+'23'!D15+'22'!D15</f>
        <v>156</v>
      </c>
      <c r="E15" s="266">
        <f>+D15/'18'!D15*1000</f>
        <v>6.6107297228578688</v>
      </c>
      <c r="F15" s="202">
        <f t="shared" si="0"/>
        <v>30</v>
      </c>
      <c r="G15" s="255">
        <f>+F15/'18'!F15*1000</f>
        <v>7.7740347240217673</v>
      </c>
      <c r="H15" s="268">
        <f t="shared" si="1"/>
        <v>11</v>
      </c>
      <c r="I15" s="269">
        <f>+H15/'18'!H15*1000</f>
        <v>6.9708491761723703</v>
      </c>
      <c r="J15" s="270">
        <f>+'23'!J15+'22'!J15</f>
        <v>6</v>
      </c>
      <c r="K15" s="266">
        <f>+J15/'18'!J15*1000</f>
        <v>6.1919504643962853</v>
      </c>
      <c r="L15" s="270">
        <f>+'23'!L15+'22'!L15</f>
        <v>4</v>
      </c>
      <c r="M15" s="266">
        <f>+L15/'18'!L15*1000</f>
        <v>16.597510373443985</v>
      </c>
      <c r="N15" s="270">
        <f>+'23'!N15+'22'!N15</f>
        <v>1</v>
      </c>
      <c r="O15" s="266">
        <f>+N15/'18'!N15*1000</f>
        <v>4.5248868778280551</v>
      </c>
      <c r="P15" s="270">
        <f>+'23'!P15+'22'!P15</f>
        <v>0</v>
      </c>
      <c r="Q15" s="266">
        <f>+P15/'18'!P15*1000</f>
        <v>0</v>
      </c>
      <c r="R15" s="202">
        <f t="shared" si="2"/>
        <v>19</v>
      </c>
      <c r="S15" s="269">
        <f>+R15/'18'!R15*1000</f>
        <v>8.3296799649276636</v>
      </c>
      <c r="T15" s="270">
        <f>+'23'!T15+'22'!T15</f>
        <v>11</v>
      </c>
      <c r="U15" s="266">
        <f>+T15/'18'!T15*1000</f>
        <v>9.2514718250630779</v>
      </c>
      <c r="V15" s="270">
        <f>+'23'!V15+'22'!V15</f>
        <v>3</v>
      </c>
      <c r="W15" s="266">
        <f>+V15/'18'!V15*1000</f>
        <v>13.45291479820628</v>
      </c>
      <c r="X15" s="270">
        <f>+'23'!X15+'22'!X15</f>
        <v>3</v>
      </c>
      <c r="Y15" s="266">
        <f>+X15/'18'!X15*1000</f>
        <v>13.513513513513514</v>
      </c>
      <c r="Z15" s="270">
        <f>+'23'!Z15+'22'!Z15</f>
        <v>0</v>
      </c>
      <c r="AA15" s="266">
        <f>+Z15/'18'!Z15*1000</f>
        <v>0</v>
      </c>
      <c r="AB15" s="270">
        <f>+'23'!AB15+'22'!AB15</f>
        <v>2</v>
      </c>
      <c r="AC15" s="266">
        <f>+AB15/'18'!AB14*1000</f>
        <v>5.1020408163265305</v>
      </c>
      <c r="AD15" s="270">
        <f>+'23'!AD15+'22'!AD15</f>
        <v>0</v>
      </c>
      <c r="AE15" s="255">
        <f>+AD15/'18'!AD14*1000</f>
        <v>0</v>
      </c>
    </row>
    <row r="16" spans="1:31" s="6" customFormat="1" ht="27.75" customHeight="1">
      <c r="A16" s="254">
        <f>+'23'!A16</f>
        <v>2016</v>
      </c>
      <c r="B16" s="270">
        <f>+'23'!B16+'22'!B16</f>
        <v>1596</v>
      </c>
      <c r="C16" s="266">
        <f>+B16/'18'!B16*1000</f>
        <v>6.9135802469135808</v>
      </c>
      <c r="D16" s="270">
        <f>+'23'!D16+'22'!D16</f>
        <v>137</v>
      </c>
      <c r="E16" s="266">
        <f>+D16/'18'!D16*1000</f>
        <v>7.6549142314354368</v>
      </c>
      <c r="F16" s="202">
        <f t="shared" si="0"/>
        <v>16</v>
      </c>
      <c r="G16" s="255">
        <f>+F16/'18'!F16*1000</f>
        <v>4.8617441507140686</v>
      </c>
      <c r="H16" s="268">
        <f t="shared" si="1"/>
        <v>5</v>
      </c>
      <c r="I16" s="269">
        <f>+H16/'18'!H16*1000</f>
        <v>3.6845983787767134</v>
      </c>
      <c r="J16" s="270">
        <f>+'23'!J16+'22'!J16</f>
        <v>0</v>
      </c>
      <c r="K16" s="266">
        <f>+J16/'18'!J16*1000</f>
        <v>0</v>
      </c>
      <c r="L16" s="270">
        <f>+'23'!L16+'22'!L16</f>
        <v>0</v>
      </c>
      <c r="M16" s="266">
        <f>+L16/'18'!L16*1000</f>
        <v>0</v>
      </c>
      <c r="N16" s="270">
        <f>+'23'!N16+'22'!N16</f>
        <v>3</v>
      </c>
      <c r="O16" s="266">
        <f>+N16/'18'!N16*1000</f>
        <v>15.789473684210527</v>
      </c>
      <c r="P16" s="270">
        <f>+'23'!P16+'22'!P16</f>
        <v>2</v>
      </c>
      <c r="Q16" s="266">
        <f>+P16/'18'!P16*1000</f>
        <v>17.241379310344826</v>
      </c>
      <c r="R16" s="202">
        <f t="shared" si="2"/>
        <v>11</v>
      </c>
      <c r="S16" s="269">
        <f>+R16/'18'!R16*1000</f>
        <v>5.6876938986556356</v>
      </c>
      <c r="T16" s="270">
        <f>+'23'!T16+'22'!T16</f>
        <v>7</v>
      </c>
      <c r="U16" s="266">
        <f>+T16/'18'!T16*1000</f>
        <v>6.7307692307692308</v>
      </c>
      <c r="V16" s="270">
        <f>+'23'!V16+'22'!V16</f>
        <v>1</v>
      </c>
      <c r="W16" s="266">
        <f>+V16/'18'!V16*1000</f>
        <v>5.6497175141242941</v>
      </c>
      <c r="X16" s="270">
        <f>+'23'!X16+'22'!X16</f>
        <v>1</v>
      </c>
      <c r="Y16" s="266">
        <f>+X16/'18'!X16*1000</f>
        <v>5.1020408163265305</v>
      </c>
      <c r="Z16" s="270">
        <f>+'23'!Z16+'22'!Z16</f>
        <v>0</v>
      </c>
      <c r="AA16" s="266">
        <f>+Z16/'18'!Z16*1000</f>
        <v>0</v>
      </c>
      <c r="AB16" s="270">
        <f>+'23'!AB16+'22'!AB16</f>
        <v>1</v>
      </c>
      <c r="AC16" s="266">
        <f>+AB16/'18'!AB16*1000</f>
        <v>3.5971223021582737</v>
      </c>
      <c r="AD16" s="270">
        <f>+'23'!AD16+'22'!AD16</f>
        <v>1</v>
      </c>
      <c r="AE16" s="255">
        <f>+AD16/'18'!AD16*1000</f>
        <v>6.4516129032258061</v>
      </c>
    </row>
    <row r="17" spans="1:31" s="6" customFormat="1" ht="27.75" customHeight="1">
      <c r="A17" s="254">
        <f>+'23'!A17</f>
        <v>2017</v>
      </c>
      <c r="B17" s="270">
        <f>+'23'!B17+'22'!B17</f>
        <v>1301</v>
      </c>
      <c r="C17" s="266">
        <f>+B17/'18'!B17*1000</f>
        <v>5.9316199568692358</v>
      </c>
      <c r="D17" s="270">
        <f>+'23'!D17+'22'!D17</f>
        <v>143</v>
      </c>
      <c r="E17" s="266">
        <f>+D17/'18'!D17*1000</f>
        <v>7.0329021787242416</v>
      </c>
      <c r="F17" s="202">
        <f>+J17+L17+N17+P17+T17+V17+X17+Z17+AB17+AD17</f>
        <v>19</v>
      </c>
      <c r="G17" s="255">
        <f>+F17/'18'!F17*1000</f>
        <v>6.3779791876468614</v>
      </c>
      <c r="H17" s="268">
        <f>+J17+L17+N17+P17</f>
        <v>7</v>
      </c>
      <c r="I17" s="269">
        <f>+H17/'18'!H17*1000</f>
        <v>5.8430717863105173</v>
      </c>
      <c r="J17" s="270">
        <f>+'23'!J17+'22'!J17</f>
        <v>5</v>
      </c>
      <c r="K17" s="266">
        <f>+J17/'18'!J17*1000</f>
        <v>6.9735006973500697</v>
      </c>
      <c r="L17" s="270">
        <f>+'23'!L17+'22'!L17</f>
        <v>0</v>
      </c>
      <c r="M17" s="266">
        <f>+L17/'18'!L17*1000</f>
        <v>0</v>
      </c>
      <c r="N17" s="270">
        <f>+'23'!N17+'22'!N17</f>
        <v>0</v>
      </c>
      <c r="O17" s="266">
        <f>+N17/'18'!N17*1000</f>
        <v>0</v>
      </c>
      <c r="P17" s="270">
        <f>+'23'!P17+'22'!P17</f>
        <v>2</v>
      </c>
      <c r="Q17" s="266">
        <f>+P17/'18'!P17*1000</f>
        <v>14.925373134328359</v>
      </c>
      <c r="R17" s="202">
        <f>+T17+V17+X17+Z17+AB17+AD17</f>
        <v>12</v>
      </c>
      <c r="S17" s="269">
        <f>+R17/'18'!R17*1000</f>
        <v>6.7377877596855695</v>
      </c>
      <c r="T17" s="270">
        <f>+'23'!T17+'22'!T17</f>
        <v>8</v>
      </c>
      <c r="U17" s="266">
        <f>+T17/'18'!T17*1000</f>
        <v>8.4210526315789469</v>
      </c>
      <c r="V17" s="270">
        <f>+'23'!V17+'22'!V17</f>
        <v>0</v>
      </c>
      <c r="W17" s="266">
        <f>+V17/'18'!V17*1000</f>
        <v>0</v>
      </c>
      <c r="X17" s="270">
        <f>+'23'!X17+'22'!X17</f>
        <v>0</v>
      </c>
      <c r="Y17" s="266">
        <f>+X17/'18'!X17*1000</f>
        <v>0</v>
      </c>
      <c r="Z17" s="270">
        <f>+'23'!Z17+'22'!Z17</f>
        <v>0</v>
      </c>
      <c r="AA17" s="266">
        <f>+Z17/'18'!Z17*1000</f>
        <v>0</v>
      </c>
      <c r="AB17" s="270">
        <f>+'23'!AB17+'22'!AB17</f>
        <v>2</v>
      </c>
      <c r="AC17" s="266">
        <f>+AB17/'18'!AB17*1000</f>
        <v>6.8728522336769755</v>
      </c>
      <c r="AD17" s="270">
        <f>+'23'!AD17+'22'!AD17</f>
        <v>2</v>
      </c>
      <c r="AE17" s="255">
        <f>+AD17/'18'!AD17*1000</f>
        <v>12.738853503184714</v>
      </c>
    </row>
    <row r="18" spans="1:31" s="6" customFormat="1" ht="27.75" customHeight="1">
      <c r="A18" s="254">
        <f>+'23'!A18</f>
        <v>2018</v>
      </c>
      <c r="B18" s="270">
        <f>+'23'!B18+'22'!B18</f>
        <v>1294</v>
      </c>
      <c r="C18" s="266">
        <f>+B18/'18'!B18*1000</f>
        <v>5.8997050147492622</v>
      </c>
      <c r="D18" s="270">
        <f>+'23'!D18+'22'!D18</f>
        <v>120</v>
      </c>
      <c r="E18" s="266">
        <f>+D18/'18'!D18*1000</f>
        <v>5.9017360940343284</v>
      </c>
      <c r="F18" s="202">
        <f>+J18+L18+N18+P18+T18+V18+X18+Z18+AB18+AD18</f>
        <v>19</v>
      </c>
      <c r="G18" s="255">
        <f>+F18/'18'!F18*1000</f>
        <v>6.1053984575835472</v>
      </c>
      <c r="H18" s="268">
        <f>+J18+L18+N18+P18</f>
        <v>9</v>
      </c>
      <c r="I18" s="269">
        <f>+H18/'18'!H18*1000</f>
        <v>7.832898172323759</v>
      </c>
      <c r="J18" s="270">
        <f>+'23'!J18+'22'!J18</f>
        <v>7</v>
      </c>
      <c r="K18" s="266">
        <f>+J18/'18'!J18*1000</f>
        <v>9.7629009762900978</v>
      </c>
      <c r="L18" s="270">
        <f>+'23'!L18+'22'!L18</f>
        <v>1</v>
      </c>
      <c r="M18" s="266">
        <f>+L18/'18'!L18*1000</f>
        <v>5.8479532163742682</v>
      </c>
      <c r="N18" s="270">
        <f>+'23'!N18+'22'!N18</f>
        <v>1</v>
      </c>
      <c r="O18" s="266">
        <f>+N18/'18'!N18*1000</f>
        <v>7.1942446043165473</v>
      </c>
      <c r="P18" s="270">
        <f>+'23'!P18+'22'!P18</f>
        <v>0</v>
      </c>
      <c r="Q18" s="266">
        <f>+P18/'18'!P18*1000</f>
        <v>0</v>
      </c>
      <c r="R18" s="202">
        <f>+T18+V18+X18+Z18+AB18+AD18</f>
        <v>10</v>
      </c>
      <c r="S18" s="269">
        <f>+R18/'18'!R18*1000</f>
        <v>5.0942435048395316</v>
      </c>
      <c r="T18" s="270">
        <f>+'23'!T18+'22'!T18</f>
        <v>4</v>
      </c>
      <c r="U18" s="266">
        <f>+T18/'18'!T18*1000</f>
        <v>3.8986354775828458</v>
      </c>
      <c r="V18" s="270">
        <f>+'23'!V18+'22'!V18</f>
        <v>1</v>
      </c>
      <c r="W18" s="266">
        <f>+V18/'18'!V18*1000</f>
        <v>4.6296296296296298</v>
      </c>
      <c r="X18" s="270">
        <f>+'23'!X18+'22'!X18</f>
        <v>1</v>
      </c>
      <c r="Y18" s="266">
        <f>+X18/'18'!X18*1000</f>
        <v>6.1728395061728394</v>
      </c>
      <c r="Z18" s="270">
        <f>+'23'!Z18+'22'!Z18</f>
        <v>0</v>
      </c>
      <c r="AA18" s="266">
        <f>+Z18/'18'!Z18*1000</f>
        <v>0</v>
      </c>
      <c r="AB18" s="270">
        <f>+'23'!AB18+'22'!AB18</f>
        <v>4</v>
      </c>
      <c r="AC18" s="266">
        <f>+AB18/'18'!AB18*1000</f>
        <v>13.377926421404682</v>
      </c>
      <c r="AD18" s="270">
        <f>+'23'!AD18+'22'!AD18</f>
        <v>0</v>
      </c>
      <c r="AE18" s="255">
        <f>+AD18/'18'!AD18*1000</f>
        <v>0</v>
      </c>
    </row>
    <row r="19" spans="1:31" s="6" customFormat="1" ht="27.75" customHeight="1">
      <c r="A19" s="254">
        <f>+'23'!A19</f>
        <v>2019</v>
      </c>
      <c r="B19" s="270">
        <f>+'23'!B19+'22'!B19</f>
        <v>1207</v>
      </c>
      <c r="C19" s="266">
        <f>+B19/'18'!B19*1000</f>
        <v>5.783060949725221</v>
      </c>
      <c r="D19" s="270">
        <f>+'23'!D19+'22'!D19</f>
        <v>118</v>
      </c>
      <c r="E19" s="266">
        <f>+D19/'18'!D19*1000</f>
        <v>6.0718328702274365</v>
      </c>
      <c r="F19" s="202">
        <f>+J19+L19+N19+P19+T19+V19+X19+Z19+AB19+AD19</f>
        <v>19</v>
      </c>
      <c r="G19" s="255">
        <f>+F19/'18'!F19*1000</f>
        <v>6.1231066709635842</v>
      </c>
      <c r="H19" s="268">
        <f>+J19+L19+N19+P19</f>
        <v>5</v>
      </c>
      <c r="I19" s="269">
        <f>+H19/'18'!H19*1000</f>
        <v>4.1736227045075127</v>
      </c>
      <c r="J19" s="270">
        <f>+'23'!J19+'22'!J19</f>
        <v>2</v>
      </c>
      <c r="K19" s="266">
        <f>+J19/'18'!J19*1000</f>
        <v>2.7472527472527473</v>
      </c>
      <c r="L19" s="270">
        <f>+'23'!L19+'22'!L19</f>
        <v>2</v>
      </c>
      <c r="M19" s="266">
        <f>+L19/'18'!L19*1000</f>
        <v>10.638297872340425</v>
      </c>
      <c r="N19" s="270">
        <f>+'23'!N19+'22'!N19</f>
        <v>0</v>
      </c>
      <c r="O19" s="266">
        <f>+N19/'18'!N19*1000</f>
        <v>0</v>
      </c>
      <c r="P19" s="270">
        <f>+'23'!P19+'22'!P19</f>
        <v>1</v>
      </c>
      <c r="Q19" s="266">
        <f>+P19/'18'!P19*1000</f>
        <v>8.4033613445378155</v>
      </c>
      <c r="R19" s="202">
        <f>+T19+V19+X19+Z19+AB19+AD19</f>
        <v>14</v>
      </c>
      <c r="S19" s="269">
        <f>+R19/'18'!R19*1000</f>
        <v>7.349081364829396</v>
      </c>
      <c r="T19" s="270">
        <f>+'23'!T19+'22'!T19</f>
        <v>8</v>
      </c>
      <c r="U19" s="266">
        <f>+T19/'18'!T19*1000</f>
        <v>7.6849183477425553</v>
      </c>
      <c r="V19" s="270">
        <f>+'23'!V19+'22'!V19</f>
        <v>0</v>
      </c>
      <c r="W19" s="266">
        <f>+V19/'18'!V19*1000</f>
        <v>0</v>
      </c>
      <c r="X19" s="270">
        <f>+'23'!X19+'22'!X19</f>
        <v>1</v>
      </c>
      <c r="Y19" s="266">
        <f>+X19/'18'!X19*1000</f>
        <v>6.8027210884353737</v>
      </c>
      <c r="Z19" s="270">
        <f>+'23'!Z19+'22'!Z19</f>
        <v>1</v>
      </c>
      <c r="AA19" s="266">
        <f>+Z19/'18'!Z19*1000</f>
        <v>13.698630136986301</v>
      </c>
      <c r="AB19" s="270">
        <f>+'23'!AB19+'22'!AB19</f>
        <v>1</v>
      </c>
      <c r="AC19" s="266">
        <f>+AB19/'18'!AB19*1000</f>
        <v>3.2051282051282048</v>
      </c>
      <c r="AD19" s="270">
        <f>+'23'!AD19+'22'!AD19</f>
        <v>3</v>
      </c>
      <c r="AE19" s="255">
        <f>+AD19/'18'!AD19*1000</f>
        <v>18.518518518518519</v>
      </c>
    </row>
    <row r="20" spans="1:31" s="6" customFormat="1" ht="27.75" customHeight="1">
      <c r="A20" s="254">
        <f>+'23'!A20</f>
        <v>2020</v>
      </c>
      <c r="B20" s="270">
        <f>+'23'!B20+'22'!B20</f>
        <v>0</v>
      </c>
      <c r="C20" s="267"/>
      <c r="D20" s="202">
        <f>+'23'!D20+'22'!D20</f>
        <v>0</v>
      </c>
      <c r="E20" s="266"/>
      <c r="F20" s="202">
        <f>+J20+L20+N20+P20+T20+V20+X20+Z20+AB20+AD20</f>
        <v>16</v>
      </c>
      <c r="G20" s="255">
        <f>+F20/'18'!F20*1000</f>
        <v>6.1302681992337167</v>
      </c>
      <c r="H20" s="268">
        <f>+J20+L20+N20+P20</f>
        <v>6</v>
      </c>
      <c r="I20" s="269">
        <f>+H20/'18'!H20*1000</f>
        <v>6.1475409836065573</v>
      </c>
      <c r="J20" s="270">
        <f>+'23'!J20+'22'!J20</f>
        <v>6</v>
      </c>
      <c r="K20" s="266">
        <f>+J20/'18'!J20*1000</f>
        <v>10.169491525423728</v>
      </c>
      <c r="L20" s="270">
        <f>+'23'!L20+'22'!L20</f>
        <v>0</v>
      </c>
      <c r="M20" s="266">
        <f>+L20/'18'!L20*1000</f>
        <v>0</v>
      </c>
      <c r="N20" s="270">
        <f>+'23'!N20+'22'!N20</f>
        <v>0</v>
      </c>
      <c r="O20" s="266">
        <f>+N20/'18'!N20*1000</f>
        <v>0</v>
      </c>
      <c r="P20" s="270">
        <f>+'23'!P20+'22'!P20</f>
        <v>0</v>
      </c>
      <c r="Q20" s="266">
        <f>+P20/'18'!P20*1000</f>
        <v>0</v>
      </c>
      <c r="R20" s="202">
        <f>+T20+V20+X20+Z20+AB20+AD20</f>
        <v>10</v>
      </c>
      <c r="S20" s="269">
        <f>+R20/'18'!R20*1000</f>
        <v>6.119951040391677</v>
      </c>
      <c r="T20" s="270">
        <f>+'23'!T20+'22'!T20</f>
        <v>8</v>
      </c>
      <c r="U20" s="266">
        <f>+T20/'18'!T20*1000</f>
        <v>9.1954022988505741</v>
      </c>
      <c r="V20" s="270">
        <f>+'23'!V20+'22'!V20</f>
        <v>1</v>
      </c>
      <c r="W20" s="266">
        <f>+V20/'18'!V20*1000</f>
        <v>5.6818181818181817</v>
      </c>
      <c r="X20" s="270">
        <f>+'23'!X20+'22'!X20</f>
        <v>0</v>
      </c>
      <c r="Y20" s="266">
        <f>+X20/'18'!X20*1000</f>
        <v>0</v>
      </c>
      <c r="Z20" s="270">
        <f>+'23'!Z20+'22'!Z20</f>
        <v>0</v>
      </c>
      <c r="AA20" s="266">
        <f>+Z20/'18'!Z20*1000</f>
        <v>0</v>
      </c>
      <c r="AB20" s="270">
        <f>+'23'!AB20+'22'!AB20</f>
        <v>1</v>
      </c>
      <c r="AC20" s="266">
        <f>+AB20/'18'!AB20*1000</f>
        <v>3.8314176245210727</v>
      </c>
      <c r="AD20" s="270">
        <f>+'23'!AD20+'22'!AD20</f>
        <v>0</v>
      </c>
      <c r="AE20" s="255">
        <f>+AD20/'18'!AD20*1000</f>
        <v>0</v>
      </c>
    </row>
    <row r="21" spans="1:31">
      <c r="A21" s="260"/>
      <c r="B21" s="205"/>
      <c r="C21" s="261"/>
      <c r="D21" s="205"/>
      <c r="E21" s="261"/>
      <c r="F21" s="211"/>
      <c r="G21" s="970"/>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B22" s="216"/>
      <c r="C22" s="212"/>
      <c r="D22" s="212"/>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2020  :   DATOS POR RESIDENCIA</v>
      </c>
      <c r="C23" s="216"/>
      <c r="D23" s="216"/>
      <c r="E23" s="216"/>
      <c r="F23" s="216"/>
      <c r="G23" s="216"/>
      <c r="H23" s="216"/>
      <c r="I23" s="216"/>
      <c r="J23" s="216"/>
      <c r="M23" s="1"/>
      <c r="N23" s="1"/>
      <c r="O23" s="1"/>
      <c r="P23" s="1"/>
      <c r="Q23" s="1"/>
      <c r="R23" s="1"/>
      <c r="S23" s="1"/>
      <c r="T23" s="1"/>
      <c r="U23" s="1"/>
      <c r="V23" s="1"/>
      <c r="W23" s="1"/>
      <c r="X23" s="1"/>
      <c r="Y23" s="1"/>
      <c r="Z23" s="1"/>
      <c r="AA23" s="1"/>
      <c r="AB23" s="1"/>
      <c r="AC23" s="1"/>
      <c r="AD23" s="1"/>
      <c r="AE23" s="1"/>
    </row>
    <row r="24" spans="1:31">
      <c r="A24" s="1"/>
      <c r="B24" s="212"/>
      <c r="C24" s="216" t="s">
        <v>674</v>
      </c>
      <c r="D24" s="216"/>
      <c r="E24" s="212"/>
      <c r="F24" s="212"/>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1"/>
      <c r="L25" s="1"/>
      <c r="M25" s="1"/>
      <c r="N25" s="1"/>
      <c r="O25" s="1"/>
      <c r="P25" s="1"/>
      <c r="Q25" s="1"/>
      <c r="R25" s="1"/>
      <c r="S25" s="1"/>
      <c r="T25" s="1"/>
      <c r="U25" s="1"/>
      <c r="V25" s="1"/>
      <c r="W25" s="1"/>
      <c r="X25" s="1"/>
      <c r="Y25" s="1"/>
      <c r="Z25" s="1"/>
      <c r="AA25" s="1"/>
      <c r="AB25" s="1"/>
      <c r="AC25" s="1"/>
      <c r="AD25" s="1"/>
      <c r="AE25" s="1"/>
    </row>
    <row r="26" spans="1:31">
      <c r="B26" s="216"/>
      <c r="C26" s="216"/>
      <c r="D26" s="216"/>
      <c r="E26" s="216"/>
      <c r="F26" s="216"/>
      <c r="G26" s="216"/>
      <c r="H26" s="216"/>
      <c r="I26" s="216"/>
      <c r="J26" s="216"/>
    </row>
  </sheetData>
  <phoneticPr fontId="19" type="noConversion"/>
  <pageMargins left="0.78740157480314965"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5"/>
  <sheetViews>
    <sheetView topLeftCell="A10" zoomScaleNormal="100" workbookViewId="0">
      <selection activeCell="AE11" sqref="AE11"/>
    </sheetView>
  </sheetViews>
  <sheetFormatPr baseColWidth="10" defaultRowHeight="13.2"/>
  <cols>
    <col min="1" max="2" width="5.5546875" customWidth="1"/>
    <col min="3" max="3" width="6.88671875" customWidth="1"/>
    <col min="4" max="4" width="4.5546875" customWidth="1"/>
    <col min="5" max="5" width="6.21875" customWidth="1"/>
    <col min="6" max="6" width="5.77734375" customWidth="1"/>
    <col min="7" max="9" width="5.21875" customWidth="1"/>
    <col min="10" max="10" width="4.77734375" customWidth="1"/>
    <col min="11" max="11" width="5.77734375" customWidth="1"/>
    <col min="12" max="12" width="4.44140625" customWidth="1"/>
    <col min="13" max="13" width="5.77734375" customWidth="1"/>
    <col min="14" max="14" width="4.21875" customWidth="1"/>
    <col min="15" max="15" width="5.21875" customWidth="1"/>
    <col min="16" max="16" width="4.21875" customWidth="1"/>
    <col min="17" max="18" width="5.77734375" customWidth="1"/>
    <col min="19" max="19" width="5.21875" customWidth="1"/>
    <col min="20" max="21" width="5" customWidth="1"/>
    <col min="22" max="22" width="4.21875" customWidth="1"/>
    <col min="23" max="23" width="5.77734375" customWidth="1"/>
    <col min="24" max="24" width="4.21875" customWidth="1"/>
    <col min="25" max="25" width="5.21875" customWidth="1"/>
    <col min="26" max="26" width="4.77734375" customWidth="1"/>
    <col min="27" max="27" width="5.21875" customWidth="1"/>
    <col min="28" max="28" width="4.21875" customWidth="1"/>
    <col min="29" max="29" width="5.21875" customWidth="1"/>
    <col min="30" max="30" width="4.5546875" customWidth="1"/>
    <col min="31" max="31" width="5" customWidth="1"/>
  </cols>
  <sheetData>
    <row r="1" spans="1:31">
      <c r="A1" s="144" t="s">
        <v>675</v>
      </c>
      <c r="B1" s="144"/>
      <c r="C1" s="144"/>
      <c r="D1" s="144"/>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+'24'!A3</f>
        <v>AÑOS   2011  - 2020</v>
      </c>
      <c r="B3" s="144"/>
      <c r="C3" s="144"/>
      <c r="D3" s="144"/>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2"/>
      <c r="B6" s="283"/>
      <c r="C6" s="284"/>
      <c r="D6" s="283"/>
      <c r="E6" s="284"/>
      <c r="F6" s="283"/>
      <c r="G6" s="284"/>
      <c r="H6" s="239"/>
      <c r="I6" s="84"/>
      <c r="J6" s="118" t="s">
        <v>639</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647</v>
      </c>
      <c r="G7" s="274"/>
      <c r="H7" s="182" t="s">
        <v>648</v>
      </c>
      <c r="I7" s="242"/>
      <c r="J7" s="243"/>
      <c r="K7" s="244"/>
      <c r="L7" s="243"/>
      <c r="M7" s="244"/>
      <c r="N7" s="243"/>
      <c r="O7" s="244"/>
      <c r="P7" s="243"/>
      <c r="Q7" s="244"/>
      <c r="R7" s="182" t="s">
        <v>648</v>
      </c>
      <c r="S7" s="242"/>
      <c r="T7" s="243"/>
      <c r="U7" s="244"/>
      <c r="V7" s="243"/>
      <c r="W7" s="244"/>
      <c r="X7" s="243"/>
      <c r="Y7" s="244"/>
      <c r="Z7" s="216"/>
      <c r="AA7" s="244"/>
      <c r="AB7" s="243"/>
      <c r="AC7" s="244"/>
      <c r="AD7" s="243"/>
      <c r="AE7" s="244"/>
    </row>
    <row r="8" spans="1:31" ht="18.75" customHeight="1">
      <c r="A8" s="245" t="s">
        <v>640</v>
      </c>
      <c r="B8" s="199" t="s">
        <v>645</v>
      </c>
      <c r="C8" s="199"/>
      <c r="D8" s="199" t="s">
        <v>646</v>
      </c>
      <c r="E8" s="246"/>
      <c r="F8" s="199" t="s">
        <v>649</v>
      </c>
      <c r="G8" s="246"/>
      <c r="H8" s="199" t="s">
        <v>630</v>
      </c>
      <c r="I8" s="246"/>
      <c r="J8" s="199" t="s">
        <v>630</v>
      </c>
      <c r="K8" s="246"/>
      <c r="L8" s="247" t="s">
        <v>426</v>
      </c>
      <c r="M8" s="248"/>
      <c r="N8" s="199" t="s">
        <v>651</v>
      </c>
      <c r="O8" s="246"/>
      <c r="P8" s="199" t="s">
        <v>429</v>
      </c>
      <c r="Q8" s="246"/>
      <c r="R8" s="199" t="s">
        <v>652</v>
      </c>
      <c r="S8" s="246"/>
      <c r="T8" s="199" t="s">
        <v>652</v>
      </c>
      <c r="U8" s="246"/>
      <c r="V8" s="199" t="s">
        <v>393</v>
      </c>
      <c r="W8" s="246"/>
      <c r="X8" s="199" t="s">
        <v>411</v>
      </c>
      <c r="Y8" s="246"/>
      <c r="Z8" s="199" t="s">
        <v>416</v>
      </c>
      <c r="AA8" s="246"/>
      <c r="AB8" s="199" t="s">
        <v>653</v>
      </c>
      <c r="AC8" s="246"/>
      <c r="AD8" s="199" t="s">
        <v>418</v>
      </c>
      <c r="AE8" s="246"/>
    </row>
    <row r="9" spans="1:31" ht="20.25" customHeight="1">
      <c r="A9" s="249"/>
      <c r="B9" s="250" t="s">
        <v>661</v>
      </c>
      <c r="C9" s="252" t="s">
        <v>662</v>
      </c>
      <c r="D9" s="250" t="s">
        <v>661</v>
      </c>
      <c r="E9" s="252" t="s">
        <v>662</v>
      </c>
      <c r="F9" s="250" t="s">
        <v>661</v>
      </c>
      <c r="G9" s="252" t="s">
        <v>662</v>
      </c>
      <c r="H9" s="250" t="s">
        <v>661</v>
      </c>
      <c r="I9" s="251" t="s">
        <v>662</v>
      </c>
      <c r="J9" s="250" t="s">
        <v>661</v>
      </c>
      <c r="K9" s="251" t="s">
        <v>662</v>
      </c>
      <c r="L9" s="250" t="s">
        <v>661</v>
      </c>
      <c r="M9" s="252" t="s">
        <v>662</v>
      </c>
      <c r="N9" s="250" t="s">
        <v>661</v>
      </c>
      <c r="O9" s="252" t="s">
        <v>662</v>
      </c>
      <c r="P9" s="250" t="s">
        <v>661</v>
      </c>
      <c r="Q9" s="252" t="s">
        <v>662</v>
      </c>
      <c r="R9" s="250" t="s">
        <v>661</v>
      </c>
      <c r="S9" s="251" t="s">
        <v>662</v>
      </c>
      <c r="T9" s="250" t="s">
        <v>661</v>
      </c>
      <c r="U9" s="252" t="s">
        <v>662</v>
      </c>
      <c r="V9" s="250" t="s">
        <v>661</v>
      </c>
      <c r="W9" s="252" t="s">
        <v>662</v>
      </c>
      <c r="X9" s="250" t="s">
        <v>661</v>
      </c>
      <c r="Y9" s="252" t="s">
        <v>662</v>
      </c>
      <c r="Z9" s="250" t="s">
        <v>661</v>
      </c>
      <c r="AA9" s="252" t="s">
        <v>662</v>
      </c>
      <c r="AB9" s="250" t="s">
        <v>661</v>
      </c>
      <c r="AC9" s="252" t="s">
        <v>662</v>
      </c>
      <c r="AD9" s="250" t="s">
        <v>661</v>
      </c>
      <c r="AE9" s="252" t="s">
        <v>662</v>
      </c>
    </row>
    <row r="10" spans="1:31">
      <c r="A10" s="87"/>
      <c r="B10" s="279"/>
      <c r="C10" s="280"/>
      <c r="D10" s="279"/>
      <c r="E10" s="280"/>
      <c r="F10" s="279"/>
      <c r="G10" s="280"/>
      <c r="H10" s="281"/>
      <c r="I10" s="281"/>
      <c r="J10" s="279"/>
      <c r="K10" s="280"/>
      <c r="L10" s="279"/>
      <c r="M10" s="280"/>
      <c r="N10" s="279"/>
      <c r="O10" s="280"/>
      <c r="P10" s="279"/>
      <c r="Q10" s="280"/>
      <c r="R10" s="281"/>
      <c r="S10" s="281"/>
      <c r="T10" s="279"/>
      <c r="U10" s="280"/>
      <c r="V10" s="279"/>
      <c r="W10" s="280"/>
      <c r="X10" s="279"/>
      <c r="Y10" s="280"/>
      <c r="Z10" s="279"/>
      <c r="AA10" s="280"/>
      <c r="AB10" s="279"/>
      <c r="AC10" s="280"/>
      <c r="AD10" s="281"/>
      <c r="AE10" s="280"/>
    </row>
    <row r="11" spans="1:31" s="6" customFormat="1" ht="26.25" customHeight="1">
      <c r="A11" s="254">
        <f>+'24'!A11</f>
        <v>2011</v>
      </c>
      <c r="B11" s="202">
        <v>46</v>
      </c>
      <c r="C11" s="267">
        <f>+B11/'18'!B11*10000</f>
        <v>1.8482877221461032</v>
      </c>
      <c r="D11" s="256">
        <v>0</v>
      </c>
      <c r="E11" s="267">
        <f>+D11/'18'!D11*10000</f>
        <v>0</v>
      </c>
      <c r="F11" s="202">
        <f t="shared" ref="F11:F19" si="0">+J11+L11+N11+P11+T11+V11+X11+Z11+AB11+AD11</f>
        <v>0</v>
      </c>
      <c r="G11" s="266">
        <f>+F11/'18'!F11*10000</f>
        <v>0</v>
      </c>
      <c r="H11" s="202">
        <f t="shared" ref="H11:H19" si="1">+J11+L11+N11+P11</f>
        <v>0</v>
      </c>
      <c r="I11" s="269">
        <f>+H11/'18'!H11*10000</f>
        <v>0</v>
      </c>
      <c r="J11" s="202">
        <v>0</v>
      </c>
      <c r="K11" s="266">
        <f>+J11/'18'!J11*10000</f>
        <v>0</v>
      </c>
      <c r="L11" s="256">
        <v>0</v>
      </c>
      <c r="M11" s="259">
        <f>+L11/'18'!L11*10000</f>
        <v>0</v>
      </c>
      <c r="N11" s="256">
        <v>0</v>
      </c>
      <c r="O11" s="259">
        <f>+N11/'18'!N11*10000</f>
        <v>0</v>
      </c>
      <c r="P11" s="256">
        <v>0</v>
      </c>
      <c r="Q11" s="259">
        <f>+P11/'18'!P11*10000</f>
        <v>0</v>
      </c>
      <c r="R11" s="203">
        <f t="shared" ref="R11:R19" si="2">+T11+V11+X11+Z11+AB11+AD11</f>
        <v>0</v>
      </c>
      <c r="S11" s="269">
        <f>+R11/'18'!R11*10000</f>
        <v>0</v>
      </c>
      <c r="T11" s="202">
        <v>0</v>
      </c>
      <c r="U11" s="259">
        <f>+T11/'18'!T11*10000</f>
        <v>0</v>
      </c>
      <c r="V11" s="256">
        <v>0</v>
      </c>
      <c r="W11" s="259">
        <f>+V11/'18'!V11*10000</f>
        <v>0</v>
      </c>
      <c r="X11" s="256">
        <v>0</v>
      </c>
      <c r="Y11" s="259">
        <f>+X11/'18'!X11*10000</f>
        <v>0</v>
      </c>
      <c r="Z11" s="256">
        <v>0</v>
      </c>
      <c r="AA11" s="259">
        <f>+Z11/'18'!Z11*10000</f>
        <v>0</v>
      </c>
      <c r="AB11" s="256">
        <v>0</v>
      </c>
      <c r="AC11" s="259">
        <f>+AB11/'18'!AB11*10000</f>
        <v>0</v>
      </c>
      <c r="AD11" s="257">
        <v>0</v>
      </c>
      <c r="AE11" s="259">
        <f>+AD11/'18'!AD11*10000</f>
        <v>0</v>
      </c>
    </row>
    <row r="12" spans="1:31" s="6" customFormat="1" ht="26.25" customHeight="1">
      <c r="A12" s="254">
        <f>+'24'!A12</f>
        <v>2012</v>
      </c>
      <c r="B12" s="202">
        <v>54</v>
      </c>
      <c r="C12" s="267">
        <f>+B12/'18'!B12*10000</f>
        <v>2.2144034643111974</v>
      </c>
      <c r="D12" s="256"/>
      <c r="E12" s="267"/>
      <c r="F12" s="202">
        <f t="shared" si="0"/>
        <v>1</v>
      </c>
      <c r="G12" s="266">
        <f>+F12/'18'!F12*10000</f>
        <v>2.6246719160104988</v>
      </c>
      <c r="H12" s="202">
        <f t="shared" si="1"/>
        <v>1</v>
      </c>
      <c r="I12" s="269">
        <f>+H12/'18'!H12*10000</f>
        <v>6.4850843060959793</v>
      </c>
      <c r="J12" s="202">
        <v>0</v>
      </c>
      <c r="K12" s="266">
        <f>+J12/'18'!J12*10000</f>
        <v>0</v>
      </c>
      <c r="L12" s="256">
        <v>1</v>
      </c>
      <c r="M12" s="259">
        <f>+L12/'18'!L12*10000</f>
        <v>40.48582995951417</v>
      </c>
      <c r="N12" s="256">
        <v>0</v>
      </c>
      <c r="O12" s="259">
        <f>+N12/'18'!N12*10000</f>
        <v>0</v>
      </c>
      <c r="P12" s="256">
        <v>0</v>
      </c>
      <c r="Q12" s="259">
        <f>+P12/'18'!P12*10000</f>
        <v>0</v>
      </c>
      <c r="R12" s="203">
        <f t="shared" si="2"/>
        <v>0</v>
      </c>
      <c r="S12" s="269">
        <f>+R12/'18'!R12*10000</f>
        <v>0</v>
      </c>
      <c r="T12" s="202">
        <v>0</v>
      </c>
      <c r="U12" s="259">
        <f>+T12/'18'!T12*10000</f>
        <v>0</v>
      </c>
      <c r="V12" s="256"/>
      <c r="W12" s="259">
        <f>+V12/'18'!V12*10000</f>
        <v>0</v>
      </c>
      <c r="X12" s="256">
        <v>0</v>
      </c>
      <c r="Y12" s="259">
        <f>+X12/'18'!X12*10000</f>
        <v>0</v>
      </c>
      <c r="Z12" s="256">
        <v>0</v>
      </c>
      <c r="AA12" s="259">
        <f>+Z12/'18'!Z12*10000</f>
        <v>0</v>
      </c>
      <c r="AB12" s="256">
        <v>0</v>
      </c>
      <c r="AC12" s="259">
        <f>+AB12/'18'!AB12*10000</f>
        <v>0</v>
      </c>
      <c r="AD12" s="257">
        <v>0</v>
      </c>
      <c r="AE12" s="259">
        <f>+AD12/'18'!AD12*10000</f>
        <v>0</v>
      </c>
    </row>
    <row r="13" spans="1:31" s="6" customFormat="1" ht="26.25" customHeight="1">
      <c r="A13" s="254">
        <f>+'24'!A13</f>
        <v>2013</v>
      </c>
      <c r="B13" s="202">
        <v>52</v>
      </c>
      <c r="C13" s="267">
        <f>+B13/'18'!B13*10000</f>
        <v>2.1487159356211647</v>
      </c>
      <c r="D13" s="256"/>
      <c r="E13" s="267"/>
      <c r="F13" s="202">
        <f t="shared" si="0"/>
        <v>0</v>
      </c>
      <c r="G13" s="266">
        <f>+F13/'18'!F13*10000</f>
        <v>0</v>
      </c>
      <c r="H13" s="202">
        <f t="shared" si="1"/>
        <v>0</v>
      </c>
      <c r="I13" s="269">
        <f>+H13/'18'!H13*10000</f>
        <v>0</v>
      </c>
      <c r="J13" s="202">
        <v>0</v>
      </c>
      <c r="K13" s="266">
        <f>+J13/'18'!J13*10000</f>
        <v>0</v>
      </c>
      <c r="L13" s="256">
        <v>0</v>
      </c>
      <c r="M13" s="259">
        <f>+L13/'18'!L13*10000</f>
        <v>0</v>
      </c>
      <c r="N13" s="256">
        <v>0</v>
      </c>
      <c r="O13" s="259">
        <f>+N13/'18'!N13*10000</f>
        <v>0</v>
      </c>
      <c r="P13" s="256">
        <v>0</v>
      </c>
      <c r="Q13" s="259">
        <f>+P13/'18'!P13*10000</f>
        <v>0</v>
      </c>
      <c r="R13" s="203">
        <f t="shared" si="2"/>
        <v>0</v>
      </c>
      <c r="S13" s="269">
        <f>+R13/'18'!R13*10000</f>
        <v>0</v>
      </c>
      <c r="T13" s="202">
        <v>0</v>
      </c>
      <c r="U13" s="259">
        <f>+T13/'18'!T13*10000</f>
        <v>0</v>
      </c>
      <c r="V13" s="256"/>
      <c r="W13" s="259">
        <f>+V13/'18'!V13*10000</f>
        <v>0</v>
      </c>
      <c r="X13" s="256">
        <v>0</v>
      </c>
      <c r="Y13" s="259">
        <f>+X13/'18'!X13*10000</f>
        <v>0</v>
      </c>
      <c r="Z13" s="256">
        <v>0</v>
      </c>
      <c r="AA13" s="259">
        <f>+Z13/'18'!Z13*10000</f>
        <v>0</v>
      </c>
      <c r="AB13" s="256">
        <v>0</v>
      </c>
      <c r="AC13" s="259">
        <f>+AB13/'18'!AB13*10000</f>
        <v>0</v>
      </c>
      <c r="AD13" s="257">
        <v>0</v>
      </c>
      <c r="AE13" s="259">
        <f>+AD13/'18'!AD13*10000</f>
        <v>0</v>
      </c>
    </row>
    <row r="14" spans="1:31" s="6" customFormat="1" ht="26.25" customHeight="1">
      <c r="A14" s="254">
        <f>+'24'!A14</f>
        <v>2014</v>
      </c>
      <c r="B14" s="202">
        <v>54</v>
      </c>
      <c r="C14" s="267">
        <f>+B14/'18'!B14*10000</f>
        <v>2.2144034643111974</v>
      </c>
      <c r="D14" s="256"/>
      <c r="E14" s="267"/>
      <c r="F14" s="202">
        <f t="shared" si="0"/>
        <v>2</v>
      </c>
      <c r="G14" s="266">
        <f>+F14/'18'!F14*10000</f>
        <v>5.329070077271516</v>
      </c>
      <c r="H14" s="202">
        <f t="shared" si="1"/>
        <v>1</v>
      </c>
      <c r="I14" s="269">
        <f>+H14/'18'!H14*10000</f>
        <v>6.4061499039077514</v>
      </c>
      <c r="J14" s="202">
        <v>0</v>
      </c>
      <c r="K14" s="266">
        <f>+J14/'18'!J14*10000</f>
        <v>0</v>
      </c>
      <c r="L14" s="256">
        <v>1</v>
      </c>
      <c r="M14" s="259">
        <f>+L14/'18'!L14*10000</f>
        <v>39.370078740157481</v>
      </c>
      <c r="N14" s="256">
        <v>0</v>
      </c>
      <c r="O14" s="259">
        <f>+N14/'18'!N14*10000</f>
        <v>0</v>
      </c>
      <c r="P14" s="256">
        <v>0</v>
      </c>
      <c r="Q14" s="259">
        <f>+P14/'18'!P14*10000</f>
        <v>0</v>
      </c>
      <c r="R14" s="203">
        <f t="shared" si="2"/>
        <v>1</v>
      </c>
      <c r="S14" s="269">
        <f>+R14/'18'!R14*10000</f>
        <v>4.562043795620438</v>
      </c>
      <c r="T14" s="202">
        <v>1</v>
      </c>
      <c r="U14" s="259">
        <f>+T14/'18'!T14*10000</f>
        <v>9.0826521344232507</v>
      </c>
      <c r="V14" s="256"/>
      <c r="W14" s="259">
        <f>+V14/'18'!V14*10000</f>
        <v>0</v>
      </c>
      <c r="X14" s="256">
        <v>0</v>
      </c>
      <c r="Y14" s="259">
        <f>+X14/'18'!X14*10000</f>
        <v>0</v>
      </c>
      <c r="Z14" s="256">
        <v>0</v>
      </c>
      <c r="AA14" s="259">
        <f>+Z14/'18'!Z14*10000</f>
        <v>0</v>
      </c>
      <c r="AB14" s="256">
        <v>0</v>
      </c>
      <c r="AC14" s="259">
        <f>+AB14/'18'!AB14*10000</f>
        <v>0</v>
      </c>
      <c r="AD14" s="257">
        <v>0</v>
      </c>
      <c r="AE14" s="259">
        <f>+AD14/'18'!AD14*10000</f>
        <v>0</v>
      </c>
    </row>
    <row r="15" spans="1:31" s="6" customFormat="1" ht="26.25" customHeight="1">
      <c r="A15" s="254">
        <f>+'24'!A15</f>
        <v>2015</v>
      </c>
      <c r="B15" s="258"/>
      <c r="C15" s="267"/>
      <c r="D15" s="256"/>
      <c r="E15" s="267"/>
      <c r="F15" s="202">
        <f t="shared" si="0"/>
        <v>1</v>
      </c>
      <c r="G15" s="266">
        <f>+F15/'18'!F15*10000</f>
        <v>2.5913449080072559</v>
      </c>
      <c r="H15" s="202">
        <f t="shared" si="1"/>
        <v>1</v>
      </c>
      <c r="I15" s="269">
        <f>+H15/'18'!H15*10000</f>
        <v>6.337135614702154</v>
      </c>
      <c r="J15" s="202">
        <v>1</v>
      </c>
      <c r="K15" s="266">
        <f>+J15/'18'!J15*10000</f>
        <v>10.319917440660474</v>
      </c>
      <c r="L15" s="256">
        <v>0</v>
      </c>
      <c r="M15" s="259">
        <f>+L15/'18'!L15*10000</f>
        <v>0</v>
      </c>
      <c r="N15" s="256">
        <v>0</v>
      </c>
      <c r="O15" s="259">
        <f>+N15/'18'!N15*10000</f>
        <v>0</v>
      </c>
      <c r="P15" s="256">
        <v>0</v>
      </c>
      <c r="Q15" s="259">
        <f>+P15/'18'!P15*10000</f>
        <v>0</v>
      </c>
      <c r="R15" s="203">
        <f t="shared" si="2"/>
        <v>0</v>
      </c>
      <c r="S15" s="269">
        <f>+R15/'18'!R15*10000</f>
        <v>0</v>
      </c>
      <c r="T15" s="202">
        <v>0</v>
      </c>
      <c r="U15" s="259">
        <f>+T15/'18'!T15*10000</f>
        <v>0</v>
      </c>
      <c r="V15" s="256"/>
      <c r="W15" s="259">
        <f>+V15/'18'!V15*10000</f>
        <v>0</v>
      </c>
      <c r="X15" s="256">
        <v>0</v>
      </c>
      <c r="Y15" s="259">
        <f>+X15/'18'!X15*10000</f>
        <v>0</v>
      </c>
      <c r="Z15" s="256">
        <v>0</v>
      </c>
      <c r="AA15" s="259">
        <f>+Z15/'18'!Z15*10000</f>
        <v>0</v>
      </c>
      <c r="AB15" s="256">
        <v>0</v>
      </c>
      <c r="AC15" s="259">
        <f>+AB15/'18'!AB15*10000</f>
        <v>0</v>
      </c>
      <c r="AD15" s="257">
        <v>0</v>
      </c>
      <c r="AE15" s="259">
        <f>+AD15/'18'!AD15*10000</f>
        <v>0</v>
      </c>
    </row>
    <row r="16" spans="1:31" s="6" customFormat="1" ht="26.25" customHeight="1">
      <c r="A16" s="254">
        <f>+'24'!A16</f>
        <v>2016</v>
      </c>
      <c r="B16" s="258"/>
      <c r="C16" s="267"/>
      <c r="D16" s="256"/>
      <c r="E16" s="267"/>
      <c r="F16" s="202">
        <f t="shared" si="0"/>
        <v>1</v>
      </c>
      <c r="G16" s="266">
        <f>+F16/'18'!F16*10000</f>
        <v>3.0385900941962927</v>
      </c>
      <c r="H16" s="202">
        <f t="shared" si="1"/>
        <v>0</v>
      </c>
      <c r="I16" s="269">
        <f>+H16/'18'!H16*10000</f>
        <v>0</v>
      </c>
      <c r="J16" s="202"/>
      <c r="K16" s="266">
        <f>+J16/'18'!J16*10000</f>
        <v>0</v>
      </c>
      <c r="L16" s="256"/>
      <c r="M16" s="259">
        <f>+L16/'18'!L16*10000</f>
        <v>0</v>
      </c>
      <c r="N16" s="256">
        <v>0</v>
      </c>
      <c r="O16" s="259">
        <f>+N16/'18'!N16*10000</f>
        <v>0</v>
      </c>
      <c r="P16" s="256"/>
      <c r="Q16" s="259">
        <f>+P16/'18'!P16*10000</f>
        <v>0</v>
      </c>
      <c r="R16" s="203">
        <f t="shared" si="2"/>
        <v>1</v>
      </c>
      <c r="S16" s="269">
        <f>+R16/'18'!R16*10000</f>
        <v>5.1706308169596698</v>
      </c>
      <c r="T16" s="202"/>
      <c r="U16" s="259">
        <f>+T16/'18'!T16*10000</f>
        <v>0</v>
      </c>
      <c r="V16" s="256">
        <v>1</v>
      </c>
      <c r="W16" s="259">
        <f>+V16/'18'!V16*10000</f>
        <v>56.497175141242934</v>
      </c>
      <c r="X16" s="256"/>
      <c r="Y16" s="259">
        <f>+X16/'18'!X16*10000</f>
        <v>0</v>
      </c>
      <c r="Z16" s="256"/>
      <c r="AA16" s="259">
        <f>+Z16/'18'!Z16*10000</f>
        <v>0</v>
      </c>
      <c r="AB16" s="256"/>
      <c r="AC16" s="259">
        <f>+AB16/'18'!AB16*10000</f>
        <v>0</v>
      </c>
      <c r="AD16" s="257"/>
      <c r="AE16" s="259">
        <f>+AD16/'18'!AD16*10000</f>
        <v>0</v>
      </c>
    </row>
    <row r="17" spans="1:33" s="6" customFormat="1" ht="26.25" customHeight="1">
      <c r="A17" s="254">
        <f>+'24'!A17</f>
        <v>2017</v>
      </c>
      <c r="B17" s="202">
        <v>29</v>
      </c>
      <c r="C17" s="267">
        <f>+B17/'18'!B17*10000</f>
        <v>1.3221904592560172</v>
      </c>
      <c r="D17" s="256">
        <v>3</v>
      </c>
      <c r="E17" s="267">
        <f>+D17/'18'!D17*10000</f>
        <v>1.4754340235085821</v>
      </c>
      <c r="F17" s="202">
        <f t="shared" si="0"/>
        <v>1</v>
      </c>
      <c r="G17" s="266">
        <f>+F17/'18'!F17*10000</f>
        <v>3.3568311513930849</v>
      </c>
      <c r="H17" s="202">
        <f t="shared" si="1"/>
        <v>0</v>
      </c>
      <c r="I17" s="269">
        <f>+H17/'18'!H17*10000</f>
        <v>0</v>
      </c>
      <c r="J17" s="202"/>
      <c r="K17" s="266">
        <f>+J17/'18'!J17*10000</f>
        <v>0</v>
      </c>
      <c r="L17" s="256"/>
      <c r="M17" s="259">
        <f>+L17/'18'!L17*10000</f>
        <v>0</v>
      </c>
      <c r="N17" s="256">
        <v>0</v>
      </c>
      <c r="O17" s="259">
        <f>+N17/'18'!N17*10000</f>
        <v>0</v>
      </c>
      <c r="P17" s="256"/>
      <c r="Q17" s="259">
        <f>+P17/'18'!P17*10000</f>
        <v>0</v>
      </c>
      <c r="R17" s="203">
        <f t="shared" si="2"/>
        <v>1</v>
      </c>
      <c r="S17" s="269">
        <f>+R17/'18'!R17*10000</f>
        <v>5.614823133071309</v>
      </c>
      <c r="T17" s="202"/>
      <c r="U17" s="259">
        <f>+T17/'18'!T17*10000</f>
        <v>0</v>
      </c>
      <c r="V17" s="256"/>
      <c r="W17" s="259">
        <f>+V17/'18'!V17*10000</f>
        <v>0</v>
      </c>
      <c r="X17" s="256">
        <v>1</v>
      </c>
      <c r="Y17" s="259">
        <f>+X17/'18'!X17*10000</f>
        <v>69.930069930069934</v>
      </c>
      <c r="Z17" s="256"/>
      <c r="AA17" s="259">
        <f>+Z17/'18'!Z17*10000</f>
        <v>0</v>
      </c>
      <c r="AB17" s="256"/>
      <c r="AC17" s="259">
        <f>+AB17/'18'!AB17*10000</f>
        <v>0</v>
      </c>
      <c r="AD17" s="257"/>
      <c r="AE17" s="259">
        <f>+AD17/'18'!AD17*10000</f>
        <v>0</v>
      </c>
    </row>
    <row r="18" spans="1:33" s="6" customFormat="1" ht="26.25" customHeight="1">
      <c r="A18" s="254">
        <f>+'24'!A18</f>
        <v>2018</v>
      </c>
      <c r="B18" s="202">
        <v>20</v>
      </c>
      <c r="C18" s="267">
        <f>+B18/'18'!B18*10000</f>
        <v>0.9118554891420807</v>
      </c>
      <c r="D18" s="256">
        <v>0</v>
      </c>
      <c r="E18" s="267">
        <f>+D18/'18'!D18*10000</f>
        <v>0</v>
      </c>
      <c r="F18" s="202">
        <f t="shared" si="0"/>
        <v>0</v>
      </c>
      <c r="G18" s="266">
        <f>+F18/'18'!F18*10000</f>
        <v>0</v>
      </c>
      <c r="H18" s="202">
        <f t="shared" si="1"/>
        <v>0</v>
      </c>
      <c r="I18" s="269">
        <f>+H18/'18'!H18*10000</f>
        <v>0</v>
      </c>
      <c r="J18" s="202"/>
      <c r="K18" s="266">
        <f>+J18/'18'!J18*10000</f>
        <v>0</v>
      </c>
      <c r="L18" s="256"/>
      <c r="M18" s="259">
        <f>+L18/'18'!L18*10000</f>
        <v>0</v>
      </c>
      <c r="N18" s="256">
        <v>0</v>
      </c>
      <c r="O18" s="259">
        <f>+N18/'18'!N18*10000</f>
        <v>0</v>
      </c>
      <c r="P18" s="256"/>
      <c r="Q18" s="259">
        <f>+P18/'18'!P18*10000</f>
        <v>0</v>
      </c>
      <c r="R18" s="203">
        <f t="shared" si="2"/>
        <v>0</v>
      </c>
      <c r="S18" s="269">
        <f>+R18/'18'!R18*10000</f>
        <v>0</v>
      </c>
      <c r="T18" s="202"/>
      <c r="U18" s="259">
        <f>+T18/'18'!T18*10000</f>
        <v>0</v>
      </c>
      <c r="V18" s="256"/>
      <c r="W18" s="259">
        <f>+V18/'18'!V18*10000</f>
        <v>0</v>
      </c>
      <c r="X18" s="256"/>
      <c r="Y18" s="259">
        <f>+X18/'18'!X18*10000</f>
        <v>0</v>
      </c>
      <c r="Z18" s="256"/>
      <c r="AA18" s="259">
        <f>+Z18/'18'!Z18*10000</f>
        <v>0</v>
      </c>
      <c r="AB18" s="256"/>
      <c r="AC18" s="259">
        <f>+AB18/'18'!AB18*10000</f>
        <v>0</v>
      </c>
      <c r="AD18" s="257"/>
      <c r="AE18" s="259">
        <f>+AD18/'18'!AD18*10000</f>
        <v>0</v>
      </c>
    </row>
    <row r="19" spans="1:33" s="6" customFormat="1" ht="26.25" customHeight="1">
      <c r="A19" s="254">
        <f>+'24'!A19</f>
        <v>2019</v>
      </c>
      <c r="B19" s="202">
        <v>21</v>
      </c>
      <c r="C19" s="267">
        <f>+B19/'18'!B19*10000</f>
        <v>1.0061663624211239</v>
      </c>
      <c r="D19" s="256">
        <v>4</v>
      </c>
      <c r="E19" s="267">
        <f>+D19/'18'!D19*10000</f>
        <v>2.0582484305855715</v>
      </c>
      <c r="F19" s="202">
        <f t="shared" si="0"/>
        <v>1</v>
      </c>
      <c r="G19" s="266">
        <f>+F19/'18'!F19*10000</f>
        <v>3.2226877215597813</v>
      </c>
      <c r="H19" s="202">
        <f t="shared" si="1"/>
        <v>0</v>
      </c>
      <c r="I19" s="269">
        <f>+H19/'18'!H19*10000</f>
        <v>0</v>
      </c>
      <c r="J19" s="202"/>
      <c r="K19" s="266">
        <f>+J19/'18'!J19*10000</f>
        <v>0</v>
      </c>
      <c r="L19" s="256"/>
      <c r="M19" s="259">
        <f>+L19/'18'!L19*10000</f>
        <v>0</v>
      </c>
      <c r="N19" s="256">
        <v>0</v>
      </c>
      <c r="O19" s="259">
        <f>+N19/'18'!N19*10000</f>
        <v>0</v>
      </c>
      <c r="P19" s="256"/>
      <c r="Q19" s="259">
        <f>+P19/'18'!P19*10000</f>
        <v>0</v>
      </c>
      <c r="R19" s="203">
        <f t="shared" si="2"/>
        <v>1</v>
      </c>
      <c r="S19" s="269">
        <f>+R19/'18'!R19*10000</f>
        <v>5.2493438320209975</v>
      </c>
      <c r="T19" s="202">
        <v>1</v>
      </c>
      <c r="U19" s="259">
        <f>+T19/'18'!T19*10000</f>
        <v>9.6061479346781944</v>
      </c>
      <c r="V19" s="256"/>
      <c r="W19" s="259">
        <f>+V19/'18'!V19*10000</f>
        <v>0</v>
      </c>
      <c r="X19" s="256"/>
      <c r="Y19" s="259">
        <f>+X19/'18'!X19*10000</f>
        <v>0</v>
      </c>
      <c r="Z19" s="256"/>
      <c r="AA19" s="259">
        <f>+Z19/'18'!Z19*10000</f>
        <v>0</v>
      </c>
      <c r="AB19" s="256"/>
      <c r="AC19" s="259">
        <f>+AB19/'18'!AB19*10000</f>
        <v>0</v>
      </c>
      <c r="AD19" s="257"/>
      <c r="AE19" s="259">
        <f>+AD19/'18'!AD19*10000</f>
        <v>0</v>
      </c>
    </row>
    <row r="20" spans="1:33" s="6" customFormat="1" ht="26.25" customHeight="1">
      <c r="A20" s="254">
        <f>+'24'!A20</f>
        <v>2020</v>
      </c>
      <c r="B20" s="202">
        <v>55</v>
      </c>
      <c r="C20" s="267"/>
      <c r="D20" s="256">
        <v>8</v>
      </c>
      <c r="E20" s="267"/>
      <c r="F20" s="202">
        <f t="shared" ref="F20" si="3">+J20+L20+N20+P20+T20+V20+X20+Z20+AB20+AD20</f>
        <v>0</v>
      </c>
      <c r="G20" s="266">
        <f>+F20/'18'!F20*10000</f>
        <v>0</v>
      </c>
      <c r="H20" s="202">
        <f t="shared" ref="H20" si="4">+J20+L20+N20+P20</f>
        <v>0</v>
      </c>
      <c r="I20" s="269">
        <f>+H20/'18'!H20*10000</f>
        <v>0</v>
      </c>
      <c r="J20" s="202"/>
      <c r="K20" s="266">
        <f>+J20/'18'!J20*10000</f>
        <v>0</v>
      </c>
      <c r="L20" s="256"/>
      <c r="M20" s="259">
        <f>+L20/'18'!L20*10000</f>
        <v>0</v>
      </c>
      <c r="N20" s="256">
        <v>0</v>
      </c>
      <c r="O20" s="259">
        <f>+N20/'18'!N20*10000</f>
        <v>0</v>
      </c>
      <c r="P20" s="256"/>
      <c r="Q20" s="259">
        <f>+P20/'18'!P20*10000</f>
        <v>0</v>
      </c>
      <c r="R20" s="203">
        <f t="shared" ref="R20" si="5">+T20+V20+X20+Z20+AB20+AD20</f>
        <v>0</v>
      </c>
      <c r="S20" s="269">
        <f>+R20/'18'!R20*10000</f>
        <v>0</v>
      </c>
      <c r="T20" s="202"/>
      <c r="U20" s="259">
        <f>+T20/'18'!T20*10000</f>
        <v>0</v>
      </c>
      <c r="V20" s="256"/>
      <c r="W20" s="259">
        <f>+V20/'18'!V20*10000</f>
        <v>0</v>
      </c>
      <c r="X20" s="256"/>
      <c r="Y20" s="259">
        <f>+X20/'18'!X20*10000</f>
        <v>0</v>
      </c>
      <c r="Z20" s="256"/>
      <c r="AA20" s="259">
        <f>+Z20/'18'!Z20*10000</f>
        <v>0</v>
      </c>
      <c r="AB20" s="256"/>
      <c r="AC20" s="259">
        <f>+AB20/'18'!AB20*10000</f>
        <v>0</v>
      </c>
      <c r="AD20" s="257"/>
      <c r="AE20" s="259">
        <f>+AD20/'18'!AD20*10000</f>
        <v>0</v>
      </c>
      <c r="AG20" s="1249"/>
    </row>
    <row r="21" spans="1:33">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3">
      <c r="A23" s="1"/>
      <c r="B23" s="216" t="str">
        <f>+'21'!B23</f>
        <v>AÑO   2020  :   DATOS POR RESIDENCIA</v>
      </c>
      <c r="C23" s="263"/>
      <c r="D23" s="263"/>
      <c r="E23" s="263"/>
      <c r="F23" s="263"/>
      <c r="G23" s="263"/>
      <c r="H23" s="263"/>
      <c r="I23" s="263"/>
      <c r="J23" s="263"/>
      <c r="K23" s="212"/>
      <c r="L23" s="212"/>
      <c r="M23" s="1"/>
      <c r="N23" s="1"/>
      <c r="O23" s="1"/>
      <c r="P23" s="1"/>
      <c r="Q23" s="1"/>
      <c r="R23" s="1"/>
      <c r="S23" s="1"/>
      <c r="T23" s="1"/>
      <c r="U23" s="1"/>
      <c r="V23" s="1"/>
      <c r="W23" s="1"/>
      <c r="X23" s="1"/>
      <c r="Y23" s="1"/>
      <c r="Z23" s="1"/>
      <c r="AA23" s="1"/>
      <c r="AB23" s="1"/>
      <c r="AC23" s="1"/>
      <c r="AD23" s="1"/>
      <c r="AE23" s="1"/>
    </row>
    <row r="24" spans="1:33">
      <c r="A24" s="1"/>
      <c r="B24" s="212"/>
      <c r="C24" s="216" t="s">
        <v>676</v>
      </c>
      <c r="D24" s="216"/>
      <c r="E24" s="212"/>
      <c r="F24" s="212"/>
      <c r="G24" s="212"/>
      <c r="H24" s="212"/>
      <c r="I24" s="212"/>
      <c r="J24" s="212"/>
      <c r="K24" s="212"/>
      <c r="L24" s="212"/>
      <c r="M24" s="1"/>
      <c r="N24" s="1"/>
      <c r="O24" s="1"/>
      <c r="P24" s="1"/>
      <c r="Q24" s="1"/>
      <c r="R24" s="1"/>
      <c r="S24" s="1"/>
      <c r="T24" s="1"/>
      <c r="U24" s="1"/>
      <c r="V24" s="1"/>
      <c r="W24" s="1"/>
      <c r="X24" s="1"/>
      <c r="Y24" s="1"/>
      <c r="Z24" s="1"/>
      <c r="AA24" s="1"/>
      <c r="AB24" s="1"/>
      <c r="AC24" s="1"/>
      <c r="AD24" s="1"/>
      <c r="AE24" s="1"/>
    </row>
    <row r="25" spans="1:3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topLeftCell="A10" zoomScaleNormal="100" workbookViewId="0">
      <selection activeCell="AE11" sqref="AE11"/>
    </sheetView>
  </sheetViews>
  <sheetFormatPr baseColWidth="10" defaultRowHeight="13.2"/>
  <cols>
    <col min="1" max="1" width="5.21875" customWidth="1"/>
    <col min="2" max="2" width="7.77734375" customWidth="1"/>
    <col min="3" max="3" width="5.77734375" customWidth="1"/>
    <col min="4" max="4" width="5.5546875" customWidth="1"/>
    <col min="5" max="7" width="5.77734375" customWidth="1"/>
    <col min="8" max="8" width="5.44140625" customWidth="1"/>
    <col min="9" max="9" width="6.77734375" customWidth="1"/>
    <col min="10" max="11" width="5.21875" customWidth="1"/>
    <col min="12" max="12" width="4.77734375" customWidth="1"/>
    <col min="13" max="13" width="5.21875" customWidth="1"/>
    <col min="14" max="14" width="4.77734375" customWidth="1"/>
    <col min="15" max="15" width="5.21875" customWidth="1"/>
    <col min="16" max="16" width="4.77734375" customWidth="1"/>
    <col min="17" max="23" width="5.21875" customWidth="1"/>
    <col min="24" max="24" width="4.77734375" customWidth="1"/>
    <col min="25" max="31" width="5.21875" customWidth="1"/>
  </cols>
  <sheetData>
    <row r="1" spans="1:31">
      <c r="A1" s="144" t="s">
        <v>677</v>
      </c>
      <c r="B1" s="144"/>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+'25'!A3</f>
        <v>AÑOS   2011  - 2020</v>
      </c>
      <c r="B3" s="144"/>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9"/>
      <c r="I6" s="84"/>
      <c r="J6" s="118" t="s">
        <v>639</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64"/>
      <c r="F7" s="212" t="s">
        <v>647</v>
      </c>
      <c r="G7" s="212"/>
      <c r="H7" s="182" t="s">
        <v>648</v>
      </c>
      <c r="I7" s="242"/>
      <c r="J7" s="243"/>
      <c r="K7" s="244"/>
      <c r="L7" s="243"/>
      <c r="M7" s="244"/>
      <c r="N7" s="243"/>
      <c r="O7" s="244"/>
      <c r="P7" s="243"/>
      <c r="Q7" s="244"/>
      <c r="R7" s="182" t="s">
        <v>648</v>
      </c>
      <c r="S7" s="242"/>
      <c r="T7" s="243"/>
      <c r="U7" s="244"/>
      <c r="V7" s="243"/>
      <c r="W7" s="244"/>
      <c r="X7" s="243"/>
      <c r="Y7" s="244"/>
      <c r="Z7" s="216"/>
      <c r="AA7" s="244"/>
      <c r="AB7" s="243"/>
      <c r="AC7" s="244"/>
      <c r="AD7" s="243"/>
      <c r="AE7" s="244"/>
    </row>
    <row r="8" spans="1:31" ht="18.75" customHeight="1">
      <c r="A8" s="185" t="s">
        <v>640</v>
      </c>
      <c r="B8" s="186" t="s">
        <v>645</v>
      </c>
      <c r="C8" s="186"/>
      <c r="D8" s="186" t="s">
        <v>646</v>
      </c>
      <c r="E8" s="241"/>
      <c r="F8" s="199" t="s">
        <v>649</v>
      </c>
      <c r="G8" s="241"/>
      <c r="H8" s="199" t="s">
        <v>630</v>
      </c>
      <c r="I8" s="246"/>
      <c r="J8" s="199" t="s">
        <v>630</v>
      </c>
      <c r="K8" s="246"/>
      <c r="L8" s="247" t="s">
        <v>426</v>
      </c>
      <c r="M8" s="248"/>
      <c r="N8" s="199" t="s">
        <v>651</v>
      </c>
      <c r="O8" s="246"/>
      <c r="P8" s="199" t="s">
        <v>429</v>
      </c>
      <c r="Q8" s="246"/>
      <c r="R8" s="199" t="s">
        <v>652</v>
      </c>
      <c r="S8" s="246"/>
      <c r="T8" s="199" t="s">
        <v>652</v>
      </c>
      <c r="U8" s="246"/>
      <c r="V8" s="199" t="s">
        <v>393</v>
      </c>
      <c r="W8" s="246"/>
      <c r="X8" s="199" t="s">
        <v>411</v>
      </c>
      <c r="Y8" s="246"/>
      <c r="Z8" s="199" t="s">
        <v>416</v>
      </c>
      <c r="AA8" s="246"/>
      <c r="AB8" s="199" t="s">
        <v>653</v>
      </c>
      <c r="AC8" s="246"/>
      <c r="AD8" s="199" t="s">
        <v>418</v>
      </c>
      <c r="AE8" s="246"/>
    </row>
    <row r="9" spans="1:31" ht="18.75" customHeight="1">
      <c r="A9" s="260"/>
      <c r="B9" s="205" t="s">
        <v>661</v>
      </c>
      <c r="C9" s="261" t="s">
        <v>662</v>
      </c>
      <c r="D9" s="205" t="s">
        <v>661</v>
      </c>
      <c r="E9" s="261" t="s">
        <v>662</v>
      </c>
      <c r="F9" s="205" t="s">
        <v>661</v>
      </c>
      <c r="G9" s="261" t="s">
        <v>662</v>
      </c>
      <c r="H9" s="250" t="s">
        <v>661</v>
      </c>
      <c r="I9" s="251" t="s">
        <v>662</v>
      </c>
      <c r="J9" s="250" t="s">
        <v>661</v>
      </c>
      <c r="K9" s="251" t="s">
        <v>662</v>
      </c>
      <c r="L9" s="250" t="s">
        <v>661</v>
      </c>
      <c r="M9" s="252" t="s">
        <v>662</v>
      </c>
      <c r="N9" s="250" t="s">
        <v>661</v>
      </c>
      <c r="O9" s="252" t="s">
        <v>662</v>
      </c>
      <c r="P9" s="250" t="s">
        <v>661</v>
      </c>
      <c r="Q9" s="252" t="s">
        <v>662</v>
      </c>
      <c r="R9" s="250" t="s">
        <v>661</v>
      </c>
      <c r="S9" s="251" t="s">
        <v>662</v>
      </c>
      <c r="T9" s="250" t="s">
        <v>661</v>
      </c>
      <c r="U9" s="252" t="s">
        <v>662</v>
      </c>
      <c r="V9" s="250" t="s">
        <v>661</v>
      </c>
      <c r="W9" s="252" t="s">
        <v>662</v>
      </c>
      <c r="X9" s="250" t="s">
        <v>661</v>
      </c>
      <c r="Y9" s="252" t="s">
        <v>662</v>
      </c>
      <c r="Z9" s="250" t="s">
        <v>661</v>
      </c>
      <c r="AA9" s="252" t="s">
        <v>662</v>
      </c>
      <c r="AB9" s="250" t="s">
        <v>661</v>
      </c>
      <c r="AC9" s="252" t="s">
        <v>662</v>
      </c>
      <c r="AD9" s="250" t="s">
        <v>661</v>
      </c>
      <c r="AE9" s="252" t="s">
        <v>662</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s="6" customFormat="1" ht="25.5" customHeight="1">
      <c r="A11" s="254">
        <f>+'25'!A11</f>
        <v>2011</v>
      </c>
      <c r="B11" s="202">
        <v>94985</v>
      </c>
      <c r="C11" s="255">
        <f>+B11/'7'!B11*1000</f>
        <v>5.5050495361726988</v>
      </c>
      <c r="D11" s="202">
        <v>11171</v>
      </c>
      <c r="E11" s="255">
        <f>+D11/'7'!C11*1000</f>
        <v>6.323596508011625</v>
      </c>
      <c r="F11" s="202">
        <f t="shared" ref="F11:F19" si="0">+J11+L11+N11+P11+T11+V11+X11+Z11+AB11+AD11</f>
        <v>1469</v>
      </c>
      <c r="G11" s="255">
        <f>+F11/'7'!D11*1000</f>
        <v>5.7642654779749343</v>
      </c>
      <c r="H11" s="268">
        <f t="shared" ref="H11:H19" si="1">+J11+L11+N11+P11</f>
        <v>608</v>
      </c>
      <c r="I11" s="269">
        <f>+H11/'7'!E11*1000</f>
        <v>5.810064407621887</v>
      </c>
      <c r="J11" s="202">
        <v>413</v>
      </c>
      <c r="K11" s="255">
        <f>+J11/'7'!F11*1000</f>
        <v>6.4022074439225536</v>
      </c>
      <c r="L11" s="202">
        <v>92</v>
      </c>
      <c r="M11" s="255">
        <f>+L11/'7'!G11*1000</f>
        <v>5.2198581560283692</v>
      </c>
      <c r="N11" s="202">
        <v>63</v>
      </c>
      <c r="O11" s="255">
        <f>+N11/'7'!H11*1000</f>
        <v>4.7106325706594889</v>
      </c>
      <c r="P11" s="202">
        <v>40</v>
      </c>
      <c r="Q11" s="255">
        <f>+P11/'7'!I11*1000</f>
        <v>4.3773254541475159</v>
      </c>
      <c r="R11" s="203">
        <f t="shared" ref="R11:R19" si="2">+T11+V11+X11+Z11+AB11+AD11</f>
        <v>861</v>
      </c>
      <c r="S11" s="269">
        <f>+R11/'7'!J11*1000</f>
        <v>5.7323568575233024</v>
      </c>
      <c r="T11" s="202">
        <v>396</v>
      </c>
      <c r="U11" s="255">
        <f>+T11/'7'!K11*1000</f>
        <v>5.3336206664332089</v>
      </c>
      <c r="V11" s="202">
        <v>126</v>
      </c>
      <c r="W11" s="255">
        <f>+V11/'7'!L11*1000</f>
        <v>7.7405086619977883</v>
      </c>
      <c r="X11" s="202">
        <v>80</v>
      </c>
      <c r="Y11" s="255">
        <f>+X11/'7'!M11*1000</f>
        <v>5.4529343603026383</v>
      </c>
      <c r="Z11" s="202">
        <v>35</v>
      </c>
      <c r="AA11" s="255">
        <f>+Z11/'7'!N11*1000</f>
        <v>4.9518958687040184</v>
      </c>
      <c r="AB11" s="202">
        <v>151</v>
      </c>
      <c r="AC11" s="255">
        <f>+AB11/'7'!O11*1000</f>
        <v>6.2396694214876032</v>
      </c>
      <c r="AD11" s="202">
        <v>73</v>
      </c>
      <c r="AE11" s="255">
        <f>+AD11/'7'!P11*1000</f>
        <v>5.3141151634272399</v>
      </c>
    </row>
    <row r="12" spans="1:31" s="6" customFormat="1" ht="25.5" customHeight="1">
      <c r="A12" s="254">
        <f>+'25'!A12</f>
        <v>2012</v>
      </c>
      <c r="B12" s="202">
        <v>98711</v>
      </c>
      <c r="C12" s="255">
        <f>+B12/'7'!B12*1000</f>
        <v>5.658901649904827</v>
      </c>
      <c r="D12" s="202">
        <v>11677</v>
      </c>
      <c r="E12" s="255">
        <f>+D12/'7'!C12*1000</f>
        <v>6.5340532337604129</v>
      </c>
      <c r="F12" s="202">
        <f t="shared" si="0"/>
        <v>1492</v>
      </c>
      <c r="G12" s="255">
        <f>+F12/'7'!D12*1000</f>
        <v>5.7856816013773962</v>
      </c>
      <c r="H12" s="268">
        <f t="shared" si="1"/>
        <v>568</v>
      </c>
      <c r="I12" s="269">
        <f>+H12/'7'!E12*1000</f>
        <v>5.3622846353552047</v>
      </c>
      <c r="J12" s="202">
        <v>385</v>
      </c>
      <c r="K12" s="255">
        <f>+J12/'7'!F12*1000</f>
        <v>5.9341235222491093</v>
      </c>
      <c r="L12" s="202">
        <v>83</v>
      </c>
      <c r="M12" s="255">
        <f>+L12/'7'!G12*1000</f>
        <v>4.6218955340238326</v>
      </c>
      <c r="N12" s="202">
        <v>55</v>
      </c>
      <c r="O12" s="255">
        <f>+N12/'7'!H12*1000</f>
        <v>4.0105002187545571</v>
      </c>
      <c r="P12" s="202">
        <v>45</v>
      </c>
      <c r="Q12" s="255">
        <f>+P12/'7'!I12*1000</f>
        <v>4.8005120546191593</v>
      </c>
      <c r="R12" s="203">
        <f t="shared" si="2"/>
        <v>924</v>
      </c>
      <c r="S12" s="269">
        <f>+R12/'7'!J12*1000</f>
        <v>6.0808276243312083</v>
      </c>
      <c r="T12" s="202">
        <v>460</v>
      </c>
      <c r="U12" s="255">
        <f>+T12/'7'!K12*1000</f>
        <v>6.1158013694076976</v>
      </c>
      <c r="V12" s="202">
        <v>118</v>
      </c>
      <c r="W12" s="255">
        <f>+V12/'7'!L12*1000</f>
        <v>7.1828585342098856</v>
      </c>
      <c r="X12" s="202">
        <v>88</v>
      </c>
      <c r="Y12" s="255">
        <f>+X12/'7'!M12*1000</f>
        <v>5.9263250050508445</v>
      </c>
      <c r="Z12" s="202">
        <v>45</v>
      </c>
      <c r="AA12" s="255">
        <f>+Z12/'7'!N12*1000</f>
        <v>6.3193371717455413</v>
      </c>
      <c r="AB12" s="202">
        <v>138</v>
      </c>
      <c r="AC12" s="255">
        <f>+AB12/'7'!O12*1000</f>
        <v>5.6448644005399435</v>
      </c>
      <c r="AD12" s="202">
        <v>75</v>
      </c>
      <c r="AE12" s="255">
        <f>+AD12/'7'!P12*1000</f>
        <v>5.3984020729863955</v>
      </c>
    </row>
    <row r="13" spans="1:31" s="6" customFormat="1" ht="25.5" customHeight="1">
      <c r="A13" s="254">
        <f>+'25'!A13</f>
        <v>2013</v>
      </c>
      <c r="B13" s="202">
        <v>99770</v>
      </c>
      <c r="C13" s="255">
        <f>+B13/'7'!B13*1000</f>
        <v>5.6649190984596665</v>
      </c>
      <c r="D13" s="202">
        <v>11762</v>
      </c>
      <c r="E13" s="255">
        <f>+D13/'7'!C13*1000</f>
        <v>6.5135468150793985</v>
      </c>
      <c r="F13" s="202">
        <f t="shared" si="0"/>
        <v>1483</v>
      </c>
      <c r="G13" s="255">
        <f>+F13/'7'!D13*1000</f>
        <v>5.6900805359342206</v>
      </c>
      <c r="H13" s="268">
        <f t="shared" si="1"/>
        <v>541</v>
      </c>
      <c r="I13" s="269">
        <f>+H13/'7'!E13*1000</f>
        <v>5.052344530673615</v>
      </c>
      <c r="J13" s="202">
        <v>347</v>
      </c>
      <c r="K13" s="255">
        <f>+J13/'7'!F13*1000</f>
        <v>5.324209040414889</v>
      </c>
      <c r="L13" s="202">
        <v>94</v>
      </c>
      <c r="M13" s="255">
        <f>+L13/'7'!G13*1000</f>
        <v>5.1461732180006567</v>
      </c>
      <c r="N13" s="202">
        <v>53</v>
      </c>
      <c r="O13" s="255">
        <f>+N13/'7'!H13*1000</f>
        <v>3.7751976636512574</v>
      </c>
      <c r="P13" s="202">
        <v>47</v>
      </c>
      <c r="Q13" s="255">
        <f>+P13/'7'!I13*1000</f>
        <v>4.8958333333333339</v>
      </c>
      <c r="R13" s="203">
        <f t="shared" si="2"/>
        <v>942</v>
      </c>
      <c r="S13" s="269">
        <f>+R13/'7'!J13*1000</f>
        <v>6.1348095083034844</v>
      </c>
      <c r="T13" s="202">
        <v>468</v>
      </c>
      <c r="U13" s="255">
        <f>+T13/'7'!K13*1000</f>
        <v>6.1490756677922453</v>
      </c>
      <c r="V13" s="202">
        <v>125</v>
      </c>
      <c r="W13" s="255">
        <f>+V13/'7'!L13*1000</f>
        <v>7.549220920401015</v>
      </c>
      <c r="X13" s="202">
        <v>78</v>
      </c>
      <c r="Y13" s="255">
        <f>+X13/'7'!M13*1000</f>
        <v>5.195497235729035</v>
      </c>
      <c r="Z13" s="202">
        <v>34</v>
      </c>
      <c r="AA13" s="255">
        <f>+Z13/'7'!N13*1000</f>
        <v>4.7433035714285712</v>
      </c>
      <c r="AB13" s="202">
        <v>154</v>
      </c>
      <c r="AC13" s="255">
        <f>+AB13/'7'!O13*1000</f>
        <v>6.2429057888762767</v>
      </c>
      <c r="AD13" s="202">
        <v>83</v>
      </c>
      <c r="AE13" s="255">
        <f>+AD13/'7'!P13*1000</f>
        <v>5.9142083511472139</v>
      </c>
    </row>
    <row r="14" spans="1:31" s="6" customFormat="1" ht="25.5" customHeight="1">
      <c r="A14" s="254">
        <f>+'25'!A14</f>
        <v>2014</v>
      </c>
      <c r="B14" s="202">
        <v>101960</v>
      </c>
      <c r="C14" s="255">
        <f>+B14/'7'!B14*1000</f>
        <v>5.732077545856761</v>
      </c>
      <c r="D14" s="202">
        <v>12106</v>
      </c>
      <c r="E14" s="255">
        <f>+D14/'7'!C14*1000</f>
        <v>6.6339989982694387</v>
      </c>
      <c r="F14" s="202">
        <f t="shared" si="0"/>
        <v>1706</v>
      </c>
      <c r="G14" s="255">
        <f>+F14/'7'!D14*1000</f>
        <v>6.4753908577805275</v>
      </c>
      <c r="H14" s="268">
        <f t="shared" si="1"/>
        <v>640</v>
      </c>
      <c r="I14" s="269">
        <f>+H14/'7'!E14*1000</f>
        <v>5.9111480557864597</v>
      </c>
      <c r="J14" s="202">
        <v>407</v>
      </c>
      <c r="K14" s="255">
        <f>+J14/'7'!F14*1000</f>
        <v>6.2146892655367232</v>
      </c>
      <c r="L14" s="202">
        <v>108</v>
      </c>
      <c r="M14" s="255">
        <f>+L14/'7'!G14*1000</f>
        <v>5.8133275917752183</v>
      </c>
      <c r="N14" s="202">
        <v>70</v>
      </c>
      <c r="O14" s="255">
        <f>+N14/'7'!H14*1000</f>
        <v>4.8705816866128586</v>
      </c>
      <c r="P14" s="202">
        <v>55</v>
      </c>
      <c r="Q14" s="255">
        <f>+P14/'7'!I14*1000</f>
        <v>5.5951169888097656</v>
      </c>
      <c r="R14" s="203">
        <f t="shared" si="2"/>
        <v>1066</v>
      </c>
      <c r="S14" s="269">
        <f>+R14/'7'!J14*1000</f>
        <v>6.869043553344631</v>
      </c>
      <c r="T14" s="202">
        <v>542</v>
      </c>
      <c r="U14" s="255">
        <f>+T14/'7'!K14*1000</f>
        <v>7.0367677606979644</v>
      </c>
      <c r="V14" s="202">
        <v>122</v>
      </c>
      <c r="W14" s="255">
        <f>+V14/'7'!L14*1000</f>
        <v>7.3088904864605801</v>
      </c>
      <c r="X14" s="202">
        <v>104</v>
      </c>
      <c r="Y14" s="255">
        <f>+X14/'7'!M14*1000</f>
        <v>6.8511198945981553</v>
      </c>
      <c r="Z14" s="202">
        <v>51</v>
      </c>
      <c r="AA14" s="255">
        <f>+Z14/'7'!N14*1000</f>
        <v>7.0646904003324558</v>
      </c>
      <c r="AB14" s="202">
        <v>170</v>
      </c>
      <c r="AC14" s="255">
        <f>+AB14/'7'!O14*1000</f>
        <v>6.8286804579232774</v>
      </c>
      <c r="AD14" s="202">
        <v>77</v>
      </c>
      <c r="AE14" s="255">
        <f>+AD14/'7'!P14*1000</f>
        <v>5.4305663304887517</v>
      </c>
    </row>
    <row r="15" spans="1:31" s="6" customFormat="1" ht="25.5" customHeight="1">
      <c r="A15" s="254">
        <f>+'25'!A15</f>
        <v>2015</v>
      </c>
      <c r="B15" s="202">
        <v>103327</v>
      </c>
      <c r="C15" s="255">
        <f>+B15/'7'!B15*1000</f>
        <v>5.7495168857802739</v>
      </c>
      <c r="D15" s="202">
        <v>12273</v>
      </c>
      <c r="E15" s="255">
        <f>+D15/'7'!C15*1000</f>
        <v>6.6534425452765333</v>
      </c>
      <c r="F15" s="202">
        <f t="shared" si="0"/>
        <v>1612</v>
      </c>
      <c r="G15" s="255">
        <f>+F15/'7'!D15*1000</f>
        <v>6.0520506389944284</v>
      </c>
      <c r="H15" s="268">
        <f t="shared" si="1"/>
        <v>600</v>
      </c>
      <c r="I15" s="269">
        <f>+H15/'7'!E15*1000</f>
        <v>5.4811038943243169</v>
      </c>
      <c r="J15" s="202">
        <v>403</v>
      </c>
      <c r="K15" s="255">
        <f>+J15/'7'!F15*1000</f>
        <v>6.1217359602618826</v>
      </c>
      <c r="L15" s="202">
        <v>105</v>
      </c>
      <c r="M15" s="255">
        <f>+L15/'7'!G15*1000</f>
        <v>5.5576139310855872</v>
      </c>
      <c r="N15" s="202">
        <v>43</v>
      </c>
      <c r="O15" s="255">
        <f>+N15/'7'!H15*1000</f>
        <v>2.9267628641437518</v>
      </c>
      <c r="P15" s="202">
        <v>49</v>
      </c>
      <c r="Q15" s="255">
        <f>+P15/'7'!I15*1000</f>
        <v>4.8751368023082282</v>
      </c>
      <c r="R15" s="203">
        <f t="shared" si="2"/>
        <v>1012</v>
      </c>
      <c r="S15" s="269">
        <f>+R15/'7'!J15*1000</f>
        <v>6.450420360892096</v>
      </c>
      <c r="T15" s="202">
        <v>515</v>
      </c>
      <c r="U15" s="255">
        <f>+T15/'7'!K15*1000</f>
        <v>6.6047656911278114</v>
      </c>
      <c r="V15" s="202">
        <v>143</v>
      </c>
      <c r="W15" s="255">
        <f>+V15/'7'!L15*1000</f>
        <v>8.497236912472518</v>
      </c>
      <c r="X15" s="202">
        <v>83</v>
      </c>
      <c r="Y15" s="255">
        <f>+X15/'7'!M15*1000</f>
        <v>5.4061095551358038</v>
      </c>
      <c r="Z15" s="202">
        <v>45</v>
      </c>
      <c r="AA15" s="255">
        <f>+Z15/'7'!N15*1000</f>
        <v>6.1864173769590325</v>
      </c>
      <c r="AB15" s="202">
        <v>144</v>
      </c>
      <c r="AC15" s="255">
        <f>+AB15/'7'!O15*1000</f>
        <v>5.7302029446876244</v>
      </c>
      <c r="AD15" s="202">
        <v>82</v>
      </c>
      <c r="AE15" s="255">
        <f>+AD15/'7'!P15*1000</f>
        <v>5.7226603391723074</v>
      </c>
    </row>
    <row r="16" spans="1:31" s="6" customFormat="1" ht="25.5" customHeight="1">
      <c r="A16" s="254">
        <f>+'25'!A16</f>
        <v>2016</v>
      </c>
      <c r="B16" s="202">
        <v>103986</v>
      </c>
      <c r="C16" s="255">
        <f>+B16/'7'!B16*1000</f>
        <v>5.7238486593409519</v>
      </c>
      <c r="D16" s="202">
        <v>12179</v>
      </c>
      <c r="E16" s="255">
        <f>+D16/'7'!C16*1000</f>
        <v>6.5333461364530034</v>
      </c>
      <c r="F16" s="202">
        <f t="shared" si="0"/>
        <v>1593</v>
      </c>
      <c r="G16" s="255">
        <f>+F16/'7'!D16*1000</f>
        <v>5.9166762616114301</v>
      </c>
      <c r="H16" s="268">
        <f t="shared" si="1"/>
        <v>610</v>
      </c>
      <c r="I16" s="269">
        <f>+H16/'7'!E16*1000</f>
        <v>5.5120813980807108</v>
      </c>
      <c r="J16" s="202">
        <v>392</v>
      </c>
      <c r="K16" s="255">
        <f>+J16/'7'!F16*1000</f>
        <v>5.9250302297460697</v>
      </c>
      <c r="L16" s="202">
        <v>99</v>
      </c>
      <c r="M16" s="255">
        <f>+L16/'7'!G16*1000</f>
        <v>5.1554444618028441</v>
      </c>
      <c r="N16" s="202">
        <v>59</v>
      </c>
      <c r="O16" s="255">
        <f>+N16/'7'!H16*1000</f>
        <v>3.927311455767823</v>
      </c>
      <c r="P16" s="202">
        <v>60</v>
      </c>
      <c r="Q16" s="255">
        <f>+P16/'7'!I16*1000</f>
        <v>5.836575875486381</v>
      </c>
      <c r="R16" s="203">
        <f t="shared" si="2"/>
        <v>983</v>
      </c>
      <c r="S16" s="269">
        <f>+R16/'7'!J16*1000</f>
        <v>6.1990376671942888</v>
      </c>
      <c r="T16" s="202">
        <v>482</v>
      </c>
      <c r="U16" s="255">
        <f>+T16/'7'!K16*1000</f>
        <v>6.107682755299872</v>
      </c>
      <c r="V16" s="202">
        <v>140</v>
      </c>
      <c r="W16" s="255">
        <f>+V16/'7'!L16*1000</f>
        <v>8.2532570889583212</v>
      </c>
      <c r="X16" s="202">
        <v>77</v>
      </c>
      <c r="Y16" s="255">
        <f>+X16/'7'!M16*1000</f>
        <v>4.9597423510466996</v>
      </c>
      <c r="Z16" s="202">
        <v>37</v>
      </c>
      <c r="AA16" s="255">
        <f>+Z16/'7'!N16*1000</f>
        <v>5.0491266375545845</v>
      </c>
      <c r="AB16" s="202">
        <v>161</v>
      </c>
      <c r="AC16" s="255">
        <f>+AB16/'7'!O16*1000</f>
        <v>6.3478295154358708</v>
      </c>
      <c r="AD16" s="202">
        <v>86</v>
      </c>
      <c r="AE16" s="255">
        <f>+AD16/'7'!P16*1000</f>
        <v>5.9404572770601645</v>
      </c>
    </row>
    <row r="17" spans="1:31" s="6" customFormat="1" ht="25.5" customHeight="1">
      <c r="A17" s="254">
        <f>+'25'!A17</f>
        <v>2017</v>
      </c>
      <c r="B17" s="202">
        <v>106348</v>
      </c>
      <c r="C17" s="255">
        <f>+B17/'7'!B17*1000</f>
        <v>5.7737603256429484</v>
      </c>
      <c r="D17" s="202">
        <v>12574</v>
      </c>
      <c r="E17" s="255">
        <f>+D17/'7'!C17*1000</f>
        <v>6.6672039738105182</v>
      </c>
      <c r="F17" s="202">
        <f t="shared" si="0"/>
        <v>1685</v>
      </c>
      <c r="G17" s="255">
        <f>+F17/'7'!D17*1000</f>
        <v>6.1845529320653467</v>
      </c>
      <c r="H17" s="268">
        <f t="shared" si="1"/>
        <v>661</v>
      </c>
      <c r="I17" s="269">
        <f>+H17/'7'!E17*1000</f>
        <v>5.9019438020661266</v>
      </c>
      <c r="J17" s="202">
        <v>455</v>
      </c>
      <c r="K17" s="255">
        <f>+J17/'7'!F17*1000</f>
        <v>6.8347052814997298</v>
      </c>
      <c r="L17" s="202">
        <v>97</v>
      </c>
      <c r="M17" s="255">
        <f>+L17/'7'!G17*1000</f>
        <v>4.9639220101325412</v>
      </c>
      <c r="N17" s="202">
        <v>65</v>
      </c>
      <c r="O17" s="255">
        <f>+N17/'7'!H17*1000</f>
        <v>4.2287424370567948</v>
      </c>
      <c r="P17" s="202">
        <v>44</v>
      </c>
      <c r="Q17" s="255">
        <f>+P17/'7'!I17*1000</f>
        <v>4.1852943974127266</v>
      </c>
      <c r="R17" s="203">
        <f t="shared" si="2"/>
        <v>1024</v>
      </c>
      <c r="S17" s="269">
        <f>+R17/'7'!J17*1000</f>
        <v>6.3818118362666407</v>
      </c>
      <c r="T17" s="202">
        <v>492</v>
      </c>
      <c r="U17" s="255">
        <f>+T17/'7'!K17*1000</f>
        <v>6.1529995872988081</v>
      </c>
      <c r="V17" s="202">
        <v>132</v>
      </c>
      <c r="W17" s="255">
        <f>+V17/'7'!L17*1000</f>
        <v>7.7120822622107967</v>
      </c>
      <c r="X17" s="202">
        <v>96</v>
      </c>
      <c r="Y17" s="255">
        <f>+X17/'7'!M17*1000</f>
        <v>6.1084245355052174</v>
      </c>
      <c r="Z17" s="202">
        <v>48</v>
      </c>
      <c r="AA17" s="255">
        <f>+Z17/'7'!N17*1000</f>
        <v>6.4917500676223963</v>
      </c>
      <c r="AB17" s="202">
        <v>176</v>
      </c>
      <c r="AC17" s="255">
        <f>+AB17/'7'!O17*1000</f>
        <v>6.8680246624521963</v>
      </c>
      <c r="AD17" s="202">
        <v>80</v>
      </c>
      <c r="AE17" s="255">
        <f>+AD17/'7'!P17*1000</f>
        <v>5.4633613330601651</v>
      </c>
    </row>
    <row r="18" spans="1:31" s="6" customFormat="1" ht="25.5" customHeight="1">
      <c r="A18" s="254">
        <f>+'25'!A18</f>
        <v>2018</v>
      </c>
      <c r="B18" s="202">
        <v>105977</v>
      </c>
      <c r="C18" s="255">
        <f>+B18/'7'!B18*1000</f>
        <v>5.6516831672080041</v>
      </c>
      <c r="D18" s="202">
        <v>12865</v>
      </c>
      <c r="E18" s="255">
        <f>+D18/'7'!C18*1000</f>
        <v>6.7342446679595991</v>
      </c>
      <c r="F18" s="202">
        <f t="shared" si="0"/>
        <v>1610</v>
      </c>
      <c r="G18" s="255">
        <f>+F18/'7'!D18*1000</f>
        <v>5.8321922522405032</v>
      </c>
      <c r="H18" s="268">
        <f t="shared" si="1"/>
        <v>652</v>
      </c>
      <c r="I18" s="269">
        <f>+H18/'7'!E18*1000</f>
        <v>5.7453033026682183</v>
      </c>
      <c r="J18" s="202">
        <v>436</v>
      </c>
      <c r="K18" s="255">
        <f>+J18/'7'!F18*1000</f>
        <v>6.5005740185773284</v>
      </c>
      <c r="L18" s="202">
        <v>94</v>
      </c>
      <c r="M18" s="255">
        <f>+L18/'7'!G18*1000</f>
        <v>4.7224315498618434</v>
      </c>
      <c r="N18" s="202">
        <v>85</v>
      </c>
      <c r="O18" s="255">
        <f>+N18/'7'!H18*1000</f>
        <v>5.3988821138211378</v>
      </c>
      <c r="P18" s="202">
        <v>37</v>
      </c>
      <c r="Q18" s="255">
        <f>+P18/'7'!I18*1000</f>
        <v>3.4373838721664809</v>
      </c>
      <c r="R18" s="203">
        <f t="shared" si="2"/>
        <v>958</v>
      </c>
      <c r="S18" s="269">
        <f>+R18/'7'!J18*1000</f>
        <v>5.8928461585778438</v>
      </c>
      <c r="T18" s="202">
        <v>479</v>
      </c>
      <c r="U18" s="255">
        <f>+T18/'7'!K18*1000</f>
        <v>5.9048323471400392</v>
      </c>
      <c r="V18" s="202">
        <v>112</v>
      </c>
      <c r="W18" s="255">
        <f>+V18/'7'!L18*1000</f>
        <v>6.4769835762202179</v>
      </c>
      <c r="X18" s="202">
        <v>77</v>
      </c>
      <c r="Y18" s="255">
        <f>+X18/'7'!M18*1000</f>
        <v>4.8336472065285623</v>
      </c>
      <c r="Z18" s="202">
        <v>42</v>
      </c>
      <c r="AA18" s="255">
        <f>+Z18/'7'!N18*1000</f>
        <v>5.6209850107066384</v>
      </c>
      <c r="AB18" s="202">
        <v>166</v>
      </c>
      <c r="AC18" s="255">
        <f>+AB18/'7'!O18*1000</f>
        <v>6.4030858244937319</v>
      </c>
      <c r="AD18" s="202">
        <v>82</v>
      </c>
      <c r="AE18" s="255">
        <f>+AD18/'7'!P18*1000</f>
        <v>5.5289596116243009</v>
      </c>
    </row>
    <row r="19" spans="1:31" s="6" customFormat="1" ht="25.5" customHeight="1">
      <c r="A19" s="254">
        <f>+'25'!A19</f>
        <v>2019</v>
      </c>
      <c r="B19" s="202">
        <v>108393</v>
      </c>
      <c r="C19" s="255">
        <f>+B19/'7'!B19*1000</f>
        <v>5.6728829568891666</v>
      </c>
      <c r="D19" s="202">
        <v>13131</v>
      </c>
      <c r="E19" s="255">
        <f>+D19/'7'!C19*1000</f>
        <v>6.7844512013970881</v>
      </c>
      <c r="F19" s="202">
        <f t="shared" si="0"/>
        <v>1709</v>
      </c>
      <c r="G19" s="255">
        <f>+F19/'7'!D19*1000</f>
        <v>6.1097466367793158</v>
      </c>
      <c r="H19" s="268">
        <f t="shared" si="1"/>
        <v>660</v>
      </c>
      <c r="I19" s="269">
        <f>+H19/'7'!E19*1000</f>
        <v>5.7403284163651547</v>
      </c>
      <c r="J19" s="202">
        <v>422</v>
      </c>
      <c r="K19" s="255">
        <f>+J19/'7'!F19*1000</f>
        <v>6.2441738306970684</v>
      </c>
      <c r="L19" s="202">
        <v>121</v>
      </c>
      <c r="M19" s="255">
        <f>+L19/'7'!G19*1000</f>
        <v>5.967646478595384</v>
      </c>
      <c r="N19" s="202">
        <v>71</v>
      </c>
      <c r="O19" s="255">
        <f>+N19/'7'!H19*1000</f>
        <v>4.4080213571739</v>
      </c>
      <c r="P19" s="202">
        <v>46</v>
      </c>
      <c r="Q19" s="255">
        <f>+P19/'7'!I19*1000</f>
        <v>4.1780199818346961</v>
      </c>
      <c r="R19" s="203">
        <f t="shared" si="2"/>
        <v>1049</v>
      </c>
      <c r="S19" s="269">
        <f>+R19/'7'!J19*1000</f>
        <v>6.3675709143443342</v>
      </c>
      <c r="T19" s="202">
        <v>511</v>
      </c>
      <c r="U19" s="255">
        <f>+T19/'7'!K19*1000</f>
        <v>6.2080863057634366</v>
      </c>
      <c r="V19" s="202">
        <v>146</v>
      </c>
      <c r="W19" s="255">
        <f>+V19/'7'!L19*1000</f>
        <v>8.3567053975158831</v>
      </c>
      <c r="X19" s="202">
        <v>103</v>
      </c>
      <c r="Y19" s="255">
        <f>+X19/'7'!M19*1000</f>
        <v>6.3777089783281733</v>
      </c>
      <c r="Z19" s="202">
        <v>38</v>
      </c>
      <c r="AA19" s="255">
        <f>+Z19/'7'!N19*1000</f>
        <v>5.0311134648484046</v>
      </c>
      <c r="AB19" s="202">
        <v>161</v>
      </c>
      <c r="AC19" s="255">
        <f>+AB19/'7'!O19*1000</f>
        <v>6.1375419335163164</v>
      </c>
      <c r="AD19" s="202">
        <v>90</v>
      </c>
      <c r="AE19" s="255">
        <f>+AD19/'7'!P19*1000</f>
        <v>5.9908140850695597</v>
      </c>
    </row>
    <row r="20" spans="1:31" s="6" customFormat="1" ht="25.5" customHeight="1">
      <c r="A20" s="254">
        <f>+'25'!A20</f>
        <v>2020</v>
      </c>
      <c r="B20" s="202">
        <v>125833</v>
      </c>
      <c r="C20" s="255">
        <f>+B20/'7'!B20*1000</f>
        <v>6.582529338454572</v>
      </c>
      <c r="D20" s="202">
        <v>14481</v>
      </c>
      <c r="E20" s="255">
        <f>+D20/'7'!C20*1000</f>
        <v>7.3876245427692497</v>
      </c>
      <c r="F20" s="202">
        <f t="shared" ref="F20" si="3">+J20+L20+N20+P20+T20+V20+X20+Z20+AB20+AD20</f>
        <v>1959</v>
      </c>
      <c r="G20" s="255">
        <f>+F20/'7'!D20*1000</f>
        <v>6.913320581862326</v>
      </c>
      <c r="H20" s="268">
        <f t="shared" ref="H20" si="4">+J20+L20+N20+P20</f>
        <v>784</v>
      </c>
      <c r="I20" s="269">
        <f>+H20/'7'!E20*1000</f>
        <v>6.7307114465020046</v>
      </c>
      <c r="J20" s="202">
        <v>541</v>
      </c>
      <c r="K20" s="255">
        <f>+J20/'7'!F20*1000</f>
        <v>7.9450163746640632</v>
      </c>
      <c r="L20" s="202">
        <v>111</v>
      </c>
      <c r="M20" s="255">
        <f>+L20/'7'!G20*1000</f>
        <v>5.3771254178171777</v>
      </c>
      <c r="N20" s="202">
        <v>74</v>
      </c>
      <c r="O20" s="255">
        <f>+N20/'7'!H20*1000</f>
        <v>4.4897463900012138</v>
      </c>
      <c r="P20" s="202">
        <v>58</v>
      </c>
      <c r="Q20" s="255">
        <f>+P20/'7'!I20*1000</f>
        <v>5.1496049010032854</v>
      </c>
      <c r="R20" s="203">
        <f t="shared" ref="R20" si="5">+T20+V20+X20+Z20+AB20+AD20</f>
        <v>1175</v>
      </c>
      <c r="S20" s="269">
        <f>+R20/'7'!J20*1000</f>
        <v>7.0407765826766937</v>
      </c>
      <c r="T20" s="202">
        <v>578</v>
      </c>
      <c r="U20" s="255">
        <f>+T20/'7'!K20*1000</f>
        <v>6.922653124775433</v>
      </c>
      <c r="V20" s="202">
        <v>143</v>
      </c>
      <c r="W20" s="255">
        <f>+V20/'7'!L20*1000</f>
        <v>8.1042788325304631</v>
      </c>
      <c r="X20" s="202">
        <v>93</v>
      </c>
      <c r="Y20" s="255">
        <f>+X20/'7'!M20*1000</f>
        <v>5.6821653326816151</v>
      </c>
      <c r="Z20" s="202">
        <v>52</v>
      </c>
      <c r="AA20" s="255">
        <f>+Z20/'7'!N20*1000</f>
        <v>6.8125245643914587</v>
      </c>
      <c r="AB20" s="202">
        <v>207</v>
      </c>
      <c r="AC20" s="255">
        <f>+AB20/'7'!O20*1000</f>
        <v>7.8016055478083892</v>
      </c>
      <c r="AD20" s="202">
        <v>102</v>
      </c>
      <c r="AE20" s="255">
        <f>+AD20/'7'!P20*1000</f>
        <v>6.7047919542496546</v>
      </c>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212"/>
      <c r="B22" s="212"/>
      <c r="C22" s="212"/>
      <c r="D22" s="212"/>
      <c r="E22" s="212"/>
      <c r="F22" s="212"/>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212"/>
      <c r="B23" s="216" t="str">
        <f>+'23'!B23</f>
        <v>AÑO   2020  :   DATOS POR RESIDENCIA</v>
      </c>
      <c r="C23" s="263"/>
      <c r="D23" s="263"/>
      <c r="E23" s="263"/>
      <c r="F23" s="263"/>
      <c r="G23" s="167"/>
      <c r="H23" s="167"/>
      <c r="I23" s="167"/>
      <c r="J23" s="167"/>
      <c r="K23" s="167"/>
      <c r="L23" s="1"/>
      <c r="M23" s="1"/>
      <c r="N23" s="1"/>
      <c r="O23" s="1"/>
      <c r="P23" s="1"/>
      <c r="Q23" s="1"/>
      <c r="R23" s="1"/>
      <c r="S23" s="1"/>
      <c r="T23" s="1"/>
      <c r="U23" s="1"/>
      <c r="V23" s="1"/>
      <c r="W23" s="1"/>
      <c r="X23" s="1"/>
      <c r="Y23" s="1"/>
      <c r="Z23" s="1"/>
      <c r="AA23" s="1"/>
      <c r="AB23" s="1"/>
      <c r="AC23" s="1"/>
      <c r="AD23" s="1"/>
      <c r="AE23" s="1"/>
    </row>
    <row r="24" spans="1:31">
      <c r="A24" s="212"/>
      <c r="B24" s="212"/>
      <c r="C24" s="216" t="s">
        <v>678</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212"/>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216"/>
      <c r="B26" s="216"/>
      <c r="C26" s="216"/>
      <c r="D26" s="216"/>
      <c r="E26" s="216"/>
      <c r="F26" s="216"/>
    </row>
    <row r="27" spans="1:31">
      <c r="A27" s="216"/>
      <c r="B27" s="216"/>
      <c r="C27" s="216"/>
      <c r="D27" s="216"/>
      <c r="E27" s="216"/>
      <c r="F27" s="216"/>
    </row>
    <row r="28" spans="1:31">
      <c r="A28" s="216"/>
      <c r="B28" s="216"/>
      <c r="C28" s="216"/>
      <c r="D28" s="216"/>
      <c r="E28" s="216"/>
      <c r="F28" s="216"/>
    </row>
    <row r="29" spans="1:31">
      <c r="A29" s="216"/>
      <c r="B29" s="216"/>
      <c r="C29" s="216"/>
      <c r="D29" s="216"/>
      <c r="E29" s="216"/>
      <c r="F29" s="216"/>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0"/>
  <sheetViews>
    <sheetView zoomScaleNormal="100" workbookViewId="0">
      <selection activeCell="B22" sqref="B22"/>
    </sheetView>
  </sheetViews>
  <sheetFormatPr baseColWidth="10" defaultRowHeight="13.2"/>
  <cols>
    <col min="1" max="1" width="9" customWidth="1"/>
    <col min="2" max="2" width="27.77734375" customWidth="1"/>
    <col min="3" max="29" width="8.21875" customWidth="1"/>
    <col min="30" max="30" width="8.77734375" customWidth="1"/>
    <col min="31" max="31" width="9.21875" customWidth="1"/>
  </cols>
  <sheetData>
    <row r="1" spans="1:29">
      <c r="A1" s="114" t="s">
        <v>1512</v>
      </c>
      <c r="B1" s="114"/>
      <c r="C1" s="180"/>
      <c r="D1" s="180"/>
      <c r="E1" s="180"/>
      <c r="F1" s="180"/>
      <c r="G1" s="180"/>
      <c r="H1" s="180"/>
      <c r="I1" s="180"/>
      <c r="J1" s="180"/>
      <c r="K1" s="180"/>
      <c r="L1" s="180"/>
      <c r="M1" s="1"/>
      <c r="N1" s="1"/>
      <c r="O1" s="1"/>
      <c r="P1" s="1"/>
      <c r="Q1" s="1"/>
      <c r="R1" s="1"/>
      <c r="S1" s="1"/>
      <c r="T1" s="1"/>
      <c r="U1" s="1"/>
      <c r="V1" s="1"/>
      <c r="W1" s="1"/>
      <c r="X1" s="1"/>
      <c r="Y1" s="1"/>
    </row>
    <row r="2" spans="1:29">
      <c r="A2" s="114"/>
      <c r="B2" s="114"/>
      <c r="C2" s="180"/>
      <c r="D2" s="180"/>
      <c r="E2" s="180"/>
      <c r="F2" s="180"/>
      <c r="G2" s="180"/>
      <c r="H2" s="180"/>
      <c r="I2" s="180"/>
      <c r="J2" s="180"/>
      <c r="K2" s="180"/>
      <c r="L2" s="180"/>
      <c r="M2" s="1"/>
      <c r="N2" s="1"/>
      <c r="O2" s="1"/>
      <c r="P2" s="1"/>
      <c r="Q2" s="1"/>
      <c r="R2" s="1"/>
      <c r="S2" s="1"/>
      <c r="T2" s="1"/>
      <c r="U2" s="1"/>
      <c r="V2" s="1"/>
      <c r="W2" s="1"/>
      <c r="X2" s="1"/>
      <c r="Y2" s="1"/>
    </row>
    <row r="3" spans="1:29">
      <c r="A3" s="114" t="s">
        <v>1644</v>
      </c>
      <c r="B3" s="114"/>
      <c r="C3" s="180"/>
      <c r="D3" s="180"/>
      <c r="E3" s="180"/>
      <c r="F3" s="180"/>
      <c r="G3" s="180"/>
      <c r="H3" s="180"/>
      <c r="I3" s="180"/>
      <c r="J3" s="180"/>
      <c r="K3" s="180"/>
      <c r="L3" s="180"/>
      <c r="M3" s="1"/>
      <c r="N3" s="1"/>
      <c r="O3" s="1"/>
      <c r="P3" s="1"/>
      <c r="Q3" s="1"/>
      <c r="R3" s="1"/>
      <c r="S3" s="1"/>
      <c r="T3" s="1"/>
      <c r="U3" s="1"/>
      <c r="V3" s="1"/>
      <c r="W3" s="1"/>
      <c r="X3" s="1"/>
      <c r="Y3" s="1"/>
    </row>
    <row r="4" spans="1:29">
      <c r="A4" s="114" t="s">
        <v>679</v>
      </c>
      <c r="B4" s="114"/>
      <c r="C4" s="180"/>
      <c r="D4" s="180"/>
      <c r="E4" s="180"/>
      <c r="F4" s="180"/>
      <c r="G4" s="180"/>
      <c r="H4" s="180"/>
      <c r="I4" s="180"/>
      <c r="J4" s="180"/>
      <c r="K4" s="180"/>
      <c r="L4" s="180"/>
      <c r="M4" s="1"/>
      <c r="N4" s="1"/>
      <c r="O4" s="1"/>
      <c r="P4" s="1"/>
      <c r="Q4" s="1"/>
      <c r="R4" s="1"/>
      <c r="S4" s="1"/>
      <c r="T4" s="1"/>
      <c r="U4" s="1"/>
      <c r="V4" s="1"/>
      <c r="W4" s="1"/>
      <c r="X4" s="1"/>
      <c r="Y4" s="1"/>
    </row>
    <row r="5" spans="1:29">
      <c r="A5" s="285"/>
    </row>
    <row r="6" spans="1:29">
      <c r="A6" s="285"/>
    </row>
    <row r="7" spans="1:29" ht="18.75" customHeight="1" thickBot="1">
      <c r="A7" s="1434" t="s">
        <v>680</v>
      </c>
      <c r="B7" s="324"/>
      <c r="C7" s="287"/>
      <c r="D7" s="287"/>
      <c r="E7" s="288" t="s">
        <v>681</v>
      </c>
      <c r="F7" s="288"/>
      <c r="G7" s="288"/>
      <c r="H7" s="288"/>
      <c r="I7" s="288"/>
      <c r="J7" s="288"/>
      <c r="K7" s="288"/>
      <c r="L7" s="288"/>
      <c r="M7" s="288"/>
      <c r="N7" s="288"/>
      <c r="O7" s="288"/>
      <c r="P7" s="288"/>
      <c r="Q7" s="288"/>
      <c r="R7" s="288"/>
      <c r="S7" s="288"/>
      <c r="T7" s="288"/>
      <c r="U7" s="288"/>
      <c r="V7" s="288"/>
      <c r="W7" s="288"/>
      <c r="X7" s="288"/>
      <c r="Y7" s="288"/>
      <c r="Z7" s="288"/>
      <c r="AA7" s="288"/>
      <c r="AB7" s="288"/>
      <c r="AC7" s="289"/>
    </row>
    <row r="8" spans="1:29" ht="23.25" customHeight="1">
      <c r="A8" s="1570" t="s">
        <v>682</v>
      </c>
      <c r="B8" s="105" t="s">
        <v>683</v>
      </c>
      <c r="C8" s="1579" t="s">
        <v>684</v>
      </c>
      <c r="D8" s="1580"/>
      <c r="E8" s="291" t="s">
        <v>630</v>
      </c>
      <c r="F8" s="291"/>
      <c r="G8" s="291" t="s">
        <v>685</v>
      </c>
      <c r="H8" s="291"/>
      <c r="I8" s="291" t="s">
        <v>686</v>
      </c>
      <c r="J8" s="291"/>
      <c r="K8" s="291" t="s">
        <v>429</v>
      </c>
      <c r="L8" s="291"/>
      <c r="M8" s="1581" t="s">
        <v>687</v>
      </c>
      <c r="N8" s="1580"/>
      <c r="O8" s="291" t="s">
        <v>688</v>
      </c>
      <c r="P8" s="291"/>
      <c r="Q8" s="291" t="s">
        <v>393</v>
      </c>
      <c r="R8" s="291"/>
      <c r="S8" s="291" t="s">
        <v>411</v>
      </c>
      <c r="T8" s="291"/>
      <c r="U8" s="291" t="s">
        <v>416</v>
      </c>
      <c r="V8" s="291"/>
      <c r="W8" s="291" t="s">
        <v>689</v>
      </c>
      <c r="X8" s="291"/>
      <c r="Y8" s="1578" t="s">
        <v>418</v>
      </c>
      <c r="Z8" s="1578"/>
      <c r="AA8" s="1582" t="s">
        <v>517</v>
      </c>
      <c r="AB8" s="1583"/>
      <c r="AC8" s="1584"/>
    </row>
    <row r="9" spans="1:29" ht="23.25" customHeight="1" thickBot="1">
      <c r="A9" s="1571"/>
      <c r="B9" s="1403"/>
      <c r="C9" s="1435" t="s">
        <v>1461</v>
      </c>
      <c r="D9" s="1417" t="s">
        <v>1462</v>
      </c>
      <c r="E9" s="1317" t="s">
        <v>1461</v>
      </c>
      <c r="F9" s="1317" t="s">
        <v>1462</v>
      </c>
      <c r="G9" s="1316" t="s">
        <v>1461</v>
      </c>
      <c r="H9" s="1318" t="s">
        <v>1462</v>
      </c>
      <c r="I9" s="1317" t="s">
        <v>1461</v>
      </c>
      <c r="J9" s="1318" t="s">
        <v>1462</v>
      </c>
      <c r="K9" s="1316" t="s">
        <v>1461</v>
      </c>
      <c r="L9" s="1317" t="s">
        <v>1462</v>
      </c>
      <c r="M9" s="1418" t="s">
        <v>1461</v>
      </c>
      <c r="N9" s="1419" t="s">
        <v>1462</v>
      </c>
      <c r="O9" s="1317" t="s">
        <v>1461</v>
      </c>
      <c r="P9" s="1318" t="s">
        <v>1462</v>
      </c>
      <c r="Q9" s="1316" t="s">
        <v>1461</v>
      </c>
      <c r="R9" s="1318" t="s">
        <v>1462</v>
      </c>
      <c r="S9" s="1316" t="s">
        <v>1461</v>
      </c>
      <c r="T9" s="1318" t="s">
        <v>1462</v>
      </c>
      <c r="U9" s="1316" t="s">
        <v>1461</v>
      </c>
      <c r="V9" s="1318" t="s">
        <v>1462</v>
      </c>
      <c r="W9" s="1316" t="s">
        <v>1461</v>
      </c>
      <c r="X9" s="1318" t="s">
        <v>1462</v>
      </c>
      <c r="Y9" s="1316" t="s">
        <v>1461</v>
      </c>
      <c r="Z9" s="1317" t="s">
        <v>1462</v>
      </c>
      <c r="AA9" s="1418" t="s">
        <v>1461</v>
      </c>
      <c r="AB9" s="1318" t="s">
        <v>1462</v>
      </c>
      <c r="AC9" s="1425" t="s">
        <v>517</v>
      </c>
    </row>
    <row r="10" spans="1:29" s="6" customFormat="1" ht="26.25" customHeight="1">
      <c r="A10" s="245" t="s">
        <v>691</v>
      </c>
      <c r="B10" s="247" t="s">
        <v>692</v>
      </c>
      <c r="C10" s="1413">
        <f>+E10+G10+I10+K10</f>
        <v>101</v>
      </c>
      <c r="D10" s="1414">
        <f>+F10+H10+J10+L10</f>
        <v>121</v>
      </c>
      <c r="E10" s="295">
        <v>79</v>
      </c>
      <c r="F10" s="295">
        <v>79</v>
      </c>
      <c r="G10" s="511">
        <v>8</v>
      </c>
      <c r="H10" s="512">
        <v>22</v>
      </c>
      <c r="I10" s="1412">
        <v>4</v>
      </c>
      <c r="J10" s="514">
        <v>13</v>
      </c>
      <c r="K10" s="295">
        <v>10</v>
      </c>
      <c r="L10" s="295">
        <v>7</v>
      </c>
      <c r="M10" s="1413">
        <f t="shared" ref="M10:M23" si="0">+O10+Q10+S10+U10+W10+Y10</f>
        <v>177</v>
      </c>
      <c r="N10" s="1414">
        <f t="shared" ref="N10:N23" si="1">+P10+R10+T10+V10+X10+Z10</f>
        <v>162</v>
      </c>
      <c r="O10" s="295">
        <v>85</v>
      </c>
      <c r="P10" s="295">
        <v>82</v>
      </c>
      <c r="Q10" s="1412">
        <v>10</v>
      </c>
      <c r="R10" s="514">
        <v>26</v>
      </c>
      <c r="S10" s="295">
        <v>14</v>
      </c>
      <c r="T10" s="295">
        <v>15</v>
      </c>
      <c r="U10" s="1412">
        <v>14</v>
      </c>
      <c r="V10" s="514">
        <v>9</v>
      </c>
      <c r="W10" s="1412">
        <v>40</v>
      </c>
      <c r="X10" s="514">
        <v>19</v>
      </c>
      <c r="Y10" s="295">
        <v>14</v>
      </c>
      <c r="Z10" s="295">
        <v>11</v>
      </c>
      <c r="AA10" s="1413">
        <f t="shared" ref="AA10:AA23" si="2">+C10+M10</f>
        <v>278</v>
      </c>
      <c r="AB10" s="295">
        <f t="shared" ref="AB10:AB23" si="3">+D10+N10</f>
        <v>283</v>
      </c>
      <c r="AC10" s="1422">
        <f>SUM(AA10:AB10)</f>
        <v>561</v>
      </c>
    </row>
    <row r="11" spans="1:29" s="6" customFormat="1" ht="26.25" customHeight="1">
      <c r="A11" s="245" t="s">
        <v>693</v>
      </c>
      <c r="B11" s="247" t="s">
        <v>694</v>
      </c>
      <c r="C11" s="1413">
        <f>+E11+G11+I11+K11</f>
        <v>83</v>
      </c>
      <c r="D11" s="1414">
        <f>+F11+H11+J11+L11</f>
        <v>85</v>
      </c>
      <c r="E11" s="295">
        <v>55</v>
      </c>
      <c r="F11" s="295">
        <v>59</v>
      </c>
      <c r="G11" s="511">
        <v>16</v>
      </c>
      <c r="H11" s="512">
        <v>12</v>
      </c>
      <c r="I11" s="511">
        <v>6</v>
      </c>
      <c r="J11" s="512">
        <v>8</v>
      </c>
      <c r="K11" s="295">
        <v>6</v>
      </c>
      <c r="L11" s="295">
        <v>6</v>
      </c>
      <c r="M11" s="1413">
        <f t="shared" si="0"/>
        <v>122</v>
      </c>
      <c r="N11" s="1414">
        <f t="shared" si="1"/>
        <v>122</v>
      </c>
      <c r="O11" s="295">
        <v>54</v>
      </c>
      <c r="P11" s="295">
        <v>69</v>
      </c>
      <c r="Q11" s="511">
        <v>17</v>
      </c>
      <c r="R11" s="512">
        <v>10</v>
      </c>
      <c r="S11" s="295">
        <v>11</v>
      </c>
      <c r="T11" s="295">
        <v>7</v>
      </c>
      <c r="U11" s="511">
        <v>2</v>
      </c>
      <c r="V11" s="512">
        <v>3</v>
      </c>
      <c r="W11" s="511">
        <v>23</v>
      </c>
      <c r="X11" s="512">
        <v>23</v>
      </c>
      <c r="Y11" s="295">
        <v>15</v>
      </c>
      <c r="Z11" s="295">
        <v>10</v>
      </c>
      <c r="AA11" s="1413">
        <f t="shared" si="2"/>
        <v>205</v>
      </c>
      <c r="AB11" s="295">
        <f t="shared" si="3"/>
        <v>207</v>
      </c>
      <c r="AC11" s="1422">
        <f>SUM(AA11:AB11)</f>
        <v>412</v>
      </c>
    </row>
    <row r="12" spans="1:29" s="6" customFormat="1" ht="26.25" customHeight="1">
      <c r="A12" s="245" t="s">
        <v>695</v>
      </c>
      <c r="B12" s="247" t="s">
        <v>696</v>
      </c>
      <c r="C12" s="1413">
        <f t="shared" ref="C12:C23" si="4">+E12+G12+I12+K12</f>
        <v>25</v>
      </c>
      <c r="D12" s="1414">
        <f t="shared" ref="D12:D23" si="5">+F12+H12+J12+L12</f>
        <v>27</v>
      </c>
      <c r="E12" s="295">
        <v>15</v>
      </c>
      <c r="F12" s="295">
        <v>19</v>
      </c>
      <c r="G12" s="511">
        <v>6</v>
      </c>
      <c r="H12" s="512">
        <v>3</v>
      </c>
      <c r="I12" s="511">
        <v>0</v>
      </c>
      <c r="J12" s="512">
        <v>2</v>
      </c>
      <c r="K12" s="295">
        <v>4</v>
      </c>
      <c r="L12" s="295">
        <v>3</v>
      </c>
      <c r="M12" s="1413">
        <f t="shared" si="0"/>
        <v>55</v>
      </c>
      <c r="N12" s="1414">
        <f t="shared" si="1"/>
        <v>47</v>
      </c>
      <c r="O12" s="295">
        <v>22</v>
      </c>
      <c r="P12" s="295">
        <v>23</v>
      </c>
      <c r="Q12" s="511">
        <v>7</v>
      </c>
      <c r="R12" s="512">
        <v>7</v>
      </c>
      <c r="S12" s="295">
        <v>7</v>
      </c>
      <c r="T12" s="295">
        <v>5</v>
      </c>
      <c r="U12" s="511">
        <v>1</v>
      </c>
      <c r="V12" s="512">
        <v>3</v>
      </c>
      <c r="W12" s="511">
        <v>10</v>
      </c>
      <c r="X12" s="512">
        <v>7</v>
      </c>
      <c r="Y12" s="295">
        <v>8</v>
      </c>
      <c r="Z12" s="295">
        <v>2</v>
      </c>
      <c r="AA12" s="1413">
        <f t="shared" si="2"/>
        <v>80</v>
      </c>
      <c r="AB12" s="295">
        <f t="shared" si="3"/>
        <v>74</v>
      </c>
      <c r="AC12" s="1422">
        <f t="shared" ref="AC12:AC23" si="6">SUM(AA12:AB12)</f>
        <v>154</v>
      </c>
    </row>
    <row r="13" spans="1:29" s="6" customFormat="1" ht="26.25" customHeight="1">
      <c r="A13" s="245" t="s">
        <v>710</v>
      </c>
      <c r="B13" s="247" t="s">
        <v>711</v>
      </c>
      <c r="C13" s="1413">
        <f t="shared" si="4"/>
        <v>28</v>
      </c>
      <c r="D13" s="1414">
        <f t="shared" si="5"/>
        <v>7</v>
      </c>
      <c r="E13" s="295">
        <v>18</v>
      </c>
      <c r="F13" s="295">
        <v>4</v>
      </c>
      <c r="G13" s="511">
        <v>4</v>
      </c>
      <c r="H13" s="512">
        <v>0</v>
      </c>
      <c r="I13" s="511">
        <v>5</v>
      </c>
      <c r="J13" s="512">
        <v>3</v>
      </c>
      <c r="K13" s="295">
        <v>1</v>
      </c>
      <c r="L13" s="295">
        <v>0</v>
      </c>
      <c r="M13" s="1413">
        <f t="shared" si="0"/>
        <v>57</v>
      </c>
      <c r="N13" s="1414">
        <f t="shared" si="1"/>
        <v>19</v>
      </c>
      <c r="O13" s="295">
        <v>29</v>
      </c>
      <c r="P13" s="295">
        <v>9</v>
      </c>
      <c r="Q13" s="511">
        <v>9</v>
      </c>
      <c r="R13" s="512">
        <v>2</v>
      </c>
      <c r="S13" s="295">
        <v>3</v>
      </c>
      <c r="T13" s="295">
        <v>1</v>
      </c>
      <c r="U13" s="511">
        <v>5</v>
      </c>
      <c r="V13" s="512">
        <v>0</v>
      </c>
      <c r="W13" s="511">
        <v>8</v>
      </c>
      <c r="X13" s="512">
        <v>4</v>
      </c>
      <c r="Y13" s="295">
        <v>3</v>
      </c>
      <c r="Z13" s="295">
        <v>3</v>
      </c>
      <c r="AA13" s="1413">
        <f t="shared" si="2"/>
        <v>85</v>
      </c>
      <c r="AB13" s="295">
        <f t="shared" si="3"/>
        <v>26</v>
      </c>
      <c r="AC13" s="1422">
        <f t="shared" si="6"/>
        <v>111</v>
      </c>
    </row>
    <row r="14" spans="1:29" s="6" customFormat="1" ht="26.25" customHeight="1">
      <c r="A14" s="245" t="s">
        <v>712</v>
      </c>
      <c r="B14" s="247" t="s">
        <v>713</v>
      </c>
      <c r="C14" s="1413">
        <f t="shared" si="4"/>
        <v>22</v>
      </c>
      <c r="D14" s="1414">
        <f t="shared" si="5"/>
        <v>17</v>
      </c>
      <c r="E14" s="295">
        <v>13</v>
      </c>
      <c r="F14" s="295">
        <v>11</v>
      </c>
      <c r="G14" s="511">
        <v>3</v>
      </c>
      <c r="H14" s="512">
        <v>3</v>
      </c>
      <c r="I14" s="511">
        <v>5</v>
      </c>
      <c r="J14" s="512">
        <v>3</v>
      </c>
      <c r="K14" s="295">
        <v>1</v>
      </c>
      <c r="L14" s="295">
        <v>0</v>
      </c>
      <c r="M14" s="1413">
        <f t="shared" si="0"/>
        <v>40</v>
      </c>
      <c r="N14" s="1414">
        <f t="shared" si="1"/>
        <v>21</v>
      </c>
      <c r="O14" s="295">
        <v>16</v>
      </c>
      <c r="P14" s="295">
        <v>10</v>
      </c>
      <c r="Q14" s="511">
        <v>4</v>
      </c>
      <c r="R14" s="512">
        <v>1</v>
      </c>
      <c r="S14" s="295">
        <v>4</v>
      </c>
      <c r="T14" s="295">
        <v>1</v>
      </c>
      <c r="U14" s="511">
        <v>1</v>
      </c>
      <c r="V14" s="512">
        <v>0</v>
      </c>
      <c r="W14" s="511">
        <v>12</v>
      </c>
      <c r="X14" s="512">
        <v>6</v>
      </c>
      <c r="Y14" s="295">
        <v>3</v>
      </c>
      <c r="Z14" s="295">
        <v>3</v>
      </c>
      <c r="AA14" s="1413">
        <f t="shared" si="2"/>
        <v>62</v>
      </c>
      <c r="AB14" s="295">
        <f t="shared" si="3"/>
        <v>38</v>
      </c>
      <c r="AC14" s="1422">
        <f t="shared" si="6"/>
        <v>100</v>
      </c>
    </row>
    <row r="15" spans="1:29" s="6" customFormat="1" ht="26.25" customHeight="1">
      <c r="A15" s="245" t="s">
        <v>714</v>
      </c>
      <c r="B15" s="247" t="s">
        <v>715</v>
      </c>
      <c r="C15" s="1413">
        <f t="shared" si="4"/>
        <v>15</v>
      </c>
      <c r="D15" s="1414">
        <f t="shared" si="5"/>
        <v>16</v>
      </c>
      <c r="E15" s="295">
        <v>10</v>
      </c>
      <c r="F15" s="295">
        <v>11</v>
      </c>
      <c r="G15" s="511">
        <v>2</v>
      </c>
      <c r="H15" s="512">
        <v>1</v>
      </c>
      <c r="I15" s="511">
        <v>2</v>
      </c>
      <c r="J15" s="512">
        <v>1</v>
      </c>
      <c r="K15" s="295">
        <v>1</v>
      </c>
      <c r="L15" s="295">
        <v>3</v>
      </c>
      <c r="M15" s="1413">
        <f t="shared" si="0"/>
        <v>11</v>
      </c>
      <c r="N15" s="1414">
        <f t="shared" si="1"/>
        <v>22</v>
      </c>
      <c r="O15" s="295">
        <v>6</v>
      </c>
      <c r="P15" s="295">
        <v>13</v>
      </c>
      <c r="Q15" s="511">
        <v>0</v>
      </c>
      <c r="R15" s="512">
        <v>2</v>
      </c>
      <c r="S15" s="295">
        <v>0</v>
      </c>
      <c r="T15" s="295">
        <v>1</v>
      </c>
      <c r="U15" s="511">
        <v>0</v>
      </c>
      <c r="V15" s="512">
        <v>1</v>
      </c>
      <c r="W15" s="511">
        <v>4</v>
      </c>
      <c r="X15" s="512">
        <v>4</v>
      </c>
      <c r="Y15" s="295">
        <v>1</v>
      </c>
      <c r="Z15" s="295">
        <v>1</v>
      </c>
      <c r="AA15" s="1413">
        <f t="shared" si="2"/>
        <v>26</v>
      </c>
      <c r="AB15" s="295">
        <f t="shared" si="3"/>
        <v>38</v>
      </c>
      <c r="AC15" s="1422">
        <f t="shared" si="6"/>
        <v>64</v>
      </c>
    </row>
    <row r="16" spans="1:29" s="6" customFormat="1" ht="26.25" customHeight="1">
      <c r="A16" s="245" t="s">
        <v>716</v>
      </c>
      <c r="B16" s="247" t="s">
        <v>717</v>
      </c>
      <c r="C16" s="1413">
        <f t="shared" si="4"/>
        <v>10</v>
      </c>
      <c r="D16" s="1414">
        <f t="shared" si="5"/>
        <v>3</v>
      </c>
      <c r="E16" s="295">
        <v>8</v>
      </c>
      <c r="F16" s="295">
        <v>2</v>
      </c>
      <c r="G16" s="511">
        <v>0</v>
      </c>
      <c r="H16" s="512">
        <v>0</v>
      </c>
      <c r="I16" s="511">
        <v>1</v>
      </c>
      <c r="J16" s="512">
        <v>0</v>
      </c>
      <c r="K16" s="295">
        <v>1</v>
      </c>
      <c r="L16" s="295">
        <v>1</v>
      </c>
      <c r="M16" s="1413">
        <f t="shared" si="0"/>
        <v>12</v>
      </c>
      <c r="N16" s="1414">
        <f t="shared" si="1"/>
        <v>9</v>
      </c>
      <c r="O16" s="295">
        <v>5</v>
      </c>
      <c r="P16" s="295">
        <v>2</v>
      </c>
      <c r="Q16" s="511">
        <v>3</v>
      </c>
      <c r="R16" s="512">
        <v>4</v>
      </c>
      <c r="S16" s="295">
        <v>1</v>
      </c>
      <c r="T16" s="295">
        <v>1</v>
      </c>
      <c r="U16" s="511">
        <v>0</v>
      </c>
      <c r="V16" s="512">
        <v>1</v>
      </c>
      <c r="W16" s="511">
        <v>2</v>
      </c>
      <c r="X16" s="512">
        <v>1</v>
      </c>
      <c r="Y16" s="295">
        <v>1</v>
      </c>
      <c r="Z16" s="295">
        <v>0</v>
      </c>
      <c r="AA16" s="1413">
        <f t="shared" si="2"/>
        <v>22</v>
      </c>
      <c r="AB16" s="295">
        <f t="shared" si="3"/>
        <v>12</v>
      </c>
      <c r="AC16" s="1422">
        <f t="shared" si="6"/>
        <v>34</v>
      </c>
    </row>
    <row r="17" spans="1:31" s="6" customFormat="1" ht="26.25" customHeight="1">
      <c r="A17" s="245" t="s">
        <v>718</v>
      </c>
      <c r="B17" s="247" t="s">
        <v>719</v>
      </c>
      <c r="C17" s="1413">
        <f t="shared" si="4"/>
        <v>12</v>
      </c>
      <c r="D17" s="1414">
        <f t="shared" si="5"/>
        <v>14</v>
      </c>
      <c r="E17" s="295">
        <v>10</v>
      </c>
      <c r="F17" s="295">
        <v>9</v>
      </c>
      <c r="G17" s="511">
        <v>1</v>
      </c>
      <c r="H17" s="512">
        <v>4</v>
      </c>
      <c r="I17" s="511">
        <v>1</v>
      </c>
      <c r="J17" s="512">
        <v>0</v>
      </c>
      <c r="K17" s="295">
        <v>0</v>
      </c>
      <c r="L17" s="295">
        <v>1</v>
      </c>
      <c r="M17" s="1413">
        <f t="shared" si="0"/>
        <v>15</v>
      </c>
      <c r="N17" s="1414">
        <f t="shared" si="1"/>
        <v>11</v>
      </c>
      <c r="O17" s="295">
        <v>7</v>
      </c>
      <c r="P17" s="295">
        <v>5</v>
      </c>
      <c r="Q17" s="511">
        <v>0</v>
      </c>
      <c r="R17" s="512">
        <v>3</v>
      </c>
      <c r="S17" s="295">
        <v>1</v>
      </c>
      <c r="T17" s="295">
        <v>2</v>
      </c>
      <c r="U17" s="511">
        <v>1</v>
      </c>
      <c r="V17" s="512">
        <v>0</v>
      </c>
      <c r="W17" s="511">
        <v>3</v>
      </c>
      <c r="X17" s="512">
        <v>0</v>
      </c>
      <c r="Y17" s="295">
        <v>3</v>
      </c>
      <c r="Z17" s="295">
        <v>1</v>
      </c>
      <c r="AA17" s="1413">
        <f t="shared" si="2"/>
        <v>27</v>
      </c>
      <c r="AB17" s="295">
        <f t="shared" si="3"/>
        <v>25</v>
      </c>
      <c r="AC17" s="1422">
        <f t="shared" si="6"/>
        <v>52</v>
      </c>
    </row>
    <row r="18" spans="1:31" s="6" customFormat="1" ht="26.25" customHeight="1">
      <c r="A18" s="245" t="s">
        <v>720</v>
      </c>
      <c r="B18" s="247" t="s">
        <v>721</v>
      </c>
      <c r="C18" s="1413">
        <f t="shared" si="4"/>
        <v>12</v>
      </c>
      <c r="D18" s="1414">
        <f t="shared" si="5"/>
        <v>8</v>
      </c>
      <c r="E18" s="295">
        <v>5</v>
      </c>
      <c r="F18" s="295">
        <v>5</v>
      </c>
      <c r="G18" s="511">
        <v>4</v>
      </c>
      <c r="H18" s="512">
        <v>2</v>
      </c>
      <c r="I18" s="511">
        <v>1</v>
      </c>
      <c r="J18" s="512">
        <v>0</v>
      </c>
      <c r="K18" s="295">
        <v>2</v>
      </c>
      <c r="L18" s="295">
        <v>1</v>
      </c>
      <c r="M18" s="1413">
        <f t="shared" si="0"/>
        <v>19</v>
      </c>
      <c r="N18" s="1414">
        <f t="shared" si="1"/>
        <v>18</v>
      </c>
      <c r="O18" s="295">
        <v>10</v>
      </c>
      <c r="P18" s="295">
        <v>11</v>
      </c>
      <c r="Q18" s="511">
        <v>3</v>
      </c>
      <c r="R18" s="512">
        <v>3</v>
      </c>
      <c r="S18" s="295">
        <v>3</v>
      </c>
      <c r="T18" s="295">
        <v>0</v>
      </c>
      <c r="U18" s="511">
        <v>1</v>
      </c>
      <c r="V18" s="512">
        <v>1</v>
      </c>
      <c r="W18" s="511">
        <v>2</v>
      </c>
      <c r="X18" s="512">
        <v>2</v>
      </c>
      <c r="Y18" s="295">
        <v>0</v>
      </c>
      <c r="Z18" s="295">
        <v>1</v>
      </c>
      <c r="AA18" s="1413">
        <f t="shared" si="2"/>
        <v>31</v>
      </c>
      <c r="AB18" s="295">
        <f t="shared" si="3"/>
        <v>26</v>
      </c>
      <c r="AC18" s="1422">
        <f t="shared" si="6"/>
        <v>57</v>
      </c>
    </row>
    <row r="19" spans="1:31" s="6" customFormat="1" ht="26.25" customHeight="1">
      <c r="A19" s="245" t="s">
        <v>722</v>
      </c>
      <c r="B19" s="247" t="s">
        <v>723</v>
      </c>
      <c r="C19" s="1413">
        <f t="shared" si="4"/>
        <v>1</v>
      </c>
      <c r="D19" s="1414">
        <f t="shared" si="5"/>
        <v>2</v>
      </c>
      <c r="E19" s="295">
        <v>1</v>
      </c>
      <c r="F19" s="295">
        <v>2</v>
      </c>
      <c r="G19" s="511">
        <v>0</v>
      </c>
      <c r="H19" s="512">
        <v>0</v>
      </c>
      <c r="I19" s="511">
        <v>0</v>
      </c>
      <c r="J19" s="512">
        <v>0</v>
      </c>
      <c r="K19" s="295">
        <v>0</v>
      </c>
      <c r="L19" s="295">
        <v>0</v>
      </c>
      <c r="M19" s="1413">
        <f t="shared" si="0"/>
        <v>3</v>
      </c>
      <c r="N19" s="1414">
        <f t="shared" si="1"/>
        <v>2</v>
      </c>
      <c r="O19" s="295">
        <v>3</v>
      </c>
      <c r="P19" s="295">
        <v>1</v>
      </c>
      <c r="Q19" s="511">
        <v>0</v>
      </c>
      <c r="R19" s="512">
        <v>0</v>
      </c>
      <c r="S19" s="295">
        <v>0</v>
      </c>
      <c r="T19" s="295">
        <v>0</v>
      </c>
      <c r="U19" s="511">
        <v>0</v>
      </c>
      <c r="V19" s="512">
        <v>0</v>
      </c>
      <c r="W19" s="511">
        <v>0</v>
      </c>
      <c r="X19" s="512">
        <v>1</v>
      </c>
      <c r="Y19" s="295">
        <v>0</v>
      </c>
      <c r="Z19" s="295">
        <v>0</v>
      </c>
      <c r="AA19" s="1413">
        <f t="shared" si="2"/>
        <v>4</v>
      </c>
      <c r="AB19" s="295">
        <f t="shared" si="3"/>
        <v>4</v>
      </c>
      <c r="AC19" s="1422">
        <f t="shared" si="6"/>
        <v>8</v>
      </c>
    </row>
    <row r="20" spans="1:31" s="6" customFormat="1" ht="26.25" customHeight="1">
      <c r="A20" s="245" t="s">
        <v>724</v>
      </c>
      <c r="B20" s="247" t="s">
        <v>725</v>
      </c>
      <c r="C20" s="1413">
        <f t="shared" si="4"/>
        <v>1</v>
      </c>
      <c r="D20" s="1414">
        <f t="shared" si="5"/>
        <v>2</v>
      </c>
      <c r="E20" s="295">
        <v>1</v>
      </c>
      <c r="F20" s="295">
        <v>2</v>
      </c>
      <c r="G20" s="511">
        <v>0</v>
      </c>
      <c r="H20" s="512">
        <v>0</v>
      </c>
      <c r="I20" s="511">
        <v>0</v>
      </c>
      <c r="J20" s="512">
        <v>0</v>
      </c>
      <c r="K20" s="295">
        <v>0</v>
      </c>
      <c r="L20" s="295">
        <v>0</v>
      </c>
      <c r="M20" s="1413">
        <f t="shared" si="0"/>
        <v>3</v>
      </c>
      <c r="N20" s="1414">
        <f t="shared" si="1"/>
        <v>3</v>
      </c>
      <c r="O20" s="295">
        <v>0</v>
      </c>
      <c r="P20" s="295">
        <v>3</v>
      </c>
      <c r="Q20" s="511">
        <v>1</v>
      </c>
      <c r="R20" s="512">
        <v>0</v>
      </c>
      <c r="S20" s="295">
        <v>0</v>
      </c>
      <c r="T20" s="295">
        <v>0</v>
      </c>
      <c r="U20" s="511">
        <v>1</v>
      </c>
      <c r="V20" s="512">
        <v>0</v>
      </c>
      <c r="W20" s="511">
        <v>0</v>
      </c>
      <c r="X20" s="512">
        <v>0</v>
      </c>
      <c r="Y20" s="295">
        <v>1</v>
      </c>
      <c r="Z20" s="295">
        <v>0</v>
      </c>
      <c r="AA20" s="1413">
        <f t="shared" si="2"/>
        <v>4</v>
      </c>
      <c r="AB20" s="295">
        <f t="shared" si="3"/>
        <v>5</v>
      </c>
      <c r="AC20" s="1422">
        <f t="shared" si="6"/>
        <v>9</v>
      </c>
    </row>
    <row r="21" spans="1:31" s="6" customFormat="1" ht="26.25" customHeight="1">
      <c r="A21" s="245" t="s">
        <v>1660</v>
      </c>
      <c r="B21" s="247" t="s">
        <v>1662</v>
      </c>
      <c r="C21" s="1413">
        <f t="shared" ref="C21:C22" si="7">+E21+G21+I21+K21</f>
        <v>51</v>
      </c>
      <c r="D21" s="1414">
        <f t="shared" ref="D21:D22" si="8">+F21+H21+J21+L21</f>
        <v>26</v>
      </c>
      <c r="E21" s="295">
        <v>33</v>
      </c>
      <c r="F21" s="295">
        <v>21</v>
      </c>
      <c r="G21" s="511">
        <v>5</v>
      </c>
      <c r="H21" s="512">
        <v>4</v>
      </c>
      <c r="I21" s="511">
        <v>7</v>
      </c>
      <c r="J21" s="512">
        <v>1</v>
      </c>
      <c r="K21" s="295">
        <v>6</v>
      </c>
      <c r="L21" s="295">
        <v>0</v>
      </c>
      <c r="M21" s="1413">
        <f t="shared" ref="M21:M22" si="9">+O21+Q21+S21+U21+W21+Y21</f>
        <v>67</v>
      </c>
      <c r="N21" s="1414">
        <f t="shared" ref="N21:N22" si="10">+P21+R21+T21+V21+X21+Z21</f>
        <v>32</v>
      </c>
      <c r="O21" s="295">
        <v>34</v>
      </c>
      <c r="P21" s="295">
        <v>18</v>
      </c>
      <c r="Q21" s="511">
        <v>7</v>
      </c>
      <c r="R21" s="512">
        <v>6</v>
      </c>
      <c r="S21" s="295">
        <v>3</v>
      </c>
      <c r="T21" s="295">
        <v>4</v>
      </c>
      <c r="U21" s="511">
        <v>2</v>
      </c>
      <c r="V21" s="512">
        <v>1</v>
      </c>
      <c r="W21" s="511">
        <v>14</v>
      </c>
      <c r="X21" s="512">
        <v>0</v>
      </c>
      <c r="Y21" s="295">
        <v>7</v>
      </c>
      <c r="Z21" s="295">
        <v>3</v>
      </c>
      <c r="AA21" s="1413">
        <f t="shared" ref="AA21:AA22" si="11">+C21+M21</f>
        <v>118</v>
      </c>
      <c r="AB21" s="295">
        <f t="shared" ref="AB21:AB22" si="12">+D21+N21</f>
        <v>58</v>
      </c>
      <c r="AC21" s="1422">
        <f t="shared" ref="AC21:AC22" si="13">SUM(AA21:AB21)</f>
        <v>176</v>
      </c>
    </row>
    <row r="22" spans="1:31" s="6" customFormat="1" ht="26.25" customHeight="1">
      <c r="A22" s="245" t="s">
        <v>1661</v>
      </c>
      <c r="B22" s="293" t="s">
        <v>1663</v>
      </c>
      <c r="C22" s="1413">
        <f t="shared" si="7"/>
        <v>17</v>
      </c>
      <c r="D22" s="1414">
        <f t="shared" si="8"/>
        <v>16</v>
      </c>
      <c r="E22" s="295">
        <v>10</v>
      </c>
      <c r="F22" s="295">
        <v>10</v>
      </c>
      <c r="G22" s="511">
        <v>4</v>
      </c>
      <c r="H22" s="512">
        <v>3</v>
      </c>
      <c r="I22" s="511">
        <v>1</v>
      </c>
      <c r="J22" s="512">
        <v>3</v>
      </c>
      <c r="K22" s="295">
        <v>2</v>
      </c>
      <c r="L22" s="295">
        <v>0</v>
      </c>
      <c r="M22" s="1413">
        <f t="shared" si="9"/>
        <v>21</v>
      </c>
      <c r="N22" s="1414">
        <f t="shared" si="10"/>
        <v>11</v>
      </c>
      <c r="O22" s="295">
        <v>8</v>
      </c>
      <c r="P22" s="295">
        <v>3</v>
      </c>
      <c r="Q22" s="511">
        <v>6</v>
      </c>
      <c r="R22" s="512">
        <v>4</v>
      </c>
      <c r="S22" s="295">
        <v>1</v>
      </c>
      <c r="T22" s="295">
        <v>1</v>
      </c>
      <c r="U22" s="511">
        <v>0</v>
      </c>
      <c r="V22" s="512">
        <v>1</v>
      </c>
      <c r="W22" s="511">
        <v>2</v>
      </c>
      <c r="X22" s="512">
        <v>2</v>
      </c>
      <c r="Y22" s="295">
        <v>4</v>
      </c>
      <c r="Z22" s="295">
        <v>0</v>
      </c>
      <c r="AA22" s="1413">
        <f t="shared" si="11"/>
        <v>38</v>
      </c>
      <c r="AB22" s="295">
        <f t="shared" si="12"/>
        <v>27</v>
      </c>
      <c r="AC22" s="1422">
        <f t="shared" si="13"/>
        <v>65</v>
      </c>
    </row>
    <row r="23" spans="1:31" s="6" customFormat="1" ht="26.25" customHeight="1">
      <c r="A23" s="293"/>
      <c r="B23" s="247" t="s">
        <v>481</v>
      </c>
      <c r="C23" s="1413">
        <f t="shared" si="4"/>
        <v>25</v>
      </c>
      <c r="D23" s="1414">
        <f t="shared" si="5"/>
        <v>37</v>
      </c>
      <c r="E23" s="1061">
        <v>18</v>
      </c>
      <c r="F23" s="1061">
        <v>31</v>
      </c>
      <c r="G23" s="202">
        <v>4</v>
      </c>
      <c r="H23" s="201">
        <v>0</v>
      </c>
      <c r="I23" s="202">
        <v>2</v>
      </c>
      <c r="J23" s="201">
        <v>5</v>
      </c>
      <c r="K23" s="1061">
        <v>1</v>
      </c>
      <c r="L23" s="1061">
        <v>1</v>
      </c>
      <c r="M23" s="1413">
        <f t="shared" si="0"/>
        <v>33</v>
      </c>
      <c r="N23" s="1414">
        <f t="shared" si="1"/>
        <v>61</v>
      </c>
      <c r="O23" s="1061">
        <v>16</v>
      </c>
      <c r="P23" s="1061">
        <v>34</v>
      </c>
      <c r="Q23" s="202">
        <v>1</v>
      </c>
      <c r="R23" s="201">
        <v>7</v>
      </c>
      <c r="S23" s="1061">
        <v>2</v>
      </c>
      <c r="T23" s="1061">
        <v>5</v>
      </c>
      <c r="U23" s="202">
        <v>3</v>
      </c>
      <c r="V23" s="201">
        <v>1</v>
      </c>
      <c r="W23" s="202">
        <v>8</v>
      </c>
      <c r="X23" s="201">
        <v>10</v>
      </c>
      <c r="Y23" s="1063">
        <v>3</v>
      </c>
      <c r="Z23" s="295">
        <v>4</v>
      </c>
      <c r="AA23" s="1413">
        <f t="shared" si="2"/>
        <v>58</v>
      </c>
      <c r="AB23" s="295">
        <f t="shared" si="3"/>
        <v>98</v>
      </c>
      <c r="AC23" s="1422">
        <f t="shared" si="6"/>
        <v>156</v>
      </c>
    </row>
    <row r="24" spans="1:31" ht="21.75" customHeight="1" thickBot="1">
      <c r="A24" s="296"/>
      <c r="B24" s="635" t="s">
        <v>517</v>
      </c>
      <c r="C24" s="1415">
        <f t="shared" ref="C24:AC24" si="14">SUM(C10:C23)</f>
        <v>403</v>
      </c>
      <c r="D24" s="1416">
        <f t="shared" si="14"/>
        <v>381</v>
      </c>
      <c r="E24" s="297">
        <f t="shared" si="14"/>
        <v>276</v>
      </c>
      <c r="F24" s="297">
        <f t="shared" si="14"/>
        <v>265</v>
      </c>
      <c r="G24" s="333">
        <f t="shared" si="14"/>
        <v>57</v>
      </c>
      <c r="H24" s="315">
        <f t="shared" si="14"/>
        <v>54</v>
      </c>
      <c r="I24" s="333">
        <f t="shared" si="14"/>
        <v>35</v>
      </c>
      <c r="J24" s="315">
        <f t="shared" si="14"/>
        <v>39</v>
      </c>
      <c r="K24" s="297">
        <f t="shared" si="14"/>
        <v>35</v>
      </c>
      <c r="L24" s="297">
        <f t="shared" si="14"/>
        <v>23</v>
      </c>
      <c r="M24" s="1420">
        <f t="shared" si="14"/>
        <v>635</v>
      </c>
      <c r="N24" s="1421">
        <f t="shared" si="14"/>
        <v>540</v>
      </c>
      <c r="O24" s="297">
        <f t="shared" si="14"/>
        <v>295</v>
      </c>
      <c r="P24" s="297">
        <f t="shared" si="14"/>
        <v>283</v>
      </c>
      <c r="Q24" s="333">
        <f t="shared" si="14"/>
        <v>68</v>
      </c>
      <c r="R24" s="315">
        <f t="shared" si="14"/>
        <v>75</v>
      </c>
      <c r="S24" s="297">
        <f t="shared" si="14"/>
        <v>50</v>
      </c>
      <c r="T24" s="297">
        <f t="shared" si="14"/>
        <v>43</v>
      </c>
      <c r="U24" s="333">
        <f t="shared" si="14"/>
        <v>31</v>
      </c>
      <c r="V24" s="315">
        <f t="shared" si="14"/>
        <v>21</v>
      </c>
      <c r="W24" s="333">
        <f t="shared" si="14"/>
        <v>128</v>
      </c>
      <c r="X24" s="315">
        <f t="shared" si="14"/>
        <v>79</v>
      </c>
      <c r="Y24" s="297">
        <f t="shared" si="14"/>
        <v>63</v>
      </c>
      <c r="Z24" s="515">
        <f t="shared" si="14"/>
        <v>39</v>
      </c>
      <c r="AA24" s="1420">
        <f t="shared" si="14"/>
        <v>1038</v>
      </c>
      <c r="AB24" s="1423">
        <f t="shared" si="14"/>
        <v>921</v>
      </c>
      <c r="AC24" s="1424">
        <f t="shared" si="14"/>
        <v>1959</v>
      </c>
      <c r="AE24" s="6"/>
    </row>
    <row r="25" spans="1:31">
      <c r="A25" s="10"/>
      <c r="B25" s="10"/>
      <c r="C25" s="10"/>
      <c r="D25" s="10"/>
      <c r="E25" s="10"/>
      <c r="F25" s="10"/>
      <c r="G25" s="10"/>
      <c r="H25" s="10"/>
      <c r="I25" s="10"/>
      <c r="J25" s="10"/>
      <c r="K25" s="10"/>
      <c r="L25" s="10"/>
      <c r="M25" s="10"/>
      <c r="N25" s="10"/>
      <c r="O25" s="10"/>
      <c r="P25" s="10"/>
      <c r="Q25" s="10"/>
      <c r="R25" s="10"/>
      <c r="S25" s="10"/>
      <c r="T25" s="10"/>
      <c r="U25" s="10"/>
      <c r="V25" s="10"/>
      <c r="W25" s="10"/>
      <c r="X25" s="10"/>
      <c r="Y25" s="10"/>
    </row>
    <row r="26" spans="1:31">
      <c r="A26" s="10"/>
      <c r="B26" s="163"/>
      <c r="C26" s="10"/>
      <c r="D26" s="10"/>
      <c r="E26" s="163"/>
      <c r="F26" s="163"/>
      <c r="G26" s="163"/>
      <c r="H26" s="163"/>
      <c r="I26" s="163"/>
      <c r="J26" s="163"/>
      <c r="K26" s="163"/>
      <c r="L26" s="163"/>
      <c r="M26" s="10"/>
      <c r="N26" s="10"/>
      <c r="O26" s="163"/>
      <c r="P26" s="163"/>
      <c r="Q26" s="163"/>
      <c r="R26" s="163"/>
      <c r="S26" s="163"/>
      <c r="T26" s="163"/>
      <c r="U26" s="163"/>
      <c r="V26" s="163"/>
      <c r="W26" s="163"/>
      <c r="X26" s="163"/>
      <c r="Y26" s="1005"/>
      <c r="Z26" s="10"/>
      <c r="AA26" s="10"/>
      <c r="AB26" s="10"/>
    </row>
    <row r="27" spans="1:31">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row>
    <row r="28" spans="1:31">
      <c r="A28" s="10"/>
      <c r="B28" s="10"/>
      <c r="C28" s="10"/>
      <c r="D28" s="10"/>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0"/>
    </row>
    <row r="29" spans="1:31">
      <c r="A29" s="10"/>
      <c r="B29" s="10"/>
      <c r="C29" s="10"/>
      <c r="D29" s="10"/>
      <c r="E29" s="10"/>
      <c r="F29" s="10"/>
      <c r="G29" s="10"/>
      <c r="H29" s="10"/>
      <c r="I29" s="10"/>
      <c r="J29" s="10"/>
      <c r="K29" s="10"/>
      <c r="L29" s="10"/>
      <c r="M29" s="10"/>
      <c r="N29" s="10"/>
      <c r="O29" s="10"/>
      <c r="P29" s="10"/>
      <c r="Q29" s="10"/>
      <c r="R29" s="10"/>
      <c r="S29" s="10"/>
      <c r="T29" s="10"/>
      <c r="U29" s="10"/>
      <c r="V29" s="10"/>
      <c r="W29" s="10"/>
      <c r="X29" s="10"/>
      <c r="Y29" s="10"/>
    </row>
    <row r="30" spans="1:31">
      <c r="A30" s="114" t="s">
        <v>1511</v>
      </c>
      <c r="B30" s="180"/>
      <c r="C30" s="180"/>
      <c r="D30" s="180"/>
      <c r="E30" s="180"/>
      <c r="F30" s="180"/>
      <c r="G30" s="180"/>
      <c r="H30" s="180"/>
      <c r="I30" s="180"/>
      <c r="J30" s="180"/>
      <c r="K30" s="180"/>
      <c r="L30" s="180"/>
      <c r="M30" s="1"/>
      <c r="N30" s="1"/>
      <c r="O30" s="1"/>
      <c r="P30" s="1"/>
      <c r="Q30" s="1"/>
      <c r="R30" s="1"/>
      <c r="S30" s="1"/>
      <c r="T30" s="1"/>
      <c r="U30" s="1"/>
      <c r="V30" s="1"/>
      <c r="W30" s="1"/>
      <c r="X30" s="1"/>
      <c r="Y30" s="1"/>
    </row>
    <row r="31" spans="1:31">
      <c r="A31" s="114"/>
      <c r="B31" s="180"/>
      <c r="C31" s="180"/>
      <c r="D31" s="180"/>
      <c r="E31" s="180"/>
      <c r="F31" s="180"/>
      <c r="G31" s="180"/>
      <c r="H31" s="180"/>
      <c r="I31" s="180"/>
      <c r="J31" s="180"/>
      <c r="K31" s="180"/>
      <c r="L31" s="180"/>
      <c r="M31" s="1"/>
      <c r="N31" s="1"/>
      <c r="O31" s="1"/>
      <c r="P31" s="1"/>
      <c r="Q31" s="1"/>
      <c r="R31" s="1"/>
      <c r="S31" s="1"/>
      <c r="T31" s="1"/>
      <c r="U31" s="1"/>
      <c r="V31" s="1"/>
      <c r="W31" s="1"/>
      <c r="X31" s="1"/>
      <c r="Y31" s="1"/>
    </row>
    <row r="32" spans="1:31">
      <c r="A32" s="114" t="str">
        <f>+A3</f>
        <v>SERVICIO DE SALUD   ACONCAGUA   2020</v>
      </c>
      <c r="B32" s="180"/>
      <c r="C32" s="180"/>
      <c r="D32" s="180"/>
      <c r="E32" s="180"/>
      <c r="F32" s="180"/>
      <c r="G32" s="180"/>
      <c r="H32" s="180"/>
      <c r="I32" s="180"/>
      <c r="J32" s="180"/>
      <c r="K32" s="180"/>
      <c r="L32" s="180"/>
      <c r="M32" s="1"/>
      <c r="N32" s="1"/>
      <c r="O32" s="1"/>
      <c r="P32" s="1"/>
      <c r="Q32" s="1"/>
      <c r="R32" s="1"/>
      <c r="S32" s="1"/>
      <c r="T32" s="1"/>
      <c r="U32" s="1"/>
      <c r="V32" s="1"/>
      <c r="W32" s="1"/>
      <c r="X32" s="1"/>
      <c r="Y32" s="1"/>
    </row>
    <row r="33" spans="1:28">
      <c r="A33" s="114" t="s">
        <v>679</v>
      </c>
      <c r="B33" s="180"/>
      <c r="C33" s="180"/>
      <c r="D33" s="180"/>
      <c r="E33" s="180"/>
      <c r="F33" s="180"/>
      <c r="G33" s="180"/>
      <c r="H33" s="180"/>
      <c r="I33" s="180"/>
      <c r="J33" s="180"/>
      <c r="K33" s="180"/>
      <c r="L33" s="180"/>
      <c r="M33" s="1"/>
      <c r="N33" s="1"/>
      <c r="O33" s="1"/>
      <c r="P33" s="1"/>
      <c r="Q33" s="1"/>
      <c r="R33" s="1"/>
      <c r="S33" s="1"/>
      <c r="T33" s="1"/>
      <c r="U33" s="1"/>
      <c r="V33" s="1"/>
      <c r="W33" s="1"/>
      <c r="X33" s="1"/>
      <c r="Y33" s="1"/>
    </row>
    <row r="34" spans="1:28">
      <c r="A34" s="285"/>
    </row>
    <row r="35" spans="1:28">
      <c r="A35" s="285"/>
    </row>
    <row r="36" spans="1:28" ht="18" customHeight="1">
      <c r="A36" s="1434" t="s">
        <v>680</v>
      </c>
      <c r="B36" s="324"/>
      <c r="C36" s="1575" t="s">
        <v>726</v>
      </c>
      <c r="D36" s="1576"/>
      <c r="E36" s="1576"/>
      <c r="F36" s="1576"/>
      <c r="G36" s="1576"/>
      <c r="H36" s="1576"/>
      <c r="I36" s="1576"/>
      <c r="J36" s="1576"/>
      <c r="K36" s="1576"/>
      <c r="L36" s="1576"/>
      <c r="M36" s="1576"/>
      <c r="N36" s="1576"/>
      <c r="O36" s="1576"/>
      <c r="P36" s="1576"/>
      <c r="Q36" s="1576"/>
      <c r="R36" s="1576"/>
      <c r="S36" s="1576"/>
      <c r="T36" s="1576"/>
      <c r="U36" s="1576"/>
      <c r="V36" s="1576"/>
      <c r="W36" s="1576"/>
      <c r="X36" s="1576"/>
      <c r="Y36" s="1576"/>
      <c r="Z36" s="1576"/>
      <c r="AA36" s="1577"/>
    </row>
    <row r="37" spans="1:28" ht="21.75" customHeight="1">
      <c r="A37" s="1570" t="s">
        <v>682</v>
      </c>
      <c r="B37" s="105" t="s">
        <v>683</v>
      </c>
      <c r="C37" s="250" t="s">
        <v>727</v>
      </c>
      <c r="D37" s="420"/>
      <c r="E37" s="250" t="s">
        <v>728</v>
      </c>
      <c r="F37" s="252"/>
      <c r="G37" s="420" t="s">
        <v>729</v>
      </c>
      <c r="H37" s="420"/>
      <c r="I37" s="250" t="s">
        <v>730</v>
      </c>
      <c r="J37" s="252"/>
      <c r="K37" s="420" t="s">
        <v>731</v>
      </c>
      <c r="L37" s="420"/>
      <c r="M37" s="250" t="s">
        <v>732</v>
      </c>
      <c r="N37" s="252"/>
      <c r="O37" s="420" t="s">
        <v>733</v>
      </c>
      <c r="P37" s="420"/>
      <c r="Q37" s="250" t="s">
        <v>734</v>
      </c>
      <c r="R37" s="252"/>
      <c r="S37" s="420" t="s">
        <v>735</v>
      </c>
      <c r="T37" s="420"/>
      <c r="U37" s="250" t="s">
        <v>736</v>
      </c>
      <c r="V37" s="252"/>
      <c r="W37" s="250" t="s">
        <v>737</v>
      </c>
      <c r="X37" s="420"/>
      <c r="Y37" s="1572" t="s">
        <v>517</v>
      </c>
      <c r="Z37" s="1573"/>
      <c r="AA37" s="1574"/>
    </row>
    <row r="38" spans="1:28" ht="21.75" customHeight="1">
      <c r="A38" s="1571"/>
      <c r="B38" s="1403"/>
      <c r="C38" s="1317" t="s">
        <v>1461</v>
      </c>
      <c r="D38" s="1317" t="s">
        <v>1462</v>
      </c>
      <c r="E38" s="1316" t="s">
        <v>1461</v>
      </c>
      <c r="F38" s="1318" t="s">
        <v>1462</v>
      </c>
      <c r="G38" s="1317" t="s">
        <v>1461</v>
      </c>
      <c r="H38" s="1317" t="s">
        <v>1462</v>
      </c>
      <c r="I38" s="1316" t="s">
        <v>1461</v>
      </c>
      <c r="J38" s="1318" t="s">
        <v>1462</v>
      </c>
      <c r="K38" s="1317" t="s">
        <v>1461</v>
      </c>
      <c r="L38" s="1317" t="s">
        <v>1462</v>
      </c>
      <c r="M38" s="1316" t="s">
        <v>1461</v>
      </c>
      <c r="N38" s="1318" t="s">
        <v>1462</v>
      </c>
      <c r="O38" s="1317" t="s">
        <v>1461</v>
      </c>
      <c r="P38" s="1317" t="s">
        <v>1462</v>
      </c>
      <c r="Q38" s="1316" t="s">
        <v>1461</v>
      </c>
      <c r="R38" s="1318" t="s">
        <v>1462</v>
      </c>
      <c r="S38" s="1317" t="s">
        <v>1461</v>
      </c>
      <c r="T38" s="1317" t="s">
        <v>1462</v>
      </c>
      <c r="U38" s="1316" t="s">
        <v>1461</v>
      </c>
      <c r="V38" s="1318" t="s">
        <v>1462</v>
      </c>
      <c r="W38" s="1316" t="s">
        <v>1461</v>
      </c>
      <c r="X38" s="1317" t="s">
        <v>1462</v>
      </c>
      <c r="Y38" s="1418" t="s">
        <v>1461</v>
      </c>
      <c r="Z38" s="1318" t="s">
        <v>1462</v>
      </c>
      <c r="AA38" s="1425" t="s">
        <v>517</v>
      </c>
    </row>
    <row r="39" spans="1:28" s="6" customFormat="1" ht="26.25" customHeight="1">
      <c r="A39" s="245" t="s">
        <v>691</v>
      </c>
      <c r="B39" s="293" t="s">
        <v>692</v>
      </c>
      <c r="C39" s="295"/>
      <c r="D39" s="295"/>
      <c r="E39" s="511"/>
      <c r="F39" s="512"/>
      <c r="G39" s="295"/>
      <c r="H39" s="295"/>
      <c r="I39" s="511"/>
      <c r="J39" s="512"/>
      <c r="K39" s="295"/>
      <c r="L39" s="295"/>
      <c r="M39" s="511"/>
      <c r="N39" s="512"/>
      <c r="O39" s="295"/>
      <c r="P39" s="295"/>
      <c r="Q39" s="511"/>
      <c r="R39" s="512"/>
      <c r="S39" s="295">
        <v>6</v>
      </c>
      <c r="T39" s="295">
        <v>5</v>
      </c>
      <c r="U39" s="511">
        <v>50</v>
      </c>
      <c r="V39" s="512">
        <v>34</v>
      </c>
      <c r="W39" s="1412">
        <v>222</v>
      </c>
      <c r="X39" s="513">
        <v>244</v>
      </c>
      <c r="Y39" s="1428">
        <f>+E39+G39+I39+K39+M39+O39+Q39+S39+U39+W39</f>
        <v>278</v>
      </c>
      <c r="Z39" s="97">
        <f>+F39+H39+J39+L39+N39+P39+R39+T39+V39+X39</f>
        <v>283</v>
      </c>
      <c r="AA39" s="1429">
        <f>SUM(Y39:Z39)</f>
        <v>561</v>
      </c>
      <c r="AB39" s="309"/>
    </row>
    <row r="40" spans="1:28" s="6" customFormat="1" ht="26.25" customHeight="1">
      <c r="A40" s="245" t="s">
        <v>693</v>
      </c>
      <c r="B40" s="293" t="s">
        <v>694</v>
      </c>
      <c r="C40" s="295"/>
      <c r="D40" s="295"/>
      <c r="E40" s="511"/>
      <c r="F40" s="512"/>
      <c r="G40" s="295"/>
      <c r="H40" s="295"/>
      <c r="I40" s="511"/>
      <c r="J40" s="512"/>
      <c r="K40" s="295"/>
      <c r="L40" s="295"/>
      <c r="M40" s="511"/>
      <c r="N40" s="512"/>
      <c r="O40" s="295"/>
      <c r="P40" s="295"/>
      <c r="Q40" s="511"/>
      <c r="R40" s="512">
        <v>1</v>
      </c>
      <c r="S40" s="295">
        <v>9</v>
      </c>
      <c r="T40" s="295">
        <v>12</v>
      </c>
      <c r="U40" s="511">
        <v>53</v>
      </c>
      <c r="V40" s="512">
        <v>63</v>
      </c>
      <c r="W40" s="511">
        <v>143</v>
      </c>
      <c r="X40" s="295">
        <v>131</v>
      </c>
      <c r="Y40" s="1413">
        <f t="shared" ref="Y40:Y53" si="15">+E40+G40+I40+K40+M40+O40+Q40+S40+U40+W40</f>
        <v>205</v>
      </c>
      <c r="Z40" s="45">
        <f t="shared" ref="Z40:Z53" si="16">+F40+H40+J40+L40+N40+P40+R40+T40+V40+X40</f>
        <v>207</v>
      </c>
      <c r="AA40" s="1430">
        <f t="shared" ref="AA40:AA53" si="17">SUM(Y40:Z40)</f>
        <v>412</v>
      </c>
    </row>
    <row r="41" spans="1:28" s="6" customFormat="1" ht="26.25" customHeight="1">
      <c r="A41" s="245" t="s">
        <v>695</v>
      </c>
      <c r="B41" s="293" t="s">
        <v>696</v>
      </c>
      <c r="C41" s="295"/>
      <c r="D41" s="295"/>
      <c r="E41" s="511"/>
      <c r="F41" s="512"/>
      <c r="G41" s="295"/>
      <c r="H41" s="295"/>
      <c r="I41" s="511"/>
      <c r="J41" s="512">
        <v>1</v>
      </c>
      <c r="K41" s="295">
        <v>1</v>
      </c>
      <c r="L41" s="295"/>
      <c r="M41" s="511"/>
      <c r="N41" s="512"/>
      <c r="O41" s="295"/>
      <c r="P41" s="295"/>
      <c r="Q41" s="511"/>
      <c r="R41" s="512"/>
      <c r="S41" s="295">
        <v>1</v>
      </c>
      <c r="T41" s="295">
        <v>1</v>
      </c>
      <c r="U41" s="511">
        <v>12</v>
      </c>
      <c r="V41" s="512">
        <v>5</v>
      </c>
      <c r="W41" s="511">
        <v>66</v>
      </c>
      <c r="X41" s="295">
        <v>67</v>
      </c>
      <c r="Y41" s="1413">
        <f t="shared" si="15"/>
        <v>80</v>
      </c>
      <c r="Z41" s="1408">
        <f t="shared" si="16"/>
        <v>74</v>
      </c>
      <c r="AA41" s="1429">
        <f t="shared" si="17"/>
        <v>154</v>
      </c>
      <c r="AB41" s="309"/>
    </row>
    <row r="42" spans="1:28" s="6" customFormat="1" ht="26.25" customHeight="1">
      <c r="A42" s="245" t="s">
        <v>710</v>
      </c>
      <c r="B42" s="293" t="s">
        <v>711</v>
      </c>
      <c r="C42" s="295"/>
      <c r="D42" s="295"/>
      <c r="E42" s="511"/>
      <c r="F42" s="512"/>
      <c r="G42" s="295"/>
      <c r="H42" s="295"/>
      <c r="I42" s="511"/>
      <c r="J42" s="512">
        <v>1</v>
      </c>
      <c r="K42" s="295">
        <v>2</v>
      </c>
      <c r="L42" s="295"/>
      <c r="M42" s="511"/>
      <c r="N42" s="512">
        <v>2</v>
      </c>
      <c r="O42" s="295"/>
      <c r="P42" s="295">
        <v>1</v>
      </c>
      <c r="Q42" s="511">
        <v>6</v>
      </c>
      <c r="R42" s="512"/>
      <c r="S42" s="295">
        <v>28</v>
      </c>
      <c r="T42" s="295">
        <v>7</v>
      </c>
      <c r="U42" s="511">
        <v>19</v>
      </c>
      <c r="V42" s="512">
        <v>5</v>
      </c>
      <c r="W42" s="511">
        <v>30</v>
      </c>
      <c r="X42" s="295">
        <v>10</v>
      </c>
      <c r="Y42" s="1413">
        <f t="shared" si="15"/>
        <v>85</v>
      </c>
      <c r="Z42" s="45">
        <f t="shared" si="16"/>
        <v>26</v>
      </c>
      <c r="AA42" s="1430">
        <f t="shared" si="17"/>
        <v>111</v>
      </c>
    </row>
    <row r="43" spans="1:28" s="6" customFormat="1" ht="26.25" customHeight="1">
      <c r="A43" s="245" t="s">
        <v>712</v>
      </c>
      <c r="B43" s="293" t="s">
        <v>713</v>
      </c>
      <c r="C43" s="295"/>
      <c r="D43" s="295"/>
      <c r="E43" s="511"/>
      <c r="F43" s="512"/>
      <c r="G43" s="295"/>
      <c r="H43" s="295"/>
      <c r="I43" s="511"/>
      <c r="J43" s="512"/>
      <c r="K43" s="295"/>
      <c r="L43" s="295"/>
      <c r="M43" s="511"/>
      <c r="N43" s="512"/>
      <c r="O43" s="295"/>
      <c r="P43" s="295"/>
      <c r="Q43" s="511"/>
      <c r="R43" s="512"/>
      <c r="S43" s="295">
        <v>1</v>
      </c>
      <c r="T43" s="295">
        <v>2</v>
      </c>
      <c r="U43" s="511">
        <v>25</v>
      </c>
      <c r="V43" s="512">
        <v>10</v>
      </c>
      <c r="W43" s="511">
        <v>36</v>
      </c>
      <c r="X43" s="295">
        <v>26</v>
      </c>
      <c r="Y43" s="1413">
        <f t="shared" si="15"/>
        <v>62</v>
      </c>
      <c r="Z43" s="45">
        <f t="shared" si="16"/>
        <v>38</v>
      </c>
      <c r="AA43" s="1430">
        <f t="shared" si="17"/>
        <v>100</v>
      </c>
    </row>
    <row r="44" spans="1:28" s="6" customFormat="1" ht="26.25" customHeight="1">
      <c r="A44" s="245" t="s">
        <v>714</v>
      </c>
      <c r="B44" s="293" t="s">
        <v>715</v>
      </c>
      <c r="C44" s="295"/>
      <c r="D44" s="295"/>
      <c r="E44" s="511"/>
      <c r="F44" s="512"/>
      <c r="G44" s="295"/>
      <c r="H44" s="295"/>
      <c r="I44" s="511"/>
      <c r="J44" s="512"/>
      <c r="K44" s="295"/>
      <c r="L44" s="295"/>
      <c r="M44" s="511"/>
      <c r="N44" s="512"/>
      <c r="O44" s="295"/>
      <c r="P44" s="295"/>
      <c r="Q44" s="511"/>
      <c r="R44" s="512"/>
      <c r="S44" s="295"/>
      <c r="T44" s="295"/>
      <c r="U44" s="511">
        <v>3</v>
      </c>
      <c r="V44" s="512">
        <v>4</v>
      </c>
      <c r="W44" s="511">
        <v>23</v>
      </c>
      <c r="X44" s="295">
        <v>34</v>
      </c>
      <c r="Y44" s="1413">
        <f t="shared" si="15"/>
        <v>26</v>
      </c>
      <c r="Z44" s="45">
        <f t="shared" si="16"/>
        <v>38</v>
      </c>
      <c r="AA44" s="1430">
        <f t="shared" si="17"/>
        <v>64</v>
      </c>
    </row>
    <row r="45" spans="1:28" s="6" customFormat="1" ht="26.25" customHeight="1">
      <c r="A45" s="245" t="s">
        <v>716</v>
      </c>
      <c r="B45" s="293" t="s">
        <v>717</v>
      </c>
      <c r="C45" s="295"/>
      <c r="D45" s="295"/>
      <c r="E45" s="511"/>
      <c r="F45" s="512"/>
      <c r="G45" s="295"/>
      <c r="H45" s="295"/>
      <c r="I45" s="511">
        <v>1</v>
      </c>
      <c r="J45" s="512">
        <v>0</v>
      </c>
      <c r="K45" s="295"/>
      <c r="L45" s="295"/>
      <c r="M45" s="511"/>
      <c r="N45" s="512"/>
      <c r="O45" s="295"/>
      <c r="P45" s="295"/>
      <c r="Q45" s="511"/>
      <c r="R45" s="512"/>
      <c r="S45" s="295">
        <v>3</v>
      </c>
      <c r="T45" s="295">
        <v>0</v>
      </c>
      <c r="U45" s="511">
        <v>5</v>
      </c>
      <c r="V45" s="512">
        <v>2</v>
      </c>
      <c r="W45" s="511">
        <v>13</v>
      </c>
      <c r="X45" s="295">
        <v>10</v>
      </c>
      <c r="Y45" s="1413">
        <f t="shared" si="15"/>
        <v>22</v>
      </c>
      <c r="Z45" s="45">
        <f t="shared" si="16"/>
        <v>12</v>
      </c>
      <c r="AA45" s="1430">
        <f t="shared" si="17"/>
        <v>34</v>
      </c>
    </row>
    <row r="46" spans="1:28" s="6" customFormat="1" ht="26.25" customHeight="1">
      <c r="A46" s="245" t="s">
        <v>718</v>
      </c>
      <c r="B46" s="293" t="s">
        <v>738</v>
      </c>
      <c r="C46" s="295"/>
      <c r="D46" s="295"/>
      <c r="E46" s="511"/>
      <c r="F46" s="512"/>
      <c r="G46" s="295"/>
      <c r="H46" s="295"/>
      <c r="I46" s="511"/>
      <c r="J46" s="512"/>
      <c r="K46" s="295"/>
      <c r="L46" s="295"/>
      <c r="M46" s="511"/>
      <c r="N46" s="512"/>
      <c r="O46" s="295"/>
      <c r="P46" s="295"/>
      <c r="Q46" s="511"/>
      <c r="R46" s="512"/>
      <c r="S46" s="295">
        <v>3</v>
      </c>
      <c r="T46" s="295">
        <v>2</v>
      </c>
      <c r="U46" s="511">
        <v>5</v>
      </c>
      <c r="V46" s="512">
        <v>1</v>
      </c>
      <c r="W46" s="511">
        <v>19</v>
      </c>
      <c r="X46" s="295">
        <v>22</v>
      </c>
      <c r="Y46" s="1413">
        <f t="shared" si="15"/>
        <v>27</v>
      </c>
      <c r="Z46" s="45">
        <f t="shared" si="16"/>
        <v>25</v>
      </c>
      <c r="AA46" s="1430">
        <f t="shared" si="17"/>
        <v>52</v>
      </c>
    </row>
    <row r="47" spans="1:28" s="6" customFormat="1" ht="26.25" customHeight="1">
      <c r="A47" s="245" t="s">
        <v>720</v>
      </c>
      <c r="B47" s="293" t="s">
        <v>721</v>
      </c>
      <c r="C47" s="295"/>
      <c r="D47" s="295"/>
      <c r="E47" s="1426"/>
      <c r="F47" s="1427"/>
      <c r="G47" s="295"/>
      <c r="H47" s="295"/>
      <c r="I47" s="511"/>
      <c r="J47" s="512"/>
      <c r="K47" s="295"/>
      <c r="L47" s="295"/>
      <c r="M47" s="511"/>
      <c r="N47" s="512"/>
      <c r="O47" s="295"/>
      <c r="P47" s="295"/>
      <c r="Q47" s="511"/>
      <c r="R47" s="512"/>
      <c r="S47" s="295">
        <v>1</v>
      </c>
      <c r="T47" s="295">
        <v>1</v>
      </c>
      <c r="U47" s="511">
        <v>4</v>
      </c>
      <c r="V47" s="512">
        <v>8</v>
      </c>
      <c r="W47" s="511">
        <v>26</v>
      </c>
      <c r="X47" s="295">
        <v>17</v>
      </c>
      <c r="Y47" s="1413">
        <f t="shared" si="15"/>
        <v>31</v>
      </c>
      <c r="Z47" s="45">
        <f t="shared" si="16"/>
        <v>26</v>
      </c>
      <c r="AA47" s="1430">
        <f t="shared" si="17"/>
        <v>57</v>
      </c>
    </row>
    <row r="48" spans="1:28" s="6" customFormat="1" ht="26.25" customHeight="1">
      <c r="A48" s="245" t="s">
        <v>722</v>
      </c>
      <c r="B48" s="293" t="s">
        <v>723</v>
      </c>
      <c r="C48" s="295"/>
      <c r="D48" s="295"/>
      <c r="E48" s="511">
        <v>3</v>
      </c>
      <c r="F48" s="512">
        <v>4</v>
      </c>
      <c r="G48" s="295">
        <v>1</v>
      </c>
      <c r="H48" s="295"/>
      <c r="I48" s="1426"/>
      <c r="J48" s="1427"/>
      <c r="K48" s="295"/>
      <c r="L48" s="295"/>
      <c r="M48" s="511"/>
      <c r="N48" s="512"/>
      <c r="O48" s="295"/>
      <c r="P48" s="295"/>
      <c r="Q48" s="511"/>
      <c r="R48" s="512"/>
      <c r="S48" s="295"/>
      <c r="T48" s="295"/>
      <c r="U48" s="511"/>
      <c r="V48" s="512"/>
      <c r="W48" s="511"/>
      <c r="X48" s="295"/>
      <c r="Y48" s="1413">
        <f t="shared" si="15"/>
        <v>4</v>
      </c>
      <c r="Z48" s="45">
        <f t="shared" si="16"/>
        <v>4</v>
      </c>
      <c r="AA48" s="1430">
        <f t="shared" si="17"/>
        <v>8</v>
      </c>
    </row>
    <row r="49" spans="1:29" s="6" customFormat="1" ht="26.25" customHeight="1">
      <c r="A49" s="245" t="s">
        <v>724</v>
      </c>
      <c r="B49" s="293" t="s">
        <v>725</v>
      </c>
      <c r="C49" s="295"/>
      <c r="D49" s="295"/>
      <c r="E49" s="511">
        <v>2</v>
      </c>
      <c r="F49" s="512">
        <v>3</v>
      </c>
      <c r="G49" s="295"/>
      <c r="H49" s="295"/>
      <c r="I49" s="511"/>
      <c r="J49" s="512"/>
      <c r="K49" s="295"/>
      <c r="L49" s="295"/>
      <c r="M49" s="511"/>
      <c r="N49" s="512"/>
      <c r="O49" s="295"/>
      <c r="P49" s="295">
        <v>1</v>
      </c>
      <c r="Q49" s="511"/>
      <c r="R49" s="512"/>
      <c r="S49" s="295"/>
      <c r="T49" s="295"/>
      <c r="U49" s="511">
        <v>2</v>
      </c>
      <c r="V49" s="512">
        <v>1</v>
      </c>
      <c r="W49" s="511"/>
      <c r="X49" s="295"/>
      <c r="Y49" s="1413">
        <f t="shared" si="15"/>
        <v>4</v>
      </c>
      <c r="Z49" s="45">
        <f t="shared" si="16"/>
        <v>5</v>
      </c>
      <c r="AA49" s="1430">
        <f t="shared" si="17"/>
        <v>9</v>
      </c>
    </row>
    <row r="50" spans="1:29" s="6" customFormat="1" ht="26.25" customHeight="1">
      <c r="A50" s="245" t="s">
        <v>1660</v>
      </c>
      <c r="B50" s="293" t="s">
        <v>1662</v>
      </c>
      <c r="C50" s="295"/>
      <c r="D50" s="295"/>
      <c r="E50" s="511"/>
      <c r="F50" s="512"/>
      <c r="G50" s="295"/>
      <c r="H50" s="295"/>
      <c r="I50" s="511"/>
      <c r="J50" s="512"/>
      <c r="K50" s="295"/>
      <c r="L50" s="295"/>
      <c r="M50" s="511"/>
      <c r="N50" s="512"/>
      <c r="O50" s="295"/>
      <c r="P50" s="295"/>
      <c r="Q50" s="511"/>
      <c r="R50" s="512"/>
      <c r="S50" s="295">
        <v>2</v>
      </c>
      <c r="T50" s="295">
        <v>1</v>
      </c>
      <c r="U50" s="511">
        <v>19</v>
      </c>
      <c r="V50" s="512">
        <v>7</v>
      </c>
      <c r="W50" s="511">
        <v>98</v>
      </c>
      <c r="X50" s="295">
        <v>49</v>
      </c>
      <c r="Y50" s="1413">
        <f t="shared" ref="Y50:Y51" si="18">+E50+G50+I50+K50+M50+O50+Q50+S50+U50+W50</f>
        <v>119</v>
      </c>
      <c r="Z50" s="45">
        <f t="shared" ref="Z50:Z51" si="19">+F50+H50+J50+L50+N50+P50+R50+T50+V50+X50</f>
        <v>57</v>
      </c>
      <c r="AA50" s="1430">
        <f t="shared" ref="AA50:AA51" si="20">SUM(Y50:Z50)</f>
        <v>176</v>
      </c>
    </row>
    <row r="51" spans="1:29" s="6" customFormat="1" ht="26.25" customHeight="1">
      <c r="A51" s="245" t="s">
        <v>1661</v>
      </c>
      <c r="B51" s="293" t="s">
        <v>1663</v>
      </c>
      <c r="C51" s="295"/>
      <c r="D51" s="295"/>
      <c r="E51" s="511"/>
      <c r="F51" s="512"/>
      <c r="G51" s="295"/>
      <c r="H51" s="295"/>
      <c r="I51" s="511"/>
      <c r="J51" s="512"/>
      <c r="K51" s="295"/>
      <c r="L51" s="295"/>
      <c r="M51" s="511"/>
      <c r="N51" s="512"/>
      <c r="O51" s="295"/>
      <c r="P51" s="295"/>
      <c r="Q51" s="511"/>
      <c r="R51" s="512"/>
      <c r="S51" s="295">
        <v>3</v>
      </c>
      <c r="T51" s="295">
        <v>1</v>
      </c>
      <c r="U51" s="511">
        <v>8</v>
      </c>
      <c r="V51" s="512">
        <v>8</v>
      </c>
      <c r="W51" s="511">
        <v>27</v>
      </c>
      <c r="X51" s="295">
        <v>18</v>
      </c>
      <c r="Y51" s="1413">
        <f t="shared" si="18"/>
        <v>38</v>
      </c>
      <c r="Z51" s="45">
        <f t="shared" si="19"/>
        <v>27</v>
      </c>
      <c r="AA51" s="1430">
        <f t="shared" si="20"/>
        <v>65</v>
      </c>
    </row>
    <row r="52" spans="1:29" ht="26.25" customHeight="1">
      <c r="A52" s="293"/>
      <c r="B52" s="293" t="s">
        <v>739</v>
      </c>
      <c r="C52" s="295"/>
      <c r="D52" s="295"/>
      <c r="E52" s="511"/>
      <c r="F52" s="512"/>
      <c r="G52" s="295"/>
      <c r="H52" s="295"/>
      <c r="I52" s="511"/>
      <c r="J52" s="512"/>
      <c r="K52" s="295">
        <v>1</v>
      </c>
      <c r="L52" s="295"/>
      <c r="M52" s="511"/>
      <c r="N52" s="512"/>
      <c r="O52" s="295"/>
      <c r="P52" s="295"/>
      <c r="Q52" s="511"/>
      <c r="R52" s="512"/>
      <c r="S52" s="295">
        <v>3</v>
      </c>
      <c r="T52" s="295">
        <v>6</v>
      </c>
      <c r="U52" s="511">
        <v>11</v>
      </c>
      <c r="V52" s="512">
        <v>10</v>
      </c>
      <c r="W52" s="511">
        <v>42</v>
      </c>
      <c r="X52" s="295">
        <v>83</v>
      </c>
      <c r="Y52" s="1413">
        <f t="shared" si="15"/>
        <v>57</v>
      </c>
      <c r="Z52" s="45">
        <f t="shared" si="16"/>
        <v>99</v>
      </c>
      <c r="AA52" s="1430">
        <f t="shared" si="17"/>
        <v>156</v>
      </c>
      <c r="AB52" s="6"/>
      <c r="AC52" s="6"/>
    </row>
    <row r="53" spans="1:29" ht="23.25" customHeight="1" thickBot="1">
      <c r="A53" s="296"/>
      <c r="B53" s="296" t="s">
        <v>740</v>
      </c>
      <c r="C53" s="333">
        <f>SUM(C39:C52)</f>
        <v>0</v>
      </c>
      <c r="D53" s="315">
        <f>SUM(D39:D52)</f>
        <v>0</v>
      </c>
      <c r="E53" s="333">
        <f t="shared" ref="E53:X53" si="21">SUM(E39:E52)</f>
        <v>5</v>
      </c>
      <c r="F53" s="315">
        <f t="shared" si="21"/>
        <v>7</v>
      </c>
      <c r="G53" s="333">
        <f t="shared" si="21"/>
        <v>1</v>
      </c>
      <c r="H53" s="315">
        <f t="shared" si="21"/>
        <v>0</v>
      </c>
      <c r="I53" s="333">
        <f t="shared" si="21"/>
        <v>1</v>
      </c>
      <c r="J53" s="315">
        <f t="shared" si="21"/>
        <v>2</v>
      </c>
      <c r="K53" s="333">
        <f t="shared" si="21"/>
        <v>4</v>
      </c>
      <c r="L53" s="315">
        <f t="shared" si="21"/>
        <v>0</v>
      </c>
      <c r="M53" s="333">
        <f t="shared" si="21"/>
        <v>0</v>
      </c>
      <c r="N53" s="315">
        <f t="shared" si="21"/>
        <v>2</v>
      </c>
      <c r="O53" s="333">
        <f t="shared" si="21"/>
        <v>0</v>
      </c>
      <c r="P53" s="315">
        <f t="shared" si="21"/>
        <v>2</v>
      </c>
      <c r="Q53" s="333">
        <f t="shared" si="21"/>
        <v>6</v>
      </c>
      <c r="R53" s="315">
        <f t="shared" si="21"/>
        <v>1</v>
      </c>
      <c r="S53" s="333">
        <f t="shared" si="21"/>
        <v>60</v>
      </c>
      <c r="T53" s="315">
        <f t="shared" si="21"/>
        <v>38</v>
      </c>
      <c r="U53" s="333">
        <f t="shared" si="21"/>
        <v>216</v>
      </c>
      <c r="V53" s="315">
        <f t="shared" si="21"/>
        <v>158</v>
      </c>
      <c r="W53" s="333">
        <f t="shared" si="21"/>
        <v>745</v>
      </c>
      <c r="X53" s="515">
        <f t="shared" si="21"/>
        <v>711</v>
      </c>
      <c r="Y53" s="1431">
        <f t="shared" si="15"/>
        <v>1038</v>
      </c>
      <c r="Z53" s="1432">
        <f t="shared" si="16"/>
        <v>921</v>
      </c>
      <c r="AA53" s="1433">
        <f t="shared" si="17"/>
        <v>1959</v>
      </c>
      <c r="AC53" s="6"/>
    </row>
    <row r="54" spans="1:29">
      <c r="A54" s="10"/>
      <c r="B54" s="10"/>
      <c r="C54" s="10"/>
      <c r="D54" s="10"/>
      <c r="E54" s="10"/>
      <c r="F54" s="10"/>
      <c r="G54" s="10"/>
      <c r="H54" s="10"/>
      <c r="I54" s="10"/>
      <c r="J54" s="10"/>
      <c r="K54" s="10"/>
      <c r="L54" s="10"/>
      <c r="M54" s="10"/>
      <c r="N54" s="10"/>
      <c r="O54" s="10"/>
      <c r="P54" s="10"/>
      <c r="Q54" s="10"/>
      <c r="R54" s="10"/>
      <c r="S54" s="10"/>
      <c r="T54" s="10"/>
      <c r="U54" s="10"/>
      <c r="V54" s="10"/>
      <c r="W54" s="10"/>
      <c r="X54" s="10"/>
      <c r="Y54" s="10"/>
    </row>
    <row r="67" spans="5:20">
      <c r="K67">
        <v>2020</v>
      </c>
      <c r="M67">
        <v>1992</v>
      </c>
      <c r="O67" t="s">
        <v>741</v>
      </c>
      <c r="Q67" t="s">
        <v>742</v>
      </c>
      <c r="S67" t="s">
        <v>743</v>
      </c>
    </row>
    <row r="68" spans="5:20">
      <c r="E68" s="300" t="s">
        <v>692</v>
      </c>
      <c r="F68" s="300"/>
      <c r="K68">
        <f>+AC10</f>
        <v>561</v>
      </c>
      <c r="M68">
        <v>294</v>
      </c>
      <c r="O68">
        <v>23771</v>
      </c>
      <c r="Q68" s="221">
        <f t="shared" ref="Q68:Q79" si="22">+O68/O$80*100</f>
        <v>28.409742805239507</v>
      </c>
      <c r="R68" s="221"/>
      <c r="S68" s="221">
        <f t="shared" ref="S68:S78" si="23">+K68/K$80*100</f>
        <v>32.654249126891735</v>
      </c>
      <c r="T68" s="221"/>
    </row>
    <row r="69" spans="5:20">
      <c r="E69" s="300" t="s">
        <v>694</v>
      </c>
      <c r="F69" s="300"/>
      <c r="K69">
        <f>+AC11</f>
        <v>412</v>
      </c>
      <c r="M69">
        <v>170</v>
      </c>
      <c r="O69">
        <v>19700</v>
      </c>
      <c r="Q69" s="221">
        <f t="shared" si="22"/>
        <v>23.544315900181662</v>
      </c>
      <c r="R69" s="221"/>
      <c r="S69" s="221">
        <f t="shared" si="23"/>
        <v>23.981373690337602</v>
      </c>
      <c r="T69" s="221"/>
    </row>
    <row r="70" spans="5:20">
      <c r="E70" s="300" t="s">
        <v>696</v>
      </c>
      <c r="F70" s="300"/>
      <c r="K70">
        <f>+AC12</f>
        <v>154</v>
      </c>
      <c r="M70">
        <v>151</v>
      </c>
      <c r="O70">
        <v>7432</v>
      </c>
      <c r="Q70" s="221">
        <f t="shared" si="22"/>
        <v>8.8823023233578748</v>
      </c>
      <c r="R70" s="221"/>
      <c r="S70" s="221">
        <f t="shared" si="23"/>
        <v>8.9639115250291024</v>
      </c>
      <c r="T70" s="221"/>
    </row>
    <row r="71" spans="5:20">
      <c r="E71" s="300" t="s">
        <v>711</v>
      </c>
      <c r="F71" s="300"/>
      <c r="K71">
        <f>+AC13</f>
        <v>111</v>
      </c>
      <c r="M71">
        <v>100</v>
      </c>
      <c r="O71">
        <v>7407</v>
      </c>
      <c r="Q71" s="221">
        <f t="shared" si="22"/>
        <v>8.8524237498804847</v>
      </c>
      <c r="R71" s="221"/>
      <c r="S71" s="221">
        <f t="shared" si="23"/>
        <v>6.4610011641443528</v>
      </c>
      <c r="T71" s="221"/>
    </row>
    <row r="72" spans="5:20">
      <c r="E72" s="300" t="s">
        <v>713</v>
      </c>
      <c r="F72" s="300"/>
      <c r="K72">
        <f>+AC14</f>
        <v>100</v>
      </c>
      <c r="M72">
        <v>52</v>
      </c>
      <c r="O72">
        <v>6601</v>
      </c>
      <c r="Q72" s="221">
        <f t="shared" si="22"/>
        <v>7.8891385409694994</v>
      </c>
      <c r="R72" s="221"/>
      <c r="S72" s="221">
        <f t="shared" si="23"/>
        <v>5.8207217694994178</v>
      </c>
      <c r="T72" s="221"/>
    </row>
    <row r="73" spans="5:20">
      <c r="E73" s="300" t="s">
        <v>717</v>
      </c>
      <c r="F73" s="300"/>
      <c r="K73">
        <f>+AC16</f>
        <v>34</v>
      </c>
      <c r="M73">
        <v>36</v>
      </c>
      <c r="O73">
        <v>1278</v>
      </c>
      <c r="Q73" s="221">
        <f t="shared" si="22"/>
        <v>1.5273926761640693</v>
      </c>
      <c r="R73" s="221"/>
      <c r="S73" s="221">
        <f t="shared" si="23"/>
        <v>1.979045401629802</v>
      </c>
      <c r="T73" s="221"/>
    </row>
    <row r="74" spans="5:20">
      <c r="E74" s="300" t="s">
        <v>738</v>
      </c>
      <c r="F74" s="300"/>
      <c r="K74">
        <f>+AC17</f>
        <v>52</v>
      </c>
      <c r="M74">
        <v>59</v>
      </c>
      <c r="O74">
        <v>2381</v>
      </c>
      <c r="Q74" s="221">
        <f t="shared" si="22"/>
        <v>2.845635337986423</v>
      </c>
      <c r="R74" s="221"/>
      <c r="S74" s="221">
        <f t="shared" si="23"/>
        <v>3.0267753201396972</v>
      </c>
      <c r="T74" s="221"/>
    </row>
    <row r="75" spans="5:20">
      <c r="E75" s="300" t="s">
        <v>715</v>
      </c>
      <c r="F75" s="300"/>
      <c r="K75">
        <f>+AC15</f>
        <v>64</v>
      </c>
      <c r="M75">
        <v>28</v>
      </c>
      <c r="O75">
        <v>2267</v>
      </c>
      <c r="Q75" s="221">
        <f t="shared" si="22"/>
        <v>2.7093890429295344</v>
      </c>
      <c r="R75" s="221"/>
      <c r="S75" s="221">
        <f t="shared" si="23"/>
        <v>3.7252619324796274</v>
      </c>
      <c r="T75" s="221"/>
    </row>
    <row r="76" spans="5:20">
      <c r="E76" s="300" t="s">
        <v>721</v>
      </c>
      <c r="F76" s="300"/>
      <c r="K76">
        <f>+AC18</f>
        <v>57</v>
      </c>
      <c r="M76">
        <v>23</v>
      </c>
      <c r="O76">
        <v>4148</v>
      </c>
      <c r="Q76" s="221">
        <f t="shared" si="22"/>
        <v>4.9574529113681995</v>
      </c>
      <c r="R76" s="221"/>
      <c r="S76" s="221">
        <f t="shared" si="23"/>
        <v>3.3178114086146682</v>
      </c>
      <c r="T76" s="221"/>
    </row>
    <row r="77" spans="5:20">
      <c r="E77" s="300" t="s">
        <v>723</v>
      </c>
      <c r="F77" s="300"/>
      <c r="K77">
        <f>+AC19</f>
        <v>8</v>
      </c>
      <c r="M77">
        <v>28</v>
      </c>
      <c r="O77">
        <v>738</v>
      </c>
      <c r="Q77" s="221">
        <f t="shared" si="22"/>
        <v>0.88201548905249072</v>
      </c>
      <c r="R77" s="221"/>
      <c r="S77" s="221">
        <f t="shared" si="23"/>
        <v>0.46565774155995343</v>
      </c>
      <c r="T77" s="221"/>
    </row>
    <row r="78" spans="5:20">
      <c r="E78" s="300" t="s">
        <v>725</v>
      </c>
      <c r="F78" s="300"/>
      <c r="K78">
        <f>+AC20</f>
        <v>9</v>
      </c>
      <c r="M78">
        <v>10</v>
      </c>
      <c r="O78">
        <v>916</v>
      </c>
      <c r="Q78" s="221">
        <f t="shared" si="22"/>
        <v>1.0947509322114923</v>
      </c>
      <c r="R78" s="221"/>
      <c r="S78" s="221">
        <f t="shared" si="23"/>
        <v>0.52386495925494758</v>
      </c>
      <c r="T78" s="221"/>
    </row>
    <row r="79" spans="5:20">
      <c r="E79" s="300" t="s">
        <v>739</v>
      </c>
      <c r="F79" s="300"/>
      <c r="K79">
        <f>+AC23</f>
        <v>156</v>
      </c>
      <c r="M79">
        <v>26</v>
      </c>
      <c r="O79">
        <v>7033</v>
      </c>
      <c r="Q79" s="221">
        <f t="shared" si="22"/>
        <v>8.4054402906587633</v>
      </c>
      <c r="R79" s="221"/>
      <c r="S79" s="221">
        <f>(+K79)/K$80*100</f>
        <v>9.080325960419092</v>
      </c>
      <c r="T79" s="221"/>
    </row>
    <row r="80" spans="5:20">
      <c r="K80">
        <f>SUM(K68:K79)</f>
        <v>1718</v>
      </c>
      <c r="M80">
        <f>SUM(M68:M79)</f>
        <v>977</v>
      </c>
      <c r="O80">
        <f>SUM(O68:O79)</f>
        <v>83672</v>
      </c>
      <c r="Q80">
        <f>SUM(Q68:Q79)</f>
        <v>99.999999999999986</v>
      </c>
      <c r="S80">
        <f>SUM(S68:S79)</f>
        <v>99.999999999999986</v>
      </c>
    </row>
  </sheetData>
  <mergeCells count="8">
    <mergeCell ref="A37:A38"/>
    <mergeCell ref="Y37:AA37"/>
    <mergeCell ref="C36:AA36"/>
    <mergeCell ref="Y8:Z8"/>
    <mergeCell ref="C8:D8"/>
    <mergeCell ref="M8:N8"/>
    <mergeCell ref="AA8:AC8"/>
    <mergeCell ref="A8:A9"/>
  </mergeCells>
  <phoneticPr fontId="19" type="noConversion"/>
  <pageMargins left="1.1811023622047245" right="0.74803149606299213" top="0.98425196850393704" bottom="0.98425196850393704" header="0.51181102362204722" footer="0.51181102362204722"/>
  <pageSetup scale="85"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topLeftCell="A25" zoomScale="75" zoomScaleNormal="75" workbookViewId="0">
      <selection activeCell="B20" sqref="B20"/>
    </sheetView>
  </sheetViews>
  <sheetFormatPr baseColWidth="10" defaultRowHeight="13.2"/>
  <cols>
    <col min="1" max="1" width="9" customWidth="1"/>
    <col min="2" max="2" width="27.77734375" customWidth="1"/>
    <col min="3" max="3" width="10.21875" customWidth="1"/>
    <col min="4" max="4" width="10" customWidth="1"/>
    <col min="5" max="6" width="9.77734375" customWidth="1"/>
    <col min="7" max="7" width="10" customWidth="1"/>
    <col min="8" max="8" width="9" customWidth="1"/>
    <col min="9" max="9" width="8.5546875" customWidth="1"/>
    <col min="10" max="10" width="9.21875" customWidth="1"/>
    <col min="11" max="11" width="10.21875" customWidth="1"/>
    <col min="12" max="12" width="9.44140625" customWidth="1"/>
    <col min="13" max="13" width="8.77734375" customWidth="1"/>
    <col min="14" max="14" width="9.21875" customWidth="1"/>
  </cols>
  <sheetData>
    <row r="1" spans="1:12">
      <c r="A1" s="1585" t="s">
        <v>1241</v>
      </c>
      <c r="B1" s="1585"/>
      <c r="C1" s="1585"/>
      <c r="D1" s="1585"/>
      <c r="E1" s="1585"/>
      <c r="F1" s="1585"/>
      <c r="G1" s="1585"/>
      <c r="H1" s="1585"/>
      <c r="I1" s="1585"/>
      <c r="J1" s="1585"/>
      <c r="K1" s="1585"/>
      <c r="L1" s="1585"/>
    </row>
    <row r="2" spans="1:12">
      <c r="A2" s="114"/>
      <c r="B2" s="114"/>
      <c r="C2" s="180"/>
      <c r="D2" s="1"/>
      <c r="E2" s="1"/>
      <c r="F2" s="1"/>
      <c r="G2" s="1"/>
      <c r="H2" s="1"/>
      <c r="I2" s="1"/>
      <c r="J2" s="1"/>
    </row>
    <row r="3" spans="1:12">
      <c r="A3" s="1585" t="s">
        <v>627</v>
      </c>
      <c r="B3" s="1585"/>
      <c r="C3" s="1585"/>
      <c r="D3" s="1585"/>
      <c r="E3" s="1585"/>
      <c r="F3" s="1585"/>
      <c r="G3" s="1585"/>
      <c r="H3" s="1585"/>
      <c r="I3" s="1585"/>
      <c r="J3" s="1585"/>
      <c r="K3" s="1585"/>
      <c r="L3" s="1585"/>
    </row>
    <row r="4" spans="1:12">
      <c r="A4" s="1585" t="s">
        <v>679</v>
      </c>
      <c r="B4" s="1585"/>
      <c r="C4" s="1585"/>
      <c r="D4" s="1585"/>
      <c r="E4" s="1585"/>
      <c r="F4" s="1585"/>
      <c r="G4" s="1585"/>
      <c r="H4" s="1585"/>
      <c r="I4" s="1585"/>
      <c r="J4" s="1585"/>
      <c r="K4" s="1585"/>
      <c r="L4" s="1585"/>
    </row>
    <row r="5" spans="1:12">
      <c r="A5" s="285"/>
    </row>
    <row r="6" spans="1:12">
      <c r="A6" s="285"/>
    </row>
    <row r="7" spans="1:12" ht="18.75" customHeight="1">
      <c r="A7" s="286" t="s">
        <v>680</v>
      </c>
      <c r="B7" s="62"/>
      <c r="C7" s="288"/>
      <c r="D7" s="288"/>
      <c r="E7" s="288"/>
      <c r="F7" s="288"/>
      <c r="G7" s="288"/>
      <c r="H7" s="288"/>
      <c r="I7" s="288"/>
      <c r="J7" s="288"/>
      <c r="K7" s="288"/>
      <c r="L7" s="289"/>
    </row>
    <row r="8" spans="1:12" ht="23.25" customHeight="1">
      <c r="A8" s="290" t="s">
        <v>682</v>
      </c>
      <c r="B8" s="88" t="s">
        <v>683</v>
      </c>
      <c r="C8" s="145">
        <v>2011</v>
      </c>
      <c r="D8" s="145">
        <v>2012</v>
      </c>
      <c r="E8" s="145">
        <v>2013</v>
      </c>
      <c r="F8" s="145">
        <v>2014</v>
      </c>
      <c r="G8" s="145">
        <v>2015</v>
      </c>
      <c r="H8" s="145">
        <v>2016</v>
      </c>
      <c r="I8" s="145">
        <v>2017</v>
      </c>
      <c r="J8" s="145">
        <v>2018</v>
      </c>
      <c r="K8" s="145">
        <v>2019</v>
      </c>
      <c r="L8" s="145">
        <v>2020</v>
      </c>
    </row>
    <row r="9" spans="1:12" s="6" customFormat="1" ht="26.25" customHeight="1">
      <c r="A9" s="245" t="s">
        <v>691</v>
      </c>
      <c r="B9" s="293" t="s">
        <v>692</v>
      </c>
      <c r="C9" s="1533">
        <v>415</v>
      </c>
      <c r="D9" s="1533">
        <v>429</v>
      </c>
      <c r="E9" s="1533">
        <v>416</v>
      </c>
      <c r="F9" s="1533">
        <v>490</v>
      </c>
      <c r="G9" s="1533">
        <v>406</v>
      </c>
      <c r="H9" s="1533">
        <v>426</v>
      </c>
      <c r="I9" s="1533">
        <v>408</v>
      </c>
      <c r="J9" s="1533">
        <v>390</v>
      </c>
      <c r="K9" s="1533">
        <v>462</v>
      </c>
      <c r="L9" s="294">
        <f>+'27'!AC10</f>
        <v>561</v>
      </c>
    </row>
    <row r="10" spans="1:12" s="6" customFormat="1" ht="26.25" customHeight="1">
      <c r="A10" s="245" t="s">
        <v>693</v>
      </c>
      <c r="B10" s="293" t="s">
        <v>694</v>
      </c>
      <c r="C10" s="1533">
        <v>359</v>
      </c>
      <c r="D10" s="1533">
        <v>344</v>
      </c>
      <c r="E10" s="1533">
        <v>334</v>
      </c>
      <c r="F10" s="1533">
        <v>404</v>
      </c>
      <c r="G10" s="1533">
        <v>375</v>
      </c>
      <c r="H10" s="1533">
        <v>373</v>
      </c>
      <c r="I10" s="1533">
        <v>399</v>
      </c>
      <c r="J10" s="1533">
        <v>416</v>
      </c>
      <c r="K10" s="1533">
        <v>406</v>
      </c>
      <c r="L10" s="294">
        <f>+'27'!AC11</f>
        <v>412</v>
      </c>
    </row>
    <row r="11" spans="1:12" s="6" customFormat="1" ht="26.25" customHeight="1">
      <c r="A11" s="245" t="s">
        <v>695</v>
      </c>
      <c r="B11" s="293" t="s">
        <v>696</v>
      </c>
      <c r="C11" s="1533">
        <v>119</v>
      </c>
      <c r="D11" s="1533">
        <v>141</v>
      </c>
      <c r="E11" s="1533">
        <v>174</v>
      </c>
      <c r="F11" s="1533">
        <v>167</v>
      </c>
      <c r="G11" s="1533">
        <v>172</v>
      </c>
      <c r="H11" s="1533">
        <v>171</v>
      </c>
      <c r="I11" s="1533">
        <v>175</v>
      </c>
      <c r="J11" s="1533">
        <v>167</v>
      </c>
      <c r="K11" s="1533">
        <v>206</v>
      </c>
      <c r="L11" s="294">
        <f>+'27'!AC12</f>
        <v>154</v>
      </c>
    </row>
    <row r="12" spans="1:12" s="6" customFormat="1" ht="26.25" customHeight="1">
      <c r="A12" s="245" t="s">
        <v>710</v>
      </c>
      <c r="B12" s="293" t="s">
        <v>711</v>
      </c>
      <c r="C12" s="1533">
        <v>119</v>
      </c>
      <c r="D12" s="1533">
        <v>112</v>
      </c>
      <c r="E12" s="1533">
        <v>99</v>
      </c>
      <c r="F12" s="1533">
        <v>123</v>
      </c>
      <c r="G12" s="1533">
        <v>92</v>
      </c>
      <c r="H12" s="1533">
        <v>108</v>
      </c>
      <c r="I12" s="1533">
        <v>111</v>
      </c>
      <c r="J12" s="1533">
        <v>93</v>
      </c>
      <c r="K12" s="1533">
        <v>113</v>
      </c>
      <c r="L12" s="294">
        <f>+'27'!AC13</f>
        <v>111</v>
      </c>
    </row>
    <row r="13" spans="1:12" s="6" customFormat="1" ht="26.25" customHeight="1">
      <c r="A13" s="245" t="s">
        <v>712</v>
      </c>
      <c r="B13" s="293" t="s">
        <v>713</v>
      </c>
      <c r="C13" s="1533">
        <v>107</v>
      </c>
      <c r="D13" s="1533">
        <v>99</v>
      </c>
      <c r="E13" s="1533">
        <v>112</v>
      </c>
      <c r="F13" s="1533">
        <v>109</v>
      </c>
      <c r="G13" s="1533">
        <v>106</v>
      </c>
      <c r="H13" s="1533">
        <v>118</v>
      </c>
      <c r="I13" s="1533">
        <v>103</v>
      </c>
      <c r="J13" s="1533">
        <v>84</v>
      </c>
      <c r="K13" s="1533">
        <v>109</v>
      </c>
      <c r="L13" s="294">
        <f>+'27'!AC14</f>
        <v>100</v>
      </c>
    </row>
    <row r="14" spans="1:12" s="6" customFormat="1" ht="26.25" customHeight="1">
      <c r="A14" s="245" t="s">
        <v>714</v>
      </c>
      <c r="B14" s="293" t="s">
        <v>715</v>
      </c>
      <c r="C14" s="1533">
        <v>60</v>
      </c>
      <c r="D14" s="1533">
        <v>52</v>
      </c>
      <c r="E14" s="1533">
        <v>57</v>
      </c>
      <c r="F14" s="1533">
        <v>74</v>
      </c>
      <c r="G14" s="1533">
        <v>58</v>
      </c>
      <c r="H14" s="1533">
        <v>52</v>
      </c>
      <c r="I14" s="1533">
        <v>72</v>
      </c>
      <c r="J14" s="1533">
        <v>70</v>
      </c>
      <c r="K14" s="1533">
        <v>66</v>
      </c>
      <c r="L14" s="294">
        <f>+'27'!AC15</f>
        <v>64</v>
      </c>
    </row>
    <row r="15" spans="1:12" s="6" customFormat="1" ht="26.25" customHeight="1">
      <c r="A15" s="245" t="s">
        <v>716</v>
      </c>
      <c r="B15" s="293" t="s">
        <v>717</v>
      </c>
      <c r="C15" s="1533">
        <v>39</v>
      </c>
      <c r="D15" s="1533">
        <v>27</v>
      </c>
      <c r="E15" s="1533">
        <v>39</v>
      </c>
      <c r="F15" s="1533">
        <v>35</v>
      </c>
      <c r="G15" s="1533">
        <v>46</v>
      </c>
      <c r="H15" s="1533">
        <v>38</v>
      </c>
      <c r="I15" s="1533">
        <v>47</v>
      </c>
      <c r="J15" s="1533">
        <v>36</v>
      </c>
      <c r="K15" s="1533">
        <v>48</v>
      </c>
      <c r="L15" s="294">
        <f>+'27'!AC16</f>
        <v>34</v>
      </c>
    </row>
    <row r="16" spans="1:12" s="6" customFormat="1" ht="26.25" customHeight="1">
      <c r="A16" s="245" t="s">
        <v>718</v>
      </c>
      <c r="B16" s="293" t="s">
        <v>719</v>
      </c>
      <c r="C16" s="1533">
        <v>40</v>
      </c>
      <c r="D16" s="1533">
        <v>57</v>
      </c>
      <c r="E16" s="1533">
        <v>74</v>
      </c>
      <c r="F16" s="1533">
        <v>83</v>
      </c>
      <c r="G16" s="1533">
        <v>100</v>
      </c>
      <c r="H16" s="1533">
        <v>108</v>
      </c>
      <c r="I16" s="1533">
        <v>166</v>
      </c>
      <c r="J16" s="1533">
        <v>155</v>
      </c>
      <c r="K16" s="1533">
        <v>92</v>
      </c>
      <c r="L16" s="294">
        <f>+'27'!AC17</f>
        <v>52</v>
      </c>
    </row>
    <row r="17" spans="1:14" s="6" customFormat="1" ht="26.25" customHeight="1">
      <c r="A17" s="245" t="s">
        <v>720</v>
      </c>
      <c r="B17" s="293" t="s">
        <v>721</v>
      </c>
      <c r="C17" s="1533">
        <v>71</v>
      </c>
      <c r="D17" s="1533">
        <v>76</v>
      </c>
      <c r="E17" s="1533">
        <v>58</v>
      </c>
      <c r="F17" s="1533">
        <v>79</v>
      </c>
      <c r="G17" s="1533">
        <v>75</v>
      </c>
      <c r="H17" s="1533">
        <v>79</v>
      </c>
      <c r="I17" s="1533">
        <v>72</v>
      </c>
      <c r="J17" s="1533">
        <v>52</v>
      </c>
      <c r="K17" s="1533">
        <v>61</v>
      </c>
      <c r="L17" s="294">
        <f>+'27'!AC18</f>
        <v>57</v>
      </c>
    </row>
    <row r="18" spans="1:14" s="6" customFormat="1" ht="26.25" customHeight="1">
      <c r="A18" s="245" t="s">
        <v>722</v>
      </c>
      <c r="B18" s="293" t="s">
        <v>723</v>
      </c>
      <c r="C18" s="1533">
        <v>16</v>
      </c>
      <c r="D18" s="1533">
        <v>14</v>
      </c>
      <c r="E18" s="1533">
        <v>16</v>
      </c>
      <c r="F18" s="1533">
        <v>13</v>
      </c>
      <c r="G18" s="1533">
        <v>14</v>
      </c>
      <c r="H18" s="1533">
        <v>9</v>
      </c>
      <c r="I18" s="1533">
        <v>10</v>
      </c>
      <c r="J18" s="1533">
        <v>8</v>
      </c>
      <c r="K18" s="1533">
        <v>12</v>
      </c>
      <c r="L18" s="294">
        <f>+'27'!AC19</f>
        <v>8</v>
      </c>
    </row>
    <row r="19" spans="1:14" s="6" customFormat="1" ht="26.25" customHeight="1">
      <c r="A19" s="245" t="s">
        <v>724</v>
      </c>
      <c r="B19" s="293" t="s">
        <v>725</v>
      </c>
      <c r="C19" s="1533">
        <v>10</v>
      </c>
      <c r="D19" s="1533">
        <v>17</v>
      </c>
      <c r="E19" s="1533">
        <v>4</v>
      </c>
      <c r="F19" s="1533">
        <v>19</v>
      </c>
      <c r="G19" s="1533">
        <v>10</v>
      </c>
      <c r="H19" s="1533">
        <v>6</v>
      </c>
      <c r="I19" s="1533">
        <v>6</v>
      </c>
      <c r="J19" s="1533">
        <v>8</v>
      </c>
      <c r="K19" s="1533">
        <v>9</v>
      </c>
      <c r="L19" s="294">
        <f>+'27'!AC20</f>
        <v>9</v>
      </c>
    </row>
    <row r="20" spans="1:14" s="6" customFormat="1" ht="26.25" customHeight="1">
      <c r="A20" s="245" t="s">
        <v>1660</v>
      </c>
      <c r="B20" s="293" t="s">
        <v>1662</v>
      </c>
      <c r="C20" s="1534"/>
      <c r="D20" s="1534"/>
      <c r="E20" s="1534"/>
      <c r="F20" s="1534"/>
      <c r="G20" s="1534"/>
      <c r="H20" s="1534"/>
      <c r="I20" s="1534"/>
      <c r="J20" s="1534"/>
      <c r="K20" s="1534"/>
      <c r="L20" s="1534">
        <f>+'27'!AC21</f>
        <v>176</v>
      </c>
    </row>
    <row r="21" spans="1:14" s="6" customFormat="1" ht="26.25" customHeight="1">
      <c r="A21" s="245" t="s">
        <v>1661</v>
      </c>
      <c r="B21" s="293" t="s">
        <v>1663</v>
      </c>
      <c r="C21" s="1534"/>
      <c r="D21" s="1534"/>
      <c r="E21" s="1534"/>
      <c r="F21" s="1534"/>
      <c r="G21" s="1534"/>
      <c r="H21" s="1534"/>
      <c r="I21" s="1534"/>
      <c r="J21" s="1534"/>
      <c r="K21" s="1534"/>
      <c r="L21" s="1534">
        <f>+'27'!AC22</f>
        <v>65</v>
      </c>
    </row>
    <row r="22" spans="1:14" s="6" customFormat="1" ht="26.25" customHeight="1">
      <c r="A22" s="293"/>
      <c r="B22" s="293" t="s">
        <v>481</v>
      </c>
      <c r="C22" s="1533">
        <v>108</v>
      </c>
      <c r="D22" s="1533">
        <v>121</v>
      </c>
      <c r="E22" s="1533">
        <v>77</v>
      </c>
      <c r="F22" s="1533">
        <v>110</v>
      </c>
      <c r="G22" s="1533">
        <v>118</v>
      </c>
      <c r="H22" s="1533">
        <v>105</v>
      </c>
      <c r="I22" s="1533">
        <v>115</v>
      </c>
      <c r="J22" s="1533">
        <v>131</v>
      </c>
      <c r="K22" s="1533">
        <v>125</v>
      </c>
      <c r="L22" s="294">
        <f>+'27'!AC23</f>
        <v>156</v>
      </c>
    </row>
    <row r="23" spans="1:14" ht="21.75" customHeight="1">
      <c r="A23" s="296"/>
      <c r="B23" s="296" t="s">
        <v>517</v>
      </c>
      <c r="C23" s="599">
        <f t="shared" ref="C23:H23" si="0">SUM(C9:C22)</f>
        <v>1463</v>
      </c>
      <c r="D23" s="599">
        <f t="shared" si="0"/>
        <v>1489</v>
      </c>
      <c r="E23" s="599">
        <f t="shared" si="0"/>
        <v>1460</v>
      </c>
      <c r="F23" s="599">
        <f t="shared" si="0"/>
        <v>1706</v>
      </c>
      <c r="G23" s="599">
        <f t="shared" si="0"/>
        <v>1572</v>
      </c>
      <c r="H23" s="599">
        <f t="shared" si="0"/>
        <v>1593</v>
      </c>
      <c r="I23" s="599">
        <f>SUM(I9:I22)</f>
        <v>1684</v>
      </c>
      <c r="J23" s="599">
        <f>SUM(J9:J22)</f>
        <v>1610</v>
      </c>
      <c r="K23" s="599">
        <f>SUM(K9:K22)</f>
        <v>1709</v>
      </c>
      <c r="L23" s="599">
        <f>SUM(L9:L22)</f>
        <v>1959</v>
      </c>
      <c r="N23" s="6"/>
    </row>
    <row r="24" spans="1:14">
      <c r="A24" s="10"/>
      <c r="B24" s="10"/>
      <c r="C24" s="10"/>
      <c r="D24" s="10"/>
      <c r="E24" s="10"/>
      <c r="F24" s="10"/>
      <c r="G24" s="10"/>
      <c r="H24" s="10"/>
      <c r="I24" s="10"/>
      <c r="J24" s="10"/>
    </row>
    <row r="25" spans="1:14">
      <c r="A25" s="1585" t="s">
        <v>1242</v>
      </c>
      <c r="B25" s="1585"/>
      <c r="C25" s="1585"/>
      <c r="D25" s="1585"/>
      <c r="E25" s="1585"/>
      <c r="F25" s="1585"/>
      <c r="G25" s="1585"/>
      <c r="H25" s="1585"/>
      <c r="I25" s="1585"/>
      <c r="J25" s="1585"/>
      <c r="K25" s="1585"/>
      <c r="L25" s="1585"/>
    </row>
    <row r="26" spans="1:14">
      <c r="A26" s="10"/>
      <c r="B26" s="10"/>
      <c r="C26" s="10"/>
      <c r="D26" s="10"/>
      <c r="E26" s="10"/>
      <c r="F26" s="10"/>
      <c r="G26" s="10"/>
      <c r="H26" s="10"/>
      <c r="I26" s="10"/>
      <c r="J26" s="10"/>
    </row>
    <row r="27" spans="1:14">
      <c r="A27" s="10"/>
      <c r="B27" s="163"/>
      <c r="C27" s="163"/>
      <c r="D27" s="10"/>
      <c r="E27" s="163"/>
      <c r="F27" s="163"/>
      <c r="G27" s="163"/>
      <c r="H27" s="163"/>
      <c r="I27" s="163"/>
      <c r="J27" s="1005"/>
      <c r="K27" s="10"/>
    </row>
    <row r="28" spans="1:14" ht="18" customHeight="1">
      <c r="A28" s="286" t="s">
        <v>680</v>
      </c>
      <c r="B28" s="62"/>
      <c r="C28" s="288"/>
      <c r="D28" s="288"/>
      <c r="E28" s="288"/>
      <c r="F28" s="288"/>
      <c r="G28" s="288"/>
      <c r="H28" s="288"/>
      <c r="I28" s="288"/>
      <c r="J28" s="288"/>
      <c r="K28" s="288"/>
      <c r="L28" s="289"/>
    </row>
    <row r="29" spans="1:14" ht="18" customHeight="1">
      <c r="A29" s="290" t="s">
        <v>682</v>
      </c>
      <c r="B29" s="88" t="s">
        <v>683</v>
      </c>
      <c r="C29" s="145">
        <f>+C8</f>
        <v>2011</v>
      </c>
      <c r="D29" s="145">
        <f t="shared" ref="D29:L29" si="1">+D8</f>
        <v>2012</v>
      </c>
      <c r="E29" s="145">
        <f t="shared" si="1"/>
        <v>2013</v>
      </c>
      <c r="F29" s="145">
        <f t="shared" si="1"/>
        <v>2014</v>
      </c>
      <c r="G29" s="145">
        <f t="shared" si="1"/>
        <v>2015</v>
      </c>
      <c r="H29" s="145">
        <f t="shared" si="1"/>
        <v>2016</v>
      </c>
      <c r="I29" s="145">
        <f t="shared" si="1"/>
        <v>2017</v>
      </c>
      <c r="J29" s="145">
        <f t="shared" si="1"/>
        <v>2018</v>
      </c>
      <c r="K29" s="145">
        <f t="shared" si="1"/>
        <v>2019</v>
      </c>
      <c r="L29" s="145">
        <f t="shared" si="1"/>
        <v>2020</v>
      </c>
    </row>
    <row r="30" spans="1:14" ht="18" customHeight="1">
      <c r="A30" s="245" t="s">
        <v>691</v>
      </c>
      <c r="B30" s="293" t="s">
        <v>692</v>
      </c>
      <c r="C30" s="1068">
        <f>+C9/'7'!D11*1000</f>
        <v>1.6284344270657574</v>
      </c>
      <c r="D30" s="1068">
        <f>+D9/'7'!D12*1000</f>
        <v>1.6635773505300957</v>
      </c>
      <c r="E30" s="1068">
        <f>+E9/'7'!$D$13*1000</f>
        <v>1.5961385724535644</v>
      </c>
      <c r="F30" s="1068">
        <f>+F9/'7'!$D$14*1000</f>
        <v>1.8598719345325079</v>
      </c>
      <c r="G30" s="1068">
        <f>+G9/'7'!$D$15*1000</f>
        <v>1.5242757812851973</v>
      </c>
      <c r="H30" s="1068">
        <f>+H9/'7'!$D$16*1000</f>
        <v>1.5822373430297989</v>
      </c>
      <c r="I30" s="1068">
        <f>+I9/'7'!$D$17*1000</f>
        <v>1.4975059918591465</v>
      </c>
      <c r="J30" s="1068">
        <f>+J9/'7'!$D$18*1000</f>
        <v>1.4127670673129171</v>
      </c>
      <c r="K30" s="1068">
        <f>+K9/'7'!$D$19*1000</f>
        <v>1.6516693658233144</v>
      </c>
      <c r="L30" s="1068">
        <f>+L9/'7'!$D$20*1000</f>
        <v>1.9797717439636371</v>
      </c>
    </row>
    <row r="31" spans="1:14" ht="18" customHeight="1">
      <c r="A31" s="245" t="s">
        <v>693</v>
      </c>
      <c r="B31" s="293" t="s">
        <v>694</v>
      </c>
      <c r="C31" s="1068">
        <f>+C10/'7'!D$11*1000</f>
        <v>1.408693877871342</v>
      </c>
      <c r="D31" s="1068">
        <f>+D10/'7'!$D$12*1000</f>
        <v>1.3339641225695873</v>
      </c>
      <c r="E31" s="1068">
        <f>+E10/'7'!$D$13*1000</f>
        <v>1.2815151038449291</v>
      </c>
      <c r="F31" s="1068">
        <f>+F10/'7'!$D$14*1000</f>
        <v>1.5334454317370063</v>
      </c>
      <c r="G31" s="1068">
        <f>+G10/'7'!$D$15*1000</f>
        <v>1.4078901920737659</v>
      </c>
      <c r="H31" s="1068">
        <f>+H10/'7'!$D$16*1000</f>
        <v>1.3853862181927581</v>
      </c>
      <c r="I31" s="1068">
        <f>+I10/'7'!$D$17*1000</f>
        <v>1.4644727714504886</v>
      </c>
      <c r="J31" s="1068">
        <f>+J10/'7'!$D$18*1000</f>
        <v>1.5069515384671115</v>
      </c>
      <c r="K31" s="1068">
        <f>+K10/'7'!$D$19*1000</f>
        <v>1.4514670184507914</v>
      </c>
      <c r="L31" s="1068">
        <f>+L10/'7'!$D$20*1000</f>
        <v>1.4539500151747209</v>
      </c>
    </row>
    <row r="32" spans="1:14" ht="18" customHeight="1">
      <c r="A32" s="245" t="s">
        <v>695</v>
      </c>
      <c r="B32" s="293" t="s">
        <v>696</v>
      </c>
      <c r="C32" s="1068">
        <f>+C11/'7'!D$11*1000</f>
        <v>0.46694866703813281</v>
      </c>
      <c r="D32" s="1068">
        <f>+D11/'7'!D$12*1000</f>
        <v>0.54677017814625528</v>
      </c>
      <c r="E32" s="1068">
        <f>+E11/'7'!$D$13*1000</f>
        <v>0.66761565290125036</v>
      </c>
      <c r="F32" s="1068">
        <f>+F11/'7'!$D$14*1000</f>
        <v>0.63387472054475269</v>
      </c>
      <c r="G32" s="1068">
        <f>+G11/'7'!$D$15*1000</f>
        <v>0.64575230143116735</v>
      </c>
      <c r="H32" s="1068">
        <f>+H11/'7'!$D$16*1000</f>
        <v>0.63512344051196146</v>
      </c>
      <c r="I32" s="1068">
        <f>+I11/'7'!$D$17*1000</f>
        <v>0.64231261905723191</v>
      </c>
      <c r="J32" s="1068">
        <f>+J11/'7'!$D$18*1000</f>
        <v>0.60495410318271059</v>
      </c>
      <c r="K32" s="1068">
        <f>+K11/'7'!$D$19*1000</f>
        <v>0.73645863497749509</v>
      </c>
      <c r="L32" s="1068">
        <f>+L11/'7'!$D$20*1000</f>
        <v>0.54346675324492</v>
      </c>
    </row>
    <row r="33" spans="1:12" ht="18" customHeight="1">
      <c r="A33" s="245" t="s">
        <v>710</v>
      </c>
      <c r="B33" s="293" t="s">
        <v>711</v>
      </c>
      <c r="C33" s="1068">
        <f>+C12/'7'!D$11*1000</f>
        <v>0.46694866703813281</v>
      </c>
      <c r="D33" s="1068">
        <f>+D12/'7'!D$12*1000</f>
        <v>0.43431390037149348</v>
      </c>
      <c r="E33" s="1068">
        <f>+E12/'7'!$D$13*1000</f>
        <v>0.37985028527140113</v>
      </c>
      <c r="F33" s="1068">
        <f>+F12/'7'!$D$14*1000</f>
        <v>0.46686581213775197</v>
      </c>
      <c r="G33" s="1068">
        <f>+G12/'7'!$D$15*1000</f>
        <v>0.34540239378876386</v>
      </c>
      <c r="H33" s="1068">
        <f>+H12/'7'!$D$16*1000</f>
        <v>0.40113059400755458</v>
      </c>
      <c r="I33" s="1068">
        <f>+I12/'7'!$D$17*1000</f>
        <v>0.40740971837344425</v>
      </c>
      <c r="J33" s="1068">
        <f>+J12/'7'!$D$18*1000</f>
        <v>0.33689060835923401</v>
      </c>
      <c r="K33" s="1068">
        <f>+K12/'7'!$D$19*1000</f>
        <v>0.40397973666241238</v>
      </c>
      <c r="L33" s="1068">
        <f>+L12/'7'!$D$20*1000</f>
        <v>0.39171954292328648</v>
      </c>
    </row>
    <row r="34" spans="1:12" ht="18" customHeight="1">
      <c r="A34" s="245" t="s">
        <v>712</v>
      </c>
      <c r="B34" s="293" t="s">
        <v>713</v>
      </c>
      <c r="C34" s="1068">
        <f>+C13/'7'!D$11*1000</f>
        <v>0.41986140649647241</v>
      </c>
      <c r="D34" s="1068">
        <f>+D13/'7'!D$12*1000</f>
        <v>0.38390246550694512</v>
      </c>
      <c r="E34" s="1068">
        <f>+E13/'7'!$D$13*1000</f>
        <v>0.42972961566057499</v>
      </c>
      <c r="F34" s="1068">
        <f>+F13/'7'!$D$14*1000</f>
        <v>0.41372661400825173</v>
      </c>
      <c r="G34" s="1068">
        <f>+G13/'7'!$D$15*1000</f>
        <v>0.39796362762618454</v>
      </c>
      <c r="H34" s="1068">
        <f>+H13/'7'!$D$16*1000</f>
        <v>0.43827231567492081</v>
      </c>
      <c r="I34" s="1068">
        <f>+I13/'7'!$D$17*1000</f>
        <v>0.37804685578797076</v>
      </c>
      <c r="J34" s="1068">
        <f>+J13/'7'!$D$18*1000</f>
        <v>0.3042882914212437</v>
      </c>
      <c r="K34" s="1068">
        <f>+K13/'7'!$D$19*1000</f>
        <v>0.38967956899294642</v>
      </c>
      <c r="L34" s="1068">
        <f>+L13/'7'!$D$20*1000</f>
        <v>0.35290048912007788</v>
      </c>
    </row>
    <row r="35" spans="1:12" ht="18" customHeight="1">
      <c r="A35" s="245" t="s">
        <v>714</v>
      </c>
      <c r="B35" s="293" t="s">
        <v>715</v>
      </c>
      <c r="C35" s="1068">
        <f>+C14/'7'!D$11*1000</f>
        <v>0.23543630270830226</v>
      </c>
      <c r="D35" s="1068">
        <f>+D14/'7'!D$12*1000</f>
        <v>0.20164573945819342</v>
      </c>
      <c r="E35" s="1068">
        <f>+E14/'7'!$D$13*1000</f>
        <v>0.21870167939868548</v>
      </c>
      <c r="F35" s="1068">
        <f>+F14/'7'!$D$14*1000</f>
        <v>0.2808786186845012</v>
      </c>
      <c r="G35" s="1068">
        <f>+G14/'7'!$D$15*1000</f>
        <v>0.21775368304074247</v>
      </c>
      <c r="H35" s="1068">
        <f>+H14/'7'!$D$16*1000</f>
        <v>0.19313695267030409</v>
      </c>
      <c r="I35" s="1068">
        <f>+I14/'7'!$D$17*1000</f>
        <v>0.2642657632692611</v>
      </c>
      <c r="J35" s="1068">
        <f>+J14/'7'!$D$18*1000</f>
        <v>0.25357357618436976</v>
      </c>
      <c r="K35" s="1068">
        <f>+K14/'7'!$D$19*1000</f>
        <v>0.23595276654618777</v>
      </c>
      <c r="L35" s="1068">
        <f>+L14/'7'!$D$20*1000</f>
        <v>0.22585631303684986</v>
      </c>
    </row>
    <row r="36" spans="1:12" ht="18" customHeight="1">
      <c r="A36" s="245" t="s">
        <v>716</v>
      </c>
      <c r="B36" s="293" t="s">
        <v>717</v>
      </c>
      <c r="C36" s="1068">
        <f>+C15/'7'!D$11*1000</f>
        <v>0.15303359676039649</v>
      </c>
      <c r="D36" s="1068">
        <f>+D15/'7'!D$12*1000</f>
        <v>0.10470067241098505</v>
      </c>
      <c r="E36" s="1068">
        <f>+E15/'7'!$D$13*1000</f>
        <v>0.14963799116752163</v>
      </c>
      <c r="F36" s="1068">
        <f>+F15/'7'!$D$14*1000</f>
        <v>0.13284799532375058</v>
      </c>
      <c r="G36" s="1068">
        <f>+G15/'7'!$D$15*1000</f>
        <v>0.17270119689438193</v>
      </c>
      <c r="H36" s="1068">
        <f>+H15/'7'!$D$16*1000</f>
        <v>0.14113854233599146</v>
      </c>
      <c r="I36" s="1068">
        <f>+I15/'7'!$D$17*1000</f>
        <v>0.17250681768965659</v>
      </c>
      <c r="J36" s="1068">
        <f>+J15/'7'!$D$18*1000</f>
        <v>0.13040926775196157</v>
      </c>
      <c r="K36" s="1068">
        <f>+K15/'7'!$D$19*1000</f>
        <v>0.17160201203359107</v>
      </c>
      <c r="L36" s="1068">
        <f>+L15/'7'!$D$20*1000</f>
        <v>0.11998616630082649</v>
      </c>
    </row>
    <row r="37" spans="1:12" ht="18" customHeight="1">
      <c r="A37" s="245" t="s">
        <v>718</v>
      </c>
      <c r="B37" s="293" t="s">
        <v>719</v>
      </c>
      <c r="C37" s="1068">
        <f>+C16/'7'!D$11*1000</f>
        <v>0.1569575351388682</v>
      </c>
      <c r="D37" s="1068">
        <f>+D16/'7'!D$12*1000</f>
        <v>0.2210347528676351</v>
      </c>
      <c r="E37" s="1068">
        <f>+E16/'7'!$D$13*1000</f>
        <v>0.28392849606145132</v>
      </c>
      <c r="F37" s="1068">
        <f>+F16/'7'!$D$14*1000</f>
        <v>0.31503953176775135</v>
      </c>
      <c r="G37" s="1068">
        <f>+G16/'7'!$D$15*1000</f>
        <v>0.37543738455300424</v>
      </c>
      <c r="H37" s="1068">
        <f>+H16/'7'!$D$16*1000</f>
        <v>0.40113059400755458</v>
      </c>
      <c r="I37" s="1068">
        <f>+I16/'7'!$D$17*1000</f>
        <v>0.60927939864857428</v>
      </c>
      <c r="J37" s="1068">
        <f>+J16/'7'!$D$18*1000</f>
        <v>0.56148434726539009</v>
      </c>
      <c r="K37" s="1068">
        <f>+K16/'7'!$D$19*1000</f>
        <v>0.32890385639771624</v>
      </c>
      <c r="L37" s="1068">
        <f>+L16/'7'!$D$20*1000</f>
        <v>0.1835082543424405</v>
      </c>
    </row>
    <row r="38" spans="1:12" ht="18" customHeight="1">
      <c r="A38" s="245" t="s">
        <v>720</v>
      </c>
      <c r="B38" s="293" t="s">
        <v>721</v>
      </c>
      <c r="C38" s="1068">
        <f>+C17/'7'!D$11*1000</f>
        <v>0.27859962487149104</v>
      </c>
      <c r="D38" s="1068">
        <f>+D17/'7'!D$12*1000</f>
        <v>0.29471300382351345</v>
      </c>
      <c r="E38" s="1068">
        <f>+E17/'7'!$D$13*1000</f>
        <v>0.22253855096708347</v>
      </c>
      <c r="F38" s="1068">
        <f>+F17/'7'!$D$14*1000</f>
        <v>0.2998569037307513</v>
      </c>
      <c r="G38" s="1068">
        <f>+G17/'7'!$D$15*1000</f>
        <v>0.28157803841475321</v>
      </c>
      <c r="H38" s="1068">
        <f>+H17/'7'!$D$16*1000</f>
        <v>0.29341960117219273</v>
      </c>
      <c r="I38" s="1068">
        <f>+I17/'7'!$D$17*1000</f>
        <v>0.2642657632692611</v>
      </c>
      <c r="J38" s="1068">
        <f>+J17/'7'!$D$18*1000</f>
        <v>0.18836894230838894</v>
      </c>
      <c r="K38" s="1068">
        <f>+K17/'7'!$D$19*1000</f>
        <v>0.21807755695935535</v>
      </c>
      <c r="L38" s="1068">
        <f>+L17/'7'!$D$20*1000</f>
        <v>0.20115327879844441</v>
      </c>
    </row>
    <row r="39" spans="1:12" ht="18" customHeight="1">
      <c r="A39" s="245" t="s">
        <v>722</v>
      </c>
      <c r="B39" s="293" t="s">
        <v>723</v>
      </c>
      <c r="C39" s="1068">
        <f>+C18/'7'!D$11*1000</f>
        <v>6.2783014055547259E-2</v>
      </c>
      <c r="D39" s="1068">
        <f>+D18/'7'!D$12*1000</f>
        <v>5.4289237546436685E-2</v>
      </c>
      <c r="E39" s="1068">
        <f>+E18/'7'!$D$13*1000</f>
        <v>6.1389945094367855E-2</v>
      </c>
      <c r="F39" s="1068">
        <f>+F18/'7'!$D$14*1000</f>
        <v>4.934354112025021E-2</v>
      </c>
      <c r="G39" s="1068">
        <f>+G18/'7'!$D$15*1000</f>
        <v>5.2561233837420597E-2</v>
      </c>
      <c r="H39" s="1068">
        <f>+H18/'7'!$D$16*1000</f>
        <v>3.3427549500629553E-2</v>
      </c>
      <c r="I39" s="1068">
        <f>+I18/'7'!$D$17*1000</f>
        <v>3.6703578231841817E-2</v>
      </c>
      <c r="J39" s="1068">
        <f>+J18/'7'!$D$18*1000</f>
        <v>2.8979837278213683E-2</v>
      </c>
      <c r="K39" s="1068">
        <f>+K18/'7'!$D$19*1000</f>
        <v>4.2900503008397768E-2</v>
      </c>
      <c r="L39" s="1068">
        <f>+L18/'7'!$D$20*1000</f>
        <v>2.8232039129606232E-2</v>
      </c>
    </row>
    <row r="40" spans="1:12" ht="18" customHeight="1">
      <c r="A40" s="245" t="s">
        <v>724</v>
      </c>
      <c r="B40" s="293" t="s">
        <v>725</v>
      </c>
      <c r="C40" s="1068">
        <f>+C19/'7'!D$11*1000</f>
        <v>3.9239383784717051E-2</v>
      </c>
      <c r="D40" s="1068">
        <f>+D19/'7'!D$12*1000</f>
        <v>6.5922645592101689E-2</v>
      </c>
      <c r="E40" s="1068">
        <f>+E19/'7'!$D$13*1000</f>
        <v>1.5347486273591964E-2</v>
      </c>
      <c r="F40" s="1068">
        <f>+F19/'7'!$D$14*1000</f>
        <v>7.2117483175750299E-2</v>
      </c>
      <c r="G40" s="1068">
        <f>+G19/'7'!$D$15*1000</f>
        <v>3.7543738455300422E-2</v>
      </c>
      <c r="H40" s="1068">
        <f>+H19/'7'!$D$16*1000</f>
        <v>2.2285033000419702E-2</v>
      </c>
      <c r="I40" s="1068">
        <f>+I19/'7'!$D$17*1000</f>
        <v>2.2022146939105092E-2</v>
      </c>
      <c r="J40" s="1068">
        <f>+J19/'7'!$D$18*1000</f>
        <v>2.8979837278213683E-2</v>
      </c>
      <c r="K40" s="1068">
        <f>+K19/'7'!$D$19*1000</f>
        <v>3.2175377256298335E-2</v>
      </c>
      <c r="L40" s="1068">
        <f>+L19/'7'!$D$20*1000</f>
        <v>3.1761044020807018E-2</v>
      </c>
    </row>
    <row r="41" spans="1:12" ht="18" customHeight="1">
      <c r="A41" s="245" t="s">
        <v>1660</v>
      </c>
      <c r="B41" s="293" t="s">
        <v>1662</v>
      </c>
      <c r="C41" s="1068"/>
      <c r="D41" s="1068"/>
      <c r="E41" s="1068"/>
      <c r="F41" s="1068"/>
      <c r="G41" s="1068"/>
      <c r="H41" s="1068"/>
      <c r="I41" s="1068"/>
      <c r="J41" s="1068"/>
      <c r="K41" s="1068"/>
      <c r="L41" s="1068">
        <f>+L20/'7'!$D$20*1000</f>
        <v>0.6211048608513372</v>
      </c>
    </row>
    <row r="42" spans="1:12" ht="18" customHeight="1">
      <c r="A42" s="245" t="s">
        <v>1661</v>
      </c>
      <c r="B42" s="293" t="s">
        <v>1663</v>
      </c>
      <c r="C42" s="1068"/>
      <c r="D42" s="1068"/>
      <c r="E42" s="1068"/>
      <c r="F42" s="1068"/>
      <c r="G42" s="1068"/>
      <c r="H42" s="1068"/>
      <c r="I42" s="1068"/>
      <c r="J42" s="1068"/>
      <c r="K42" s="1068"/>
      <c r="L42" s="1068">
        <f>+L21/'7'!$D$20*1000</f>
        <v>0.22938531792805064</v>
      </c>
    </row>
    <row r="43" spans="1:12" ht="18" customHeight="1">
      <c r="A43" s="293"/>
      <c r="B43" s="293" t="s">
        <v>481</v>
      </c>
      <c r="C43" s="1068">
        <f>+C22/'7'!D$11*1000</f>
        <v>0.42378534487494407</v>
      </c>
      <c r="D43" s="1068">
        <f>+D22/'7'!D$12*1000</f>
        <v>0.46921412450848848</v>
      </c>
      <c r="E43" s="1068">
        <f>+E22/'7'!$D$13*1000</f>
        <v>0.29543911076664531</v>
      </c>
      <c r="F43" s="1068">
        <f>+F22/'7'!$D$14*1000</f>
        <v>0.41752227101750178</v>
      </c>
      <c r="G43" s="1068">
        <f>+G22/'7'!$D$15*1000</f>
        <v>0.44301611377254502</v>
      </c>
      <c r="H43" s="1068">
        <f>+H22/'7'!$D$16*1000</f>
        <v>0.38998807750734482</v>
      </c>
      <c r="I43" s="1068">
        <f>+I22/'7'!$D$17*1000</f>
        <v>0.42209114966618094</v>
      </c>
      <c r="J43" s="1068">
        <f>+J22/'7'!$D$18*1000</f>
        <v>0.4745448354307491</v>
      </c>
      <c r="K43" s="1068">
        <f>+K22/'7'!$D$19*1000</f>
        <v>0.44688023967081014</v>
      </c>
      <c r="L43" s="1068">
        <f>+L22/'7'!$D$20*1000</f>
        <v>0.55052476302732156</v>
      </c>
    </row>
    <row r="44" spans="1:12" ht="18" customHeight="1">
      <c r="A44" s="296"/>
      <c r="B44" s="296" t="s">
        <v>517</v>
      </c>
      <c r="C44" s="1069">
        <f>+C23/'7'!D$11*1000</f>
        <v>5.740721847704104</v>
      </c>
      <c r="D44" s="1070">
        <f>+D23/'7'!D$12*1000</f>
        <v>5.7740481933317307</v>
      </c>
      <c r="E44" s="1070">
        <f>+E23/'7'!$D$13*1000</f>
        <v>5.6018324898610672</v>
      </c>
      <c r="F44" s="1070">
        <f>+F23/'7'!$D$14*1000</f>
        <v>6.4753908577805275</v>
      </c>
      <c r="G44" s="1070">
        <f>+G23/'7'!$D$15*1000</f>
        <v>5.901875685173227</v>
      </c>
      <c r="H44" s="1070">
        <f>+H23/'7'!$D$16*1000</f>
        <v>5.9166762616114301</v>
      </c>
      <c r="I44" s="1070">
        <f>+I23/'7'!$D$17*1000</f>
        <v>6.1808825742421627</v>
      </c>
      <c r="J44" s="1070">
        <f>+J23/'7'!$D$18*1000</f>
        <v>5.8321922522405032</v>
      </c>
      <c r="K44" s="1070">
        <f>+K23/'7'!$D$19*1000</f>
        <v>6.1097466367793158</v>
      </c>
      <c r="L44" s="1070">
        <f>+L23/'7'!$D$20*1000</f>
        <v>6.913320581862326</v>
      </c>
    </row>
    <row r="45" spans="1:12" ht="18" customHeight="1">
      <c r="A45" s="300"/>
      <c r="B45" s="300"/>
      <c r="C45" s="1072"/>
      <c r="D45" s="1072"/>
      <c r="E45" s="1072"/>
      <c r="F45" s="1072"/>
      <c r="G45" s="1072"/>
      <c r="H45" s="1072"/>
      <c r="I45" s="1072"/>
      <c r="J45" s="1072"/>
      <c r="K45" s="1072"/>
      <c r="L45" s="1072"/>
    </row>
    <row r="52" spans="9:9" ht="14.4">
      <c r="I52" s="1071"/>
    </row>
    <row r="76" spans="2:2">
      <c r="B76" s="2"/>
    </row>
  </sheetData>
  <mergeCells count="4">
    <mergeCell ref="A25:L25"/>
    <mergeCell ref="A1:L1"/>
    <mergeCell ref="A3:L3"/>
    <mergeCell ref="A4:L4"/>
  </mergeCells>
  <pageMargins left="0.98425196850393704" right="0.75" top="0.98425196850393704" bottom="0.99" header="0.51181102362204722" footer="0.51181102362204722"/>
  <pageSetup paperSize="5" scale="85"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G12"/>
  <sheetViews>
    <sheetView showGridLines="0" zoomScaleNormal="100" workbookViewId="0">
      <selection activeCell="H135" sqref="H135"/>
    </sheetView>
  </sheetViews>
  <sheetFormatPr baseColWidth="10" defaultRowHeight="13.2"/>
  <sheetData>
    <row r="5" spans="1:7">
      <c r="F5" s="170"/>
    </row>
    <row r="10" spans="1:7">
      <c r="A10" s="175"/>
      <c r="B10" s="175"/>
      <c r="C10" s="175"/>
      <c r="D10" s="175"/>
      <c r="E10" s="175"/>
      <c r="F10" s="1"/>
      <c r="G10" s="1"/>
    </row>
    <row r="11" spans="1:7">
      <c r="A11" s="2"/>
      <c r="B11" s="2"/>
      <c r="C11" s="2"/>
      <c r="D11" s="2"/>
      <c r="E11" s="2"/>
    </row>
    <row r="12" spans="1:7">
      <c r="A12" s="2"/>
      <c r="B12" s="2"/>
      <c r="C12" s="2"/>
      <c r="D12" s="2"/>
      <c r="E12" s="2"/>
    </row>
  </sheetData>
  <printOptions gridLinesSet="0"/>
  <pageMargins left="0.98425196850393704" right="0.78740157480314965" top="2.3622047244094491" bottom="0.98425196850393704" header="0.51181102362204722" footer="0.51181102362204722"/>
  <pageSetup paperSize="9" scale="65"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
  <sheetViews>
    <sheetView zoomScaleNormal="100" workbookViewId="0">
      <selection activeCell="A21" sqref="A21:B22"/>
    </sheetView>
  </sheetViews>
  <sheetFormatPr baseColWidth="10" defaultRowHeight="13.2"/>
  <cols>
    <col min="1" max="1" width="9" customWidth="1"/>
    <col min="2" max="2" width="27.21875" customWidth="1"/>
    <col min="3" max="4" width="9.77734375" customWidth="1"/>
    <col min="5" max="5" width="9.21875" customWidth="1"/>
    <col min="6" max="6" width="10" customWidth="1"/>
    <col min="7" max="7" width="10.21875" customWidth="1"/>
    <col min="8" max="8" width="10" customWidth="1"/>
    <col min="9" max="10" width="9.77734375" customWidth="1"/>
    <col min="11" max="11" width="10" customWidth="1"/>
    <col min="12" max="12" width="9" customWidth="1"/>
    <col min="13" max="13" width="8.5546875" customWidth="1"/>
    <col min="14" max="14" width="9.21875" customWidth="1"/>
    <col min="15" max="18" width="10.21875" customWidth="1"/>
    <col min="19" max="19" width="8.44140625" customWidth="1"/>
    <col min="20" max="20" width="8.77734375" customWidth="1"/>
    <col min="21" max="21" width="9.21875" style="302" customWidth="1"/>
  </cols>
  <sheetData>
    <row r="1" spans="1:21">
      <c r="A1" s="1585" t="s">
        <v>744</v>
      </c>
      <c r="B1" s="1585"/>
      <c r="C1" s="1585"/>
      <c r="D1" s="1585"/>
      <c r="E1" s="1585"/>
      <c r="F1" s="1585"/>
      <c r="G1" s="1585"/>
      <c r="H1" s="1585"/>
      <c r="I1" s="1585"/>
      <c r="J1" s="1585"/>
      <c r="K1" s="1585"/>
      <c r="L1" s="1585"/>
      <c r="M1" s="1585"/>
      <c r="N1" s="1585"/>
      <c r="O1" s="1585"/>
      <c r="P1" s="1585"/>
      <c r="Q1" s="1585"/>
      <c r="R1" s="1585"/>
      <c r="S1" s="1585"/>
      <c r="T1" s="1585"/>
    </row>
    <row r="2" spans="1:21">
      <c r="A2" s="114"/>
      <c r="B2" s="114"/>
      <c r="C2" s="114"/>
      <c r="D2" s="114"/>
      <c r="E2" s="114"/>
      <c r="F2" s="114"/>
      <c r="G2" s="114"/>
      <c r="H2" s="81"/>
      <c r="I2" s="81"/>
      <c r="J2" s="81"/>
      <c r="K2" s="81"/>
      <c r="L2" s="81"/>
      <c r="M2" s="81"/>
      <c r="N2" s="81"/>
      <c r="O2" s="303"/>
      <c r="P2" s="303"/>
      <c r="Q2" s="303"/>
      <c r="R2" s="303"/>
      <c r="S2" s="303"/>
      <c r="T2" s="303"/>
    </row>
    <row r="3" spans="1:21">
      <c r="A3" s="1585" t="str">
        <f>+'27'!A3</f>
        <v>SERVICIO DE SALUD   ACONCAGUA   2020</v>
      </c>
      <c r="B3" s="1585"/>
      <c r="C3" s="1585"/>
      <c r="D3" s="1585"/>
      <c r="E3" s="1585"/>
      <c r="F3" s="1585"/>
      <c r="G3" s="1585"/>
      <c r="H3" s="1585"/>
      <c r="I3" s="1585"/>
      <c r="J3" s="1585"/>
      <c r="K3" s="1585"/>
      <c r="L3" s="1585"/>
      <c r="M3" s="1585"/>
      <c r="N3" s="1585"/>
      <c r="O3" s="1585"/>
      <c r="P3" s="1585"/>
      <c r="Q3" s="1585"/>
      <c r="R3" s="1585"/>
      <c r="S3" s="1585"/>
      <c r="T3" s="1585"/>
    </row>
    <row r="4" spans="1:21">
      <c r="A4" s="1585" t="s">
        <v>679</v>
      </c>
      <c r="B4" s="1585"/>
      <c r="C4" s="1585"/>
      <c r="D4" s="1585"/>
      <c r="E4" s="1585"/>
      <c r="F4" s="1585"/>
      <c r="G4" s="1585"/>
      <c r="H4" s="1585"/>
      <c r="I4" s="1585"/>
      <c r="J4" s="1585"/>
      <c r="K4" s="1585"/>
      <c r="L4" s="1585"/>
      <c r="M4" s="1585"/>
      <c r="N4" s="1585"/>
      <c r="O4" s="1585"/>
      <c r="P4" s="1585"/>
      <c r="Q4" s="1585"/>
      <c r="R4" s="1585"/>
      <c r="S4" s="1585"/>
      <c r="T4" s="1585"/>
    </row>
    <row r="5" spans="1:21">
      <c r="A5" s="301"/>
      <c r="B5" s="301"/>
      <c r="C5" s="301"/>
      <c r="D5" s="301"/>
      <c r="E5" s="301"/>
      <c r="F5" s="301"/>
      <c r="G5" s="301"/>
      <c r="H5" s="301"/>
      <c r="I5" s="301"/>
      <c r="J5" s="301"/>
      <c r="K5" s="301"/>
      <c r="L5" s="301"/>
      <c r="M5" s="301"/>
      <c r="N5" s="301"/>
      <c r="O5" s="301"/>
      <c r="P5" s="301"/>
      <c r="Q5" s="301"/>
      <c r="R5" s="301"/>
      <c r="S5" s="301"/>
      <c r="T5" s="301"/>
    </row>
    <row r="6" spans="1:21">
      <c r="A6" s="285"/>
    </row>
    <row r="7" spans="1:21">
      <c r="A7" s="285"/>
    </row>
    <row r="8" spans="1:21" ht="19.5" customHeight="1">
      <c r="A8" s="286" t="s">
        <v>680</v>
      </c>
      <c r="B8" s="1586" t="s">
        <v>683</v>
      </c>
      <c r="C8" s="1575" t="s">
        <v>917</v>
      </c>
      <c r="D8" s="1576"/>
      <c r="E8" s="1576"/>
      <c r="F8" s="1576"/>
      <c r="G8" s="1576"/>
      <c r="H8" s="1576"/>
      <c r="I8" s="1576"/>
      <c r="J8" s="1576"/>
      <c r="K8" s="1576"/>
      <c r="L8" s="1576"/>
      <c r="M8" s="1576"/>
      <c r="N8" s="1576"/>
      <c r="O8" s="1576"/>
      <c r="P8" s="1576"/>
      <c r="Q8" s="1576"/>
      <c r="R8" s="1576"/>
      <c r="S8" s="1576"/>
      <c r="T8" s="1577"/>
    </row>
    <row r="9" spans="1:21" s="6" customFormat="1" ht="23.25" customHeight="1">
      <c r="A9" s="305" t="s">
        <v>682</v>
      </c>
      <c r="B9" s="1587"/>
      <c r="C9" s="306" t="s">
        <v>745</v>
      </c>
      <c r="D9" s="307" t="s">
        <v>746</v>
      </c>
      <c r="E9" s="307" t="s">
        <v>747</v>
      </c>
      <c r="F9" s="307" t="s">
        <v>748</v>
      </c>
      <c r="G9" s="307" t="s">
        <v>749</v>
      </c>
      <c r="H9" s="307" t="s">
        <v>750</v>
      </c>
      <c r="I9" s="307" t="s">
        <v>751</v>
      </c>
      <c r="J9" s="307" t="s">
        <v>752</v>
      </c>
      <c r="K9" s="307" t="s">
        <v>753</v>
      </c>
      <c r="L9" s="307" t="s">
        <v>754</v>
      </c>
      <c r="M9" s="307" t="s">
        <v>755</v>
      </c>
      <c r="N9" s="307" t="s">
        <v>756</v>
      </c>
      <c r="O9" s="307" t="s">
        <v>757</v>
      </c>
      <c r="P9" s="307" t="s">
        <v>758</v>
      </c>
      <c r="Q9" s="307" t="s">
        <v>759</v>
      </c>
      <c r="R9" s="307" t="s">
        <v>760</v>
      </c>
      <c r="S9" s="307" t="s">
        <v>508</v>
      </c>
      <c r="T9" s="308" t="s">
        <v>517</v>
      </c>
      <c r="U9" s="309"/>
    </row>
    <row r="10" spans="1:21" s="6" customFormat="1" ht="25.5" customHeight="1">
      <c r="A10" s="245" t="s">
        <v>691</v>
      </c>
      <c r="B10" s="293" t="s">
        <v>692</v>
      </c>
      <c r="C10" s="310">
        <f t="shared" ref="C10:C22" si="0">+C45*79</f>
        <v>0</v>
      </c>
      <c r="D10" s="310">
        <f t="shared" ref="D10:D22" si="1">+D45*72.5</f>
        <v>0</v>
      </c>
      <c r="E10" s="310">
        <f>+E45*67.5</f>
        <v>0</v>
      </c>
      <c r="F10" s="310">
        <f t="shared" ref="F10:F22" si="2">+F45*62.5</f>
        <v>0</v>
      </c>
      <c r="G10" s="310">
        <f t="shared" ref="G10:G22" si="3">+G45*57.5</f>
        <v>115</v>
      </c>
      <c r="H10" s="310">
        <f t="shared" ref="H10:H22" si="4">+H45*52.5</f>
        <v>105</v>
      </c>
      <c r="I10" s="310">
        <f t="shared" ref="I10:I22" si="5">+I45*47.5</f>
        <v>47.5</v>
      </c>
      <c r="J10" s="310">
        <f t="shared" ref="J10:J22" si="6">+J45*42.5</f>
        <v>212.5</v>
      </c>
      <c r="K10" s="310">
        <f t="shared" ref="K10:K22" si="7">+K45*37.5</f>
        <v>75</v>
      </c>
      <c r="L10" s="310">
        <f t="shared" ref="L10:L22" si="8">+L45*32.5</f>
        <v>292.5</v>
      </c>
      <c r="M10" s="310">
        <f t="shared" ref="M10:M22" si="9">+M45*27.5</f>
        <v>357.5</v>
      </c>
      <c r="N10" s="310">
        <f t="shared" ref="N10:N22" si="10">+N45*22.5</f>
        <v>607.5</v>
      </c>
      <c r="O10" s="310">
        <f t="shared" ref="O10:O22" si="11">+O45*17.5</f>
        <v>630</v>
      </c>
      <c r="P10" s="311">
        <f t="shared" ref="P10:P22" si="12">+P45*12.5</f>
        <v>600</v>
      </c>
      <c r="Q10" s="311">
        <f t="shared" ref="Q10:Q22" si="13">+Q45*7.5</f>
        <v>420</v>
      </c>
      <c r="R10" s="311">
        <f t="shared" ref="R10:R22" si="14">+R45*2.5</f>
        <v>195</v>
      </c>
      <c r="S10" s="311">
        <f t="shared" ref="S10:S22" si="15">+S45*0</f>
        <v>0</v>
      </c>
      <c r="T10" s="628">
        <f>SUM(C10:S10)</f>
        <v>3657.5</v>
      </c>
      <c r="U10" s="309"/>
    </row>
    <row r="11" spans="1:21" s="6" customFormat="1" ht="25.5" customHeight="1">
      <c r="A11" s="245" t="s">
        <v>693</v>
      </c>
      <c r="B11" s="293" t="s">
        <v>694</v>
      </c>
      <c r="C11" s="310">
        <f t="shared" si="0"/>
        <v>0</v>
      </c>
      <c r="D11" s="310">
        <f t="shared" si="1"/>
        <v>0</v>
      </c>
      <c r="E11" s="310">
        <f t="shared" ref="E11:E22" si="16">+E46*67.5</f>
        <v>0</v>
      </c>
      <c r="F11" s="310">
        <f t="shared" si="2"/>
        <v>62.5</v>
      </c>
      <c r="G11" s="310">
        <f t="shared" si="3"/>
        <v>115</v>
      </c>
      <c r="H11" s="310">
        <f t="shared" si="4"/>
        <v>157.5</v>
      </c>
      <c r="I11" s="310">
        <f t="shared" si="5"/>
        <v>190</v>
      </c>
      <c r="J11" s="310">
        <f t="shared" si="6"/>
        <v>170</v>
      </c>
      <c r="K11" s="310">
        <f t="shared" si="7"/>
        <v>300</v>
      </c>
      <c r="L11" s="310">
        <f t="shared" si="8"/>
        <v>455</v>
      </c>
      <c r="M11" s="310">
        <f t="shared" si="9"/>
        <v>825</v>
      </c>
      <c r="N11" s="310">
        <f t="shared" si="10"/>
        <v>697.5</v>
      </c>
      <c r="O11" s="310">
        <f t="shared" si="11"/>
        <v>717.5</v>
      </c>
      <c r="P11" s="310">
        <f t="shared" si="12"/>
        <v>450</v>
      </c>
      <c r="Q11" s="310">
        <f t="shared" si="13"/>
        <v>427.5</v>
      </c>
      <c r="R11" s="310">
        <f t="shared" si="14"/>
        <v>162.5</v>
      </c>
      <c r="S11" s="311">
        <f t="shared" si="15"/>
        <v>0</v>
      </c>
      <c r="T11" s="1006">
        <f>SUM(C11:S11)</f>
        <v>4730</v>
      </c>
      <c r="U11" s="309"/>
    </row>
    <row r="12" spans="1:21" s="6" customFormat="1" ht="25.5" customHeight="1">
      <c r="A12" s="245" t="s">
        <v>695</v>
      </c>
      <c r="B12" s="293" t="s">
        <v>696</v>
      </c>
      <c r="C12" s="310">
        <f t="shared" si="0"/>
        <v>79</v>
      </c>
      <c r="D12" s="310">
        <f t="shared" si="1"/>
        <v>0</v>
      </c>
      <c r="E12" s="310">
        <f t="shared" si="16"/>
        <v>0</v>
      </c>
      <c r="F12" s="310">
        <f t="shared" si="2"/>
        <v>0</v>
      </c>
      <c r="G12" s="310">
        <f t="shared" si="3"/>
        <v>0</v>
      </c>
      <c r="H12" s="310">
        <f t="shared" si="4"/>
        <v>0</v>
      </c>
      <c r="I12" s="310">
        <f t="shared" si="5"/>
        <v>0</v>
      </c>
      <c r="J12" s="310">
        <f t="shared" si="6"/>
        <v>0</v>
      </c>
      <c r="K12" s="310">
        <f t="shared" si="7"/>
        <v>75</v>
      </c>
      <c r="L12" s="310">
        <f t="shared" si="8"/>
        <v>65</v>
      </c>
      <c r="M12" s="310">
        <f t="shared" si="9"/>
        <v>165</v>
      </c>
      <c r="N12" s="310">
        <f t="shared" si="10"/>
        <v>67.5</v>
      </c>
      <c r="O12" s="310">
        <f t="shared" si="11"/>
        <v>105</v>
      </c>
      <c r="P12" s="311">
        <f t="shared" si="12"/>
        <v>175</v>
      </c>
      <c r="Q12" s="311">
        <f t="shared" si="13"/>
        <v>75</v>
      </c>
      <c r="R12" s="311">
        <f t="shared" si="14"/>
        <v>50</v>
      </c>
      <c r="S12" s="311">
        <f t="shared" si="15"/>
        <v>0</v>
      </c>
      <c r="T12" s="628">
        <f>SUM(C12:S12)</f>
        <v>856.5</v>
      </c>
      <c r="U12" s="309"/>
    </row>
    <row r="13" spans="1:21" s="6" customFormat="1" ht="25.5" customHeight="1">
      <c r="A13" s="245" t="s">
        <v>710</v>
      </c>
      <c r="B13" s="293" t="s">
        <v>711</v>
      </c>
      <c r="C13" s="310">
        <f t="shared" si="0"/>
        <v>158</v>
      </c>
      <c r="D13" s="310">
        <f t="shared" si="1"/>
        <v>145</v>
      </c>
      <c r="E13" s="310">
        <f t="shared" si="16"/>
        <v>67.5</v>
      </c>
      <c r="F13" s="310">
        <f t="shared" si="2"/>
        <v>375</v>
      </c>
      <c r="G13" s="310">
        <f t="shared" si="3"/>
        <v>575</v>
      </c>
      <c r="H13" s="310">
        <f t="shared" si="4"/>
        <v>315</v>
      </c>
      <c r="I13" s="310">
        <f t="shared" si="5"/>
        <v>237.5</v>
      </c>
      <c r="J13" s="310">
        <f t="shared" si="6"/>
        <v>382.5</v>
      </c>
      <c r="K13" s="310">
        <f t="shared" si="7"/>
        <v>187.5</v>
      </c>
      <c r="L13" s="310">
        <f t="shared" si="8"/>
        <v>195</v>
      </c>
      <c r="M13" s="310">
        <f t="shared" si="9"/>
        <v>165</v>
      </c>
      <c r="N13" s="310">
        <f t="shared" si="10"/>
        <v>22.5</v>
      </c>
      <c r="O13" s="310">
        <f t="shared" si="11"/>
        <v>192.5</v>
      </c>
      <c r="P13" s="311">
        <f t="shared" si="12"/>
        <v>37.5</v>
      </c>
      <c r="Q13" s="311">
        <f t="shared" si="13"/>
        <v>37.5</v>
      </c>
      <c r="R13" s="311">
        <f t="shared" si="14"/>
        <v>7.5</v>
      </c>
      <c r="S13" s="311">
        <f t="shared" si="15"/>
        <v>0</v>
      </c>
      <c r="T13" s="1006">
        <f>SUM(C13:S13)</f>
        <v>3100.5</v>
      </c>
      <c r="U13" s="309"/>
    </row>
    <row r="14" spans="1:21" s="6" customFormat="1" ht="25.5" customHeight="1">
      <c r="A14" s="245" t="s">
        <v>712</v>
      </c>
      <c r="B14" s="293" t="s">
        <v>713</v>
      </c>
      <c r="C14" s="310">
        <f t="shared" si="0"/>
        <v>0</v>
      </c>
      <c r="D14" s="310">
        <f t="shared" si="1"/>
        <v>0</v>
      </c>
      <c r="E14" s="310">
        <f t="shared" si="16"/>
        <v>0</v>
      </c>
      <c r="F14" s="310">
        <f t="shared" si="2"/>
        <v>0</v>
      </c>
      <c r="G14" s="310">
        <f t="shared" si="3"/>
        <v>57.5</v>
      </c>
      <c r="H14" s="310">
        <f t="shared" si="4"/>
        <v>0</v>
      </c>
      <c r="I14" s="310">
        <f t="shared" si="5"/>
        <v>0</v>
      </c>
      <c r="J14" s="310">
        <f t="shared" si="6"/>
        <v>85</v>
      </c>
      <c r="K14" s="310">
        <f t="shared" si="7"/>
        <v>0</v>
      </c>
      <c r="L14" s="310">
        <f t="shared" si="8"/>
        <v>162.5</v>
      </c>
      <c r="M14" s="310">
        <f t="shared" si="9"/>
        <v>165</v>
      </c>
      <c r="N14" s="310">
        <f t="shared" si="10"/>
        <v>337.5</v>
      </c>
      <c r="O14" s="310">
        <f t="shared" si="11"/>
        <v>157.5</v>
      </c>
      <c r="P14" s="311">
        <f t="shared" si="12"/>
        <v>112.5</v>
      </c>
      <c r="Q14" s="311">
        <f t="shared" si="13"/>
        <v>82.5</v>
      </c>
      <c r="R14" s="311">
        <f t="shared" si="14"/>
        <v>30</v>
      </c>
      <c r="S14" s="311">
        <f t="shared" si="15"/>
        <v>0</v>
      </c>
      <c r="T14" s="628">
        <f>SUM(C14:S14)</f>
        <v>1190</v>
      </c>
      <c r="U14" s="309"/>
    </row>
    <row r="15" spans="1:21" s="6" customFormat="1" ht="25.5" customHeight="1">
      <c r="A15" s="245" t="s">
        <v>714</v>
      </c>
      <c r="B15" s="293" t="s">
        <v>715</v>
      </c>
      <c r="C15" s="310">
        <f t="shared" si="0"/>
        <v>0</v>
      </c>
      <c r="D15" s="310">
        <f t="shared" si="1"/>
        <v>0</v>
      </c>
      <c r="E15" s="310">
        <f t="shared" si="16"/>
        <v>0</v>
      </c>
      <c r="F15" s="310">
        <f t="shared" si="2"/>
        <v>0</v>
      </c>
      <c r="G15" s="310">
        <f t="shared" si="3"/>
        <v>0</v>
      </c>
      <c r="H15" s="310">
        <f t="shared" si="4"/>
        <v>0</v>
      </c>
      <c r="I15" s="310">
        <f t="shared" si="5"/>
        <v>0</v>
      </c>
      <c r="J15" s="310">
        <f t="shared" si="6"/>
        <v>0</v>
      </c>
      <c r="K15" s="310">
        <f t="shared" si="7"/>
        <v>0</v>
      </c>
      <c r="L15" s="310">
        <f t="shared" si="8"/>
        <v>0</v>
      </c>
      <c r="M15" s="310">
        <f t="shared" si="9"/>
        <v>55</v>
      </c>
      <c r="N15" s="310">
        <f t="shared" si="10"/>
        <v>22.5</v>
      </c>
      <c r="O15" s="310">
        <f t="shared" si="11"/>
        <v>70</v>
      </c>
      <c r="P15" s="311">
        <f t="shared" si="12"/>
        <v>75</v>
      </c>
      <c r="Q15" s="311">
        <f t="shared" si="13"/>
        <v>90</v>
      </c>
      <c r="R15" s="311">
        <f t="shared" si="14"/>
        <v>12.5</v>
      </c>
      <c r="S15" s="311">
        <f t="shared" si="15"/>
        <v>0</v>
      </c>
      <c r="T15" s="628">
        <f t="shared" ref="T15:T20" si="17">SUM(C15:S15)</f>
        <v>325</v>
      </c>
      <c r="U15" s="309"/>
    </row>
    <row r="16" spans="1:21" s="6" customFormat="1" ht="25.5" customHeight="1">
      <c r="A16" s="245" t="s">
        <v>716</v>
      </c>
      <c r="B16" s="293" t="s">
        <v>717</v>
      </c>
      <c r="C16" s="310">
        <f t="shared" si="0"/>
        <v>0</v>
      </c>
      <c r="D16" s="310">
        <f t="shared" si="1"/>
        <v>0</v>
      </c>
      <c r="E16" s="310">
        <f t="shared" si="16"/>
        <v>0</v>
      </c>
      <c r="F16" s="310">
        <f t="shared" si="2"/>
        <v>0</v>
      </c>
      <c r="G16" s="310">
        <f t="shared" si="3"/>
        <v>0</v>
      </c>
      <c r="H16" s="310">
        <f t="shared" si="4"/>
        <v>0</v>
      </c>
      <c r="I16" s="310">
        <f t="shared" si="5"/>
        <v>47.5</v>
      </c>
      <c r="J16" s="310">
        <f t="shared" si="6"/>
        <v>42.5</v>
      </c>
      <c r="K16" s="310">
        <f t="shared" si="7"/>
        <v>37.5</v>
      </c>
      <c r="L16" s="310">
        <f t="shared" si="8"/>
        <v>32.5</v>
      </c>
      <c r="M16" s="310">
        <f t="shared" si="9"/>
        <v>55</v>
      </c>
      <c r="N16" s="310">
        <f t="shared" si="10"/>
        <v>0</v>
      </c>
      <c r="O16" s="310">
        <f t="shared" si="11"/>
        <v>70</v>
      </c>
      <c r="P16" s="311">
        <f t="shared" si="12"/>
        <v>25</v>
      </c>
      <c r="Q16" s="311">
        <f t="shared" si="13"/>
        <v>37.5</v>
      </c>
      <c r="R16" s="311">
        <f t="shared" si="14"/>
        <v>12.5</v>
      </c>
      <c r="S16" s="311">
        <f t="shared" si="15"/>
        <v>0</v>
      </c>
      <c r="T16" s="628">
        <f t="shared" si="17"/>
        <v>360</v>
      </c>
      <c r="U16" s="309"/>
    </row>
    <row r="17" spans="1:22" s="6" customFormat="1" ht="25.5" customHeight="1">
      <c r="A17" s="245" t="s">
        <v>718</v>
      </c>
      <c r="B17" s="293" t="s">
        <v>738</v>
      </c>
      <c r="C17" s="310">
        <f t="shared" si="0"/>
        <v>0</v>
      </c>
      <c r="D17" s="310">
        <f t="shared" si="1"/>
        <v>0</v>
      </c>
      <c r="E17" s="310">
        <f t="shared" si="16"/>
        <v>0</v>
      </c>
      <c r="F17" s="310">
        <f t="shared" si="2"/>
        <v>0</v>
      </c>
      <c r="G17" s="310">
        <f t="shared" si="3"/>
        <v>57.5</v>
      </c>
      <c r="H17" s="310">
        <f t="shared" si="4"/>
        <v>52.5</v>
      </c>
      <c r="I17" s="310">
        <f t="shared" si="5"/>
        <v>95</v>
      </c>
      <c r="J17" s="310">
        <f t="shared" si="6"/>
        <v>0</v>
      </c>
      <c r="K17" s="310">
        <f t="shared" si="7"/>
        <v>0</v>
      </c>
      <c r="L17" s="310">
        <f t="shared" si="8"/>
        <v>65</v>
      </c>
      <c r="M17" s="310">
        <f t="shared" si="9"/>
        <v>27.5</v>
      </c>
      <c r="N17" s="310">
        <f t="shared" si="10"/>
        <v>22.5</v>
      </c>
      <c r="O17" s="310">
        <f t="shared" si="11"/>
        <v>35</v>
      </c>
      <c r="P17" s="311">
        <f t="shared" si="12"/>
        <v>37.5</v>
      </c>
      <c r="Q17" s="311">
        <f t="shared" si="13"/>
        <v>37.5</v>
      </c>
      <c r="R17" s="311">
        <f t="shared" si="14"/>
        <v>12.5</v>
      </c>
      <c r="S17" s="311">
        <f t="shared" si="15"/>
        <v>0</v>
      </c>
      <c r="T17" s="628">
        <f t="shared" si="17"/>
        <v>442.5</v>
      </c>
      <c r="U17" s="309"/>
    </row>
    <row r="18" spans="1:22" s="6" customFormat="1" ht="25.5" customHeight="1">
      <c r="A18" s="245" t="s">
        <v>720</v>
      </c>
      <c r="B18" s="293" t="s">
        <v>721</v>
      </c>
      <c r="C18" s="310">
        <f t="shared" si="0"/>
        <v>0</v>
      </c>
      <c r="D18" s="310">
        <f t="shared" si="1"/>
        <v>0</v>
      </c>
      <c r="E18" s="310">
        <f t="shared" si="16"/>
        <v>0</v>
      </c>
      <c r="F18" s="310">
        <f t="shared" si="2"/>
        <v>0</v>
      </c>
      <c r="G18" s="310">
        <f t="shared" si="3"/>
        <v>0</v>
      </c>
      <c r="H18" s="310">
        <f t="shared" si="4"/>
        <v>0</v>
      </c>
      <c r="I18" s="310">
        <f t="shared" si="5"/>
        <v>0</v>
      </c>
      <c r="J18" s="310">
        <f t="shared" si="6"/>
        <v>42.5</v>
      </c>
      <c r="K18" s="310">
        <f t="shared" si="7"/>
        <v>37.5</v>
      </c>
      <c r="L18" s="310">
        <f t="shared" si="8"/>
        <v>32.5</v>
      </c>
      <c r="M18" s="310">
        <f t="shared" si="9"/>
        <v>55</v>
      </c>
      <c r="N18" s="310">
        <f t="shared" si="10"/>
        <v>135</v>
      </c>
      <c r="O18" s="310">
        <f t="shared" si="11"/>
        <v>52.5</v>
      </c>
      <c r="P18" s="311">
        <f t="shared" si="12"/>
        <v>75</v>
      </c>
      <c r="Q18" s="311">
        <f t="shared" si="13"/>
        <v>82.5</v>
      </c>
      <c r="R18" s="311">
        <f t="shared" si="14"/>
        <v>15</v>
      </c>
      <c r="S18" s="311">
        <f t="shared" si="15"/>
        <v>0</v>
      </c>
      <c r="T18" s="628">
        <f t="shared" si="17"/>
        <v>527.5</v>
      </c>
      <c r="U18" s="309"/>
    </row>
    <row r="19" spans="1:22" s="6" customFormat="1" ht="25.5" customHeight="1">
      <c r="A19" s="880" t="s">
        <v>208</v>
      </c>
      <c r="B19" s="881" t="s">
        <v>209</v>
      </c>
      <c r="C19" s="310">
        <f t="shared" si="0"/>
        <v>0</v>
      </c>
      <c r="D19" s="310">
        <f t="shared" si="1"/>
        <v>0</v>
      </c>
      <c r="E19" s="310">
        <f t="shared" si="16"/>
        <v>0</v>
      </c>
      <c r="F19" s="310">
        <f t="shared" si="2"/>
        <v>0</v>
      </c>
      <c r="G19" s="310">
        <f t="shared" si="3"/>
        <v>0</v>
      </c>
      <c r="H19" s="310">
        <f t="shared" si="4"/>
        <v>0</v>
      </c>
      <c r="I19" s="310">
        <f t="shared" si="5"/>
        <v>0</v>
      </c>
      <c r="J19" s="310">
        <f t="shared" si="6"/>
        <v>0</v>
      </c>
      <c r="K19" s="310">
        <f t="shared" si="7"/>
        <v>0</v>
      </c>
      <c r="L19" s="310">
        <f t="shared" si="8"/>
        <v>0</v>
      </c>
      <c r="M19" s="310">
        <f t="shared" si="9"/>
        <v>0</v>
      </c>
      <c r="N19" s="310">
        <f t="shared" si="10"/>
        <v>0</v>
      </c>
      <c r="O19" s="310">
        <f t="shared" si="11"/>
        <v>0</v>
      </c>
      <c r="P19" s="311">
        <f t="shared" si="12"/>
        <v>0</v>
      </c>
      <c r="Q19" s="311">
        <f t="shared" si="13"/>
        <v>0</v>
      </c>
      <c r="R19" s="311">
        <f t="shared" si="14"/>
        <v>0</v>
      </c>
      <c r="S19" s="311">
        <f t="shared" si="15"/>
        <v>0</v>
      </c>
      <c r="T19" s="628">
        <f t="shared" si="17"/>
        <v>0</v>
      </c>
      <c r="U19" s="309"/>
    </row>
    <row r="20" spans="1:22" s="6" customFormat="1" ht="25.5" customHeight="1">
      <c r="A20" s="245" t="s">
        <v>724</v>
      </c>
      <c r="B20" s="293" t="s">
        <v>725</v>
      </c>
      <c r="C20" s="310">
        <f t="shared" si="0"/>
        <v>0</v>
      </c>
      <c r="D20" s="310">
        <f t="shared" si="1"/>
        <v>0</v>
      </c>
      <c r="E20" s="310">
        <f t="shared" si="16"/>
        <v>67.5</v>
      </c>
      <c r="F20" s="310">
        <f t="shared" si="2"/>
        <v>0</v>
      </c>
      <c r="G20" s="310">
        <f t="shared" si="3"/>
        <v>0</v>
      </c>
      <c r="H20" s="310">
        <f t="shared" si="4"/>
        <v>0</v>
      </c>
      <c r="I20" s="310">
        <f t="shared" si="5"/>
        <v>0</v>
      </c>
      <c r="J20" s="310">
        <f t="shared" si="6"/>
        <v>0</v>
      </c>
      <c r="K20" s="310">
        <f t="shared" si="7"/>
        <v>0</v>
      </c>
      <c r="L20" s="310">
        <f t="shared" si="8"/>
        <v>32.5</v>
      </c>
      <c r="M20" s="310">
        <f t="shared" si="9"/>
        <v>27.5</v>
      </c>
      <c r="N20" s="310">
        <f t="shared" si="10"/>
        <v>22.5</v>
      </c>
      <c r="O20" s="310">
        <f t="shared" si="11"/>
        <v>0</v>
      </c>
      <c r="P20" s="311">
        <f t="shared" si="12"/>
        <v>0</v>
      </c>
      <c r="Q20" s="311">
        <f t="shared" si="13"/>
        <v>0</v>
      </c>
      <c r="R20" s="311">
        <f t="shared" si="14"/>
        <v>0</v>
      </c>
      <c r="S20" s="311">
        <f t="shared" si="15"/>
        <v>0</v>
      </c>
      <c r="T20" s="628">
        <f t="shared" si="17"/>
        <v>150</v>
      </c>
      <c r="U20" s="309"/>
    </row>
    <row r="21" spans="1:22" s="6" customFormat="1" ht="25.5" customHeight="1">
      <c r="A21" s="245" t="s">
        <v>1660</v>
      </c>
      <c r="B21" s="293" t="s">
        <v>1662</v>
      </c>
      <c r="C21" s="310">
        <f t="shared" si="0"/>
        <v>0</v>
      </c>
      <c r="D21" s="310">
        <f t="shared" si="1"/>
        <v>0</v>
      </c>
      <c r="E21" s="310">
        <f t="shared" si="16"/>
        <v>0</v>
      </c>
      <c r="F21" s="310">
        <f t="shared" si="2"/>
        <v>0</v>
      </c>
      <c r="G21" s="310">
        <f t="shared" si="3"/>
        <v>0</v>
      </c>
      <c r="H21" s="310">
        <f t="shared" si="4"/>
        <v>0</v>
      </c>
      <c r="I21" s="310">
        <f t="shared" si="5"/>
        <v>95</v>
      </c>
      <c r="J21" s="310">
        <f t="shared" si="6"/>
        <v>0</v>
      </c>
      <c r="K21" s="310">
        <f t="shared" si="7"/>
        <v>37.5</v>
      </c>
      <c r="L21" s="310">
        <f t="shared" si="8"/>
        <v>65</v>
      </c>
      <c r="M21" s="310">
        <f t="shared" si="9"/>
        <v>192.5</v>
      </c>
      <c r="N21" s="310">
        <f t="shared" si="10"/>
        <v>90</v>
      </c>
      <c r="O21" s="310">
        <f t="shared" si="11"/>
        <v>227.5</v>
      </c>
      <c r="P21" s="311">
        <f t="shared" si="12"/>
        <v>300</v>
      </c>
      <c r="Q21" s="311">
        <f t="shared" si="13"/>
        <v>195</v>
      </c>
      <c r="R21" s="311">
        <f t="shared" si="14"/>
        <v>80</v>
      </c>
      <c r="S21" s="311">
        <f t="shared" si="15"/>
        <v>0</v>
      </c>
      <c r="T21" s="628">
        <f t="shared" ref="T21:T22" si="18">SUM(C21:S21)</f>
        <v>1282.5</v>
      </c>
      <c r="U21" s="309"/>
    </row>
    <row r="22" spans="1:22" s="6" customFormat="1" ht="25.5" customHeight="1">
      <c r="A22" s="245" t="s">
        <v>1661</v>
      </c>
      <c r="B22" s="293" t="s">
        <v>1663</v>
      </c>
      <c r="C22" s="310">
        <f t="shared" si="0"/>
        <v>0</v>
      </c>
      <c r="D22" s="310">
        <f t="shared" si="1"/>
        <v>0</v>
      </c>
      <c r="E22" s="310">
        <f t="shared" si="16"/>
        <v>0</v>
      </c>
      <c r="F22" s="310">
        <f t="shared" si="2"/>
        <v>0</v>
      </c>
      <c r="G22" s="310">
        <f t="shared" si="3"/>
        <v>0</v>
      </c>
      <c r="H22" s="310">
        <f t="shared" si="4"/>
        <v>0</v>
      </c>
      <c r="I22" s="310">
        <f t="shared" si="5"/>
        <v>47.5</v>
      </c>
      <c r="J22" s="310">
        <f t="shared" si="6"/>
        <v>85</v>
      </c>
      <c r="K22" s="310">
        <f t="shared" si="7"/>
        <v>37.5</v>
      </c>
      <c r="L22" s="310">
        <f t="shared" si="8"/>
        <v>32.5</v>
      </c>
      <c r="M22" s="310">
        <f t="shared" si="9"/>
        <v>82.5</v>
      </c>
      <c r="N22" s="310">
        <f t="shared" si="10"/>
        <v>67.5</v>
      </c>
      <c r="O22" s="310">
        <f t="shared" si="11"/>
        <v>157.5</v>
      </c>
      <c r="P22" s="311">
        <f t="shared" si="12"/>
        <v>50</v>
      </c>
      <c r="Q22" s="311">
        <f t="shared" si="13"/>
        <v>30</v>
      </c>
      <c r="R22" s="311">
        <f t="shared" si="14"/>
        <v>17.5</v>
      </c>
      <c r="S22" s="311">
        <f t="shared" si="15"/>
        <v>0</v>
      </c>
      <c r="T22" s="628">
        <f t="shared" si="18"/>
        <v>607.5</v>
      </c>
      <c r="U22" s="309"/>
    </row>
    <row r="23" spans="1:22" s="6" customFormat="1" ht="25.5" customHeight="1">
      <c r="A23" s="293"/>
      <c r="B23" s="293" t="s">
        <v>739</v>
      </c>
      <c r="C23" s="310">
        <f>+C58*79</f>
        <v>79</v>
      </c>
      <c r="D23" s="310">
        <f>+D58*72.5</f>
        <v>0</v>
      </c>
      <c r="E23" s="310">
        <f>+E58*67.5</f>
        <v>0</v>
      </c>
      <c r="F23" s="310">
        <f>+F58*62.5</f>
        <v>0</v>
      </c>
      <c r="G23" s="310">
        <f>+G58*57.5</f>
        <v>57.5</v>
      </c>
      <c r="H23" s="310">
        <f>+H58*52.5</f>
        <v>52.5</v>
      </c>
      <c r="I23" s="310">
        <f>+I58*47.5</f>
        <v>95</v>
      </c>
      <c r="J23" s="310">
        <f>+J58*42.5</f>
        <v>42.5</v>
      </c>
      <c r="K23" s="310">
        <f>+K58*37.5</f>
        <v>150</v>
      </c>
      <c r="L23" s="310">
        <f>+L58*32.5</f>
        <v>97.5</v>
      </c>
      <c r="M23" s="310">
        <f>+M58*27.5</f>
        <v>165</v>
      </c>
      <c r="N23" s="310">
        <f>+N58*22.5</f>
        <v>157.5</v>
      </c>
      <c r="O23" s="310">
        <f>+O58*17.5</f>
        <v>70</v>
      </c>
      <c r="P23" s="311">
        <f>+P58*12.5</f>
        <v>125</v>
      </c>
      <c r="Q23" s="311">
        <f>+Q58*7.5</f>
        <v>97.5</v>
      </c>
      <c r="R23" s="311">
        <f>+R58*2.5</f>
        <v>25</v>
      </c>
      <c r="S23" s="311">
        <f>+S58*0</f>
        <v>0</v>
      </c>
      <c r="T23" s="628">
        <f>SUM(C23:S23)</f>
        <v>1214</v>
      </c>
      <c r="V23" s="309"/>
    </row>
    <row r="24" spans="1:22" ht="25.5" customHeight="1">
      <c r="A24" s="296"/>
      <c r="B24" s="296" t="s">
        <v>740</v>
      </c>
      <c r="C24" s="312">
        <f t="shared" ref="C24:T24" si="19">SUM(C10:C23)</f>
        <v>316</v>
      </c>
      <c r="D24" s="312">
        <f t="shared" si="19"/>
        <v>145</v>
      </c>
      <c r="E24" s="312">
        <f t="shared" si="19"/>
        <v>135</v>
      </c>
      <c r="F24" s="312">
        <f t="shared" si="19"/>
        <v>437.5</v>
      </c>
      <c r="G24" s="312">
        <f t="shared" si="19"/>
        <v>977.5</v>
      </c>
      <c r="H24" s="312">
        <f t="shared" si="19"/>
        <v>682.5</v>
      </c>
      <c r="I24" s="312">
        <f t="shared" si="19"/>
        <v>855</v>
      </c>
      <c r="J24" s="312">
        <f t="shared" si="19"/>
        <v>1062.5</v>
      </c>
      <c r="K24" s="312">
        <f t="shared" si="19"/>
        <v>937.5</v>
      </c>
      <c r="L24" s="312">
        <f t="shared" si="19"/>
        <v>1527.5</v>
      </c>
      <c r="M24" s="312">
        <f t="shared" si="19"/>
        <v>2337.5</v>
      </c>
      <c r="N24" s="312">
        <f t="shared" si="19"/>
        <v>2250</v>
      </c>
      <c r="O24" s="312">
        <f t="shared" si="19"/>
        <v>2485</v>
      </c>
      <c r="P24" s="312">
        <f t="shared" si="19"/>
        <v>2062.5</v>
      </c>
      <c r="Q24" s="312">
        <f t="shared" si="19"/>
        <v>1612.5</v>
      </c>
      <c r="R24" s="312">
        <f t="shared" si="19"/>
        <v>620</v>
      </c>
      <c r="S24" s="312">
        <f t="shared" si="19"/>
        <v>0</v>
      </c>
      <c r="T24" s="299">
        <f t="shared" si="19"/>
        <v>18443.5</v>
      </c>
      <c r="V24" s="302"/>
    </row>
    <row r="26" spans="1:22">
      <c r="A26" t="s">
        <v>762</v>
      </c>
    </row>
    <row r="43" spans="1:21">
      <c r="A43" s="286" t="s">
        <v>680</v>
      </c>
      <c r="B43" s="62"/>
      <c r="C43" s="178"/>
      <c r="D43" s="240"/>
      <c r="E43" s="240"/>
      <c r="F43" s="240"/>
      <c r="G43" s="240"/>
      <c r="H43" s="240"/>
      <c r="I43" s="240"/>
      <c r="J43" s="240"/>
      <c r="K43" s="240"/>
      <c r="L43" s="240"/>
      <c r="M43" s="240"/>
      <c r="N43" s="240"/>
      <c r="O43" s="240"/>
      <c r="P43" s="240"/>
      <c r="Q43" s="240"/>
      <c r="R43" s="240"/>
      <c r="S43" s="240"/>
      <c r="T43" s="304"/>
    </row>
    <row r="44" spans="1:21" ht="16.8">
      <c r="A44" s="305" t="s">
        <v>682</v>
      </c>
      <c r="B44" s="14" t="s">
        <v>683</v>
      </c>
      <c r="C44" s="306" t="s">
        <v>745</v>
      </c>
      <c r="D44" s="307" t="s">
        <v>746</v>
      </c>
      <c r="E44" s="307" t="s">
        <v>747</v>
      </c>
      <c r="F44" s="307" t="s">
        <v>748</v>
      </c>
      <c r="G44" s="307" t="s">
        <v>749</v>
      </c>
      <c r="H44" s="307" t="s">
        <v>750</v>
      </c>
      <c r="I44" s="307" t="s">
        <v>751</v>
      </c>
      <c r="J44" s="307" t="s">
        <v>752</v>
      </c>
      <c r="K44" s="307" t="s">
        <v>753</v>
      </c>
      <c r="L44" s="307" t="s">
        <v>754</v>
      </c>
      <c r="M44" s="307" t="s">
        <v>755</v>
      </c>
      <c r="N44" s="307" t="s">
        <v>756</v>
      </c>
      <c r="O44" s="307" t="s">
        <v>757</v>
      </c>
      <c r="P44" s="307" t="s">
        <v>758</v>
      </c>
      <c r="Q44" s="307" t="s">
        <v>759</v>
      </c>
      <c r="R44" s="307" t="s">
        <v>760</v>
      </c>
      <c r="S44" s="307" t="s">
        <v>761</v>
      </c>
      <c r="T44" s="308" t="s">
        <v>517</v>
      </c>
    </row>
    <row r="45" spans="1:21" ht="18" customHeight="1">
      <c r="A45" s="245" t="s">
        <v>691</v>
      </c>
      <c r="B45" s="293" t="s">
        <v>692</v>
      </c>
      <c r="C45" s="295"/>
      <c r="D45" s="295"/>
      <c r="E45" s="295"/>
      <c r="F45" s="295"/>
      <c r="G45" s="1408">
        <v>2</v>
      </c>
      <c r="H45" s="1408">
        <v>2</v>
      </c>
      <c r="I45" s="1408">
        <v>1</v>
      </c>
      <c r="J45" s="1408">
        <v>5</v>
      </c>
      <c r="K45" s="1408">
        <v>2</v>
      </c>
      <c r="L45" s="1408">
        <v>9</v>
      </c>
      <c r="M45" s="1408">
        <v>13</v>
      </c>
      <c r="N45" s="1408">
        <v>27</v>
      </c>
      <c r="O45" s="1408">
        <v>36</v>
      </c>
      <c r="P45" s="1408">
        <v>48</v>
      </c>
      <c r="Q45" s="1408">
        <v>56</v>
      </c>
      <c r="R45" s="1408">
        <v>78</v>
      </c>
      <c r="S45" s="1408">
        <v>284</v>
      </c>
      <c r="T45" s="1409">
        <f t="shared" ref="T45:T54" si="20">SUM(C45:S45)</f>
        <v>563</v>
      </c>
    </row>
    <row r="46" spans="1:21" ht="18" customHeight="1">
      <c r="A46" s="245" t="s">
        <v>693</v>
      </c>
      <c r="B46" s="293" t="s">
        <v>694</v>
      </c>
      <c r="C46" s="295"/>
      <c r="D46" s="295"/>
      <c r="E46" s="295"/>
      <c r="F46" s="295">
        <v>1</v>
      </c>
      <c r="G46" s="1408">
        <v>2</v>
      </c>
      <c r="H46" s="1408">
        <v>3</v>
      </c>
      <c r="I46" s="1408">
        <v>4</v>
      </c>
      <c r="J46" s="1408">
        <v>4</v>
      </c>
      <c r="K46" s="1408">
        <v>8</v>
      </c>
      <c r="L46" s="1408">
        <v>14</v>
      </c>
      <c r="M46" s="1408">
        <v>30</v>
      </c>
      <c r="N46" s="1408">
        <v>31</v>
      </c>
      <c r="O46" s="1408">
        <v>41</v>
      </c>
      <c r="P46" s="1408">
        <v>36</v>
      </c>
      <c r="Q46" s="1408">
        <v>57</v>
      </c>
      <c r="R46" s="1408">
        <v>65</v>
      </c>
      <c r="S46" s="1408">
        <v>116</v>
      </c>
      <c r="T46" s="1409">
        <f t="shared" si="20"/>
        <v>412</v>
      </c>
      <c r="U46" s="314"/>
    </row>
    <row r="47" spans="1:21" ht="18" customHeight="1">
      <c r="A47" s="245" t="s">
        <v>695</v>
      </c>
      <c r="B47" s="293" t="s">
        <v>696</v>
      </c>
      <c r="C47" s="295">
        <v>1</v>
      </c>
      <c r="D47" s="295"/>
      <c r="E47" s="295"/>
      <c r="F47" s="295"/>
      <c r="G47" s="1408"/>
      <c r="H47" s="1408"/>
      <c r="I47" s="1408"/>
      <c r="J47" s="1408"/>
      <c r="K47" s="1408">
        <v>2</v>
      </c>
      <c r="L47" s="1408">
        <v>2</v>
      </c>
      <c r="M47" s="1408">
        <v>6</v>
      </c>
      <c r="N47" s="1408">
        <v>3</v>
      </c>
      <c r="O47" s="1408">
        <v>6</v>
      </c>
      <c r="P47" s="1408">
        <v>14</v>
      </c>
      <c r="Q47" s="1408">
        <v>10</v>
      </c>
      <c r="R47" s="1408">
        <v>20</v>
      </c>
      <c r="S47" s="1408">
        <v>89</v>
      </c>
      <c r="T47" s="1409">
        <f t="shared" si="20"/>
        <v>153</v>
      </c>
    </row>
    <row r="48" spans="1:21" ht="18" customHeight="1">
      <c r="A48" s="245" t="s">
        <v>710</v>
      </c>
      <c r="B48" s="293" t="s">
        <v>711</v>
      </c>
      <c r="C48" s="295">
        <v>2</v>
      </c>
      <c r="D48" s="295">
        <v>2</v>
      </c>
      <c r="E48" s="295">
        <v>1</v>
      </c>
      <c r="F48" s="295">
        <v>6</v>
      </c>
      <c r="G48" s="1408">
        <v>10</v>
      </c>
      <c r="H48" s="1408">
        <v>6</v>
      </c>
      <c r="I48" s="1408">
        <v>5</v>
      </c>
      <c r="J48" s="1408">
        <v>9</v>
      </c>
      <c r="K48" s="1408">
        <v>5</v>
      </c>
      <c r="L48" s="1408">
        <v>6</v>
      </c>
      <c r="M48" s="1408">
        <v>6</v>
      </c>
      <c r="N48" s="1408">
        <v>1</v>
      </c>
      <c r="O48" s="1408">
        <v>11</v>
      </c>
      <c r="P48" s="1408">
        <v>3</v>
      </c>
      <c r="Q48" s="1408">
        <v>5</v>
      </c>
      <c r="R48" s="1408">
        <v>3</v>
      </c>
      <c r="S48" s="1408">
        <v>24</v>
      </c>
      <c r="T48" s="1409">
        <f t="shared" si="20"/>
        <v>105</v>
      </c>
    </row>
    <row r="49" spans="1:22" ht="18" customHeight="1">
      <c r="A49" s="245" t="s">
        <v>712</v>
      </c>
      <c r="B49" s="293" t="s">
        <v>713</v>
      </c>
      <c r="C49" s="295"/>
      <c r="D49" s="295"/>
      <c r="E49" s="295"/>
      <c r="F49" s="295"/>
      <c r="G49" s="1408">
        <v>1</v>
      </c>
      <c r="H49" s="1408"/>
      <c r="I49" s="1408"/>
      <c r="J49" s="1408">
        <v>2</v>
      </c>
      <c r="K49" s="1408"/>
      <c r="L49" s="1408">
        <v>5</v>
      </c>
      <c r="M49" s="1408">
        <v>6</v>
      </c>
      <c r="N49" s="1408">
        <v>15</v>
      </c>
      <c r="O49" s="1408">
        <v>9</v>
      </c>
      <c r="P49" s="1408">
        <v>9</v>
      </c>
      <c r="Q49" s="1408">
        <v>11</v>
      </c>
      <c r="R49" s="1408">
        <v>12</v>
      </c>
      <c r="S49" s="1408">
        <v>30</v>
      </c>
      <c r="T49" s="1409">
        <f t="shared" si="20"/>
        <v>100</v>
      </c>
    </row>
    <row r="50" spans="1:22" ht="18" customHeight="1">
      <c r="A50" s="245" t="s">
        <v>714</v>
      </c>
      <c r="B50" s="293" t="s">
        <v>715</v>
      </c>
      <c r="C50" s="295"/>
      <c r="D50" s="295"/>
      <c r="E50" s="295"/>
      <c r="F50" s="295"/>
      <c r="G50" s="1408"/>
      <c r="H50" s="1408"/>
      <c r="I50" s="1408"/>
      <c r="J50" s="1408"/>
      <c r="K50" s="1408"/>
      <c r="L50" s="1408"/>
      <c r="M50" s="1408">
        <v>2</v>
      </c>
      <c r="N50" s="1408">
        <v>1</v>
      </c>
      <c r="O50" s="1408">
        <v>4</v>
      </c>
      <c r="P50" s="1408">
        <v>6</v>
      </c>
      <c r="Q50" s="1408">
        <v>12</v>
      </c>
      <c r="R50" s="1408">
        <v>5</v>
      </c>
      <c r="S50" s="1408">
        <v>34</v>
      </c>
      <c r="T50" s="1409">
        <f t="shared" si="20"/>
        <v>64</v>
      </c>
    </row>
    <row r="51" spans="1:22" ht="18" customHeight="1">
      <c r="A51" s="245" t="s">
        <v>716</v>
      </c>
      <c r="B51" s="293" t="s">
        <v>717</v>
      </c>
      <c r="C51" s="295"/>
      <c r="D51" s="295"/>
      <c r="E51" s="295"/>
      <c r="F51" s="295"/>
      <c r="G51" s="1408"/>
      <c r="H51" s="1408"/>
      <c r="I51" s="1408">
        <v>1</v>
      </c>
      <c r="J51" s="1408">
        <v>1</v>
      </c>
      <c r="K51" s="1408">
        <v>1</v>
      </c>
      <c r="L51" s="1408">
        <v>1</v>
      </c>
      <c r="M51" s="1408">
        <v>2</v>
      </c>
      <c r="N51" s="1408"/>
      <c r="O51" s="1408">
        <v>4</v>
      </c>
      <c r="P51" s="1408">
        <v>2</v>
      </c>
      <c r="Q51" s="1408">
        <v>5</v>
      </c>
      <c r="R51" s="1408">
        <v>5</v>
      </c>
      <c r="S51" s="1408">
        <v>11</v>
      </c>
      <c r="T51" s="1409">
        <f t="shared" si="20"/>
        <v>33</v>
      </c>
    </row>
    <row r="52" spans="1:22" ht="18" customHeight="1">
      <c r="A52" s="245" t="s">
        <v>718</v>
      </c>
      <c r="B52" s="293" t="s">
        <v>738</v>
      </c>
      <c r="C52" s="295"/>
      <c r="D52" s="295"/>
      <c r="E52" s="295"/>
      <c r="F52" s="295"/>
      <c r="G52" s="1408">
        <v>1</v>
      </c>
      <c r="H52" s="1408">
        <v>1</v>
      </c>
      <c r="I52" s="1408">
        <v>2</v>
      </c>
      <c r="J52" s="1408"/>
      <c r="K52" s="1408"/>
      <c r="L52" s="1408">
        <v>2</v>
      </c>
      <c r="M52" s="1408">
        <v>1</v>
      </c>
      <c r="N52" s="1408">
        <v>1</v>
      </c>
      <c r="O52" s="1408">
        <v>2</v>
      </c>
      <c r="P52" s="1408">
        <v>3</v>
      </c>
      <c r="Q52" s="1408">
        <v>5</v>
      </c>
      <c r="R52" s="1408">
        <v>5</v>
      </c>
      <c r="S52" s="1408">
        <v>28</v>
      </c>
      <c r="T52" s="1409">
        <f t="shared" si="20"/>
        <v>51</v>
      </c>
    </row>
    <row r="53" spans="1:22" ht="18" customHeight="1">
      <c r="A53" s="245" t="s">
        <v>720</v>
      </c>
      <c r="B53" s="293" t="s">
        <v>721</v>
      </c>
      <c r="C53" s="295"/>
      <c r="D53" s="295"/>
      <c r="E53" s="295"/>
      <c r="F53" s="295"/>
      <c r="G53" s="1408"/>
      <c r="H53" s="1408"/>
      <c r="I53" s="1408"/>
      <c r="J53" s="1408">
        <v>1</v>
      </c>
      <c r="K53" s="1408">
        <v>1</v>
      </c>
      <c r="L53" s="1408">
        <v>1</v>
      </c>
      <c r="M53" s="1408">
        <v>2</v>
      </c>
      <c r="N53" s="1408">
        <v>6</v>
      </c>
      <c r="O53" s="1408">
        <v>3</v>
      </c>
      <c r="P53" s="1408">
        <v>6</v>
      </c>
      <c r="Q53" s="1408">
        <v>11</v>
      </c>
      <c r="R53" s="1408">
        <v>6</v>
      </c>
      <c r="S53" s="1408">
        <v>20</v>
      </c>
      <c r="T53" s="1409">
        <f t="shared" si="20"/>
        <v>57</v>
      </c>
    </row>
    <row r="54" spans="1:22" ht="18" customHeight="1">
      <c r="A54" s="880" t="s">
        <v>208</v>
      </c>
      <c r="B54" s="881" t="s">
        <v>209</v>
      </c>
      <c r="C54" s="295"/>
      <c r="D54" s="295"/>
      <c r="E54" s="295"/>
      <c r="F54" s="295"/>
      <c r="G54" s="1408"/>
      <c r="H54" s="1408"/>
      <c r="I54" s="1408"/>
      <c r="J54" s="1408"/>
      <c r="K54" s="1408"/>
      <c r="L54" s="1408"/>
      <c r="M54" s="1408"/>
      <c r="N54" s="1408"/>
      <c r="O54" s="1408"/>
      <c r="P54" s="1408"/>
      <c r="Q54" s="1408"/>
      <c r="R54" s="1408"/>
      <c r="S54" s="1408"/>
      <c r="T54" s="1409">
        <f t="shared" si="20"/>
        <v>0</v>
      </c>
    </row>
    <row r="55" spans="1:22" ht="18" customHeight="1">
      <c r="A55" s="245" t="s">
        <v>724</v>
      </c>
      <c r="B55" s="293" t="s">
        <v>725</v>
      </c>
      <c r="C55" s="295"/>
      <c r="D55" s="295"/>
      <c r="E55" s="295">
        <v>1</v>
      </c>
      <c r="F55" s="295"/>
      <c r="G55" s="1408"/>
      <c r="H55" s="1408"/>
      <c r="I55" s="1408"/>
      <c r="J55" s="1408"/>
      <c r="K55" s="1408"/>
      <c r="L55" s="1408">
        <v>1</v>
      </c>
      <c r="M55" s="1408">
        <v>1</v>
      </c>
      <c r="N55" s="1408">
        <v>1</v>
      </c>
      <c r="O55" s="1408"/>
      <c r="P55" s="1408"/>
      <c r="Q55" s="1408"/>
      <c r="R55" s="1408"/>
      <c r="S55" s="1408"/>
      <c r="T55" s="1409">
        <f>SUM(C55:S55)</f>
        <v>4</v>
      </c>
    </row>
    <row r="56" spans="1:22" ht="18" customHeight="1">
      <c r="A56" s="245" t="s">
        <v>1660</v>
      </c>
      <c r="B56" s="293" t="s">
        <v>1662</v>
      </c>
      <c r="C56" s="295"/>
      <c r="D56" s="295"/>
      <c r="E56" s="295"/>
      <c r="F56" s="295"/>
      <c r="G56" s="1408"/>
      <c r="H56" s="1408"/>
      <c r="I56" s="1408">
        <v>2</v>
      </c>
      <c r="J56" s="1408"/>
      <c r="K56" s="1408">
        <v>1</v>
      </c>
      <c r="L56" s="1408">
        <v>2</v>
      </c>
      <c r="M56" s="1408">
        <v>7</v>
      </c>
      <c r="N56" s="1408">
        <v>4</v>
      </c>
      <c r="O56" s="1408">
        <v>13</v>
      </c>
      <c r="P56" s="1408">
        <v>24</v>
      </c>
      <c r="Q56" s="1408">
        <v>26</v>
      </c>
      <c r="R56" s="1408">
        <v>32</v>
      </c>
      <c r="S56" s="1408">
        <v>65</v>
      </c>
      <c r="T56" s="1409">
        <f t="shared" ref="T56:T57" si="21">SUM(C56:S56)</f>
        <v>176</v>
      </c>
    </row>
    <row r="57" spans="1:22" ht="18" customHeight="1">
      <c r="A57" s="245" t="s">
        <v>1661</v>
      </c>
      <c r="B57" s="293" t="s">
        <v>1663</v>
      </c>
      <c r="C57" s="295"/>
      <c r="D57" s="295"/>
      <c r="E57" s="295"/>
      <c r="F57" s="295"/>
      <c r="G57" s="1408"/>
      <c r="H57" s="1408"/>
      <c r="I57" s="1408">
        <v>1</v>
      </c>
      <c r="J57" s="1408">
        <v>2</v>
      </c>
      <c r="K57" s="1408">
        <v>1</v>
      </c>
      <c r="L57" s="1408">
        <v>1</v>
      </c>
      <c r="M57" s="1408">
        <v>3</v>
      </c>
      <c r="N57" s="1408">
        <v>3</v>
      </c>
      <c r="O57" s="1408">
        <v>9</v>
      </c>
      <c r="P57" s="1408">
        <v>4</v>
      </c>
      <c r="Q57" s="1408">
        <v>4</v>
      </c>
      <c r="R57" s="1408">
        <v>7</v>
      </c>
      <c r="S57" s="1408">
        <v>30</v>
      </c>
      <c r="T57" s="1409">
        <f t="shared" si="21"/>
        <v>65</v>
      </c>
    </row>
    <row r="58" spans="1:22" ht="18" customHeight="1">
      <c r="A58" s="293"/>
      <c r="B58" s="293" t="s">
        <v>739</v>
      </c>
      <c r="C58" s="295">
        <v>1</v>
      </c>
      <c r="D58" s="295"/>
      <c r="E58" s="295"/>
      <c r="F58" s="295"/>
      <c r="G58" s="1408">
        <v>1</v>
      </c>
      <c r="H58" s="1408">
        <v>1</v>
      </c>
      <c r="I58" s="1408">
        <v>2</v>
      </c>
      <c r="J58" s="1408">
        <v>1</v>
      </c>
      <c r="K58" s="1408">
        <v>4</v>
      </c>
      <c r="L58" s="1408">
        <v>3</v>
      </c>
      <c r="M58" s="1408">
        <v>6</v>
      </c>
      <c r="N58" s="1408">
        <v>7</v>
      </c>
      <c r="O58" s="1408">
        <v>4</v>
      </c>
      <c r="P58" s="1408">
        <v>10</v>
      </c>
      <c r="Q58" s="1408">
        <v>13</v>
      </c>
      <c r="R58" s="1408">
        <v>10</v>
      </c>
      <c r="S58" s="1408">
        <v>97</v>
      </c>
      <c r="T58" s="1409">
        <f>SUM(C58:S58)</f>
        <v>160</v>
      </c>
    </row>
    <row r="59" spans="1:22">
      <c r="A59" s="296"/>
      <c r="B59" s="296" t="s">
        <v>740</v>
      </c>
      <c r="C59" s="297">
        <f t="shared" ref="C59:T59" si="22">SUM(C45:C58)</f>
        <v>4</v>
      </c>
      <c r="D59" s="297">
        <f t="shared" si="22"/>
        <v>2</v>
      </c>
      <c r="E59" s="297">
        <f>SUM(E45:E58)</f>
        <v>2</v>
      </c>
      <c r="F59" s="297">
        <f t="shared" si="22"/>
        <v>7</v>
      </c>
      <c r="G59" s="1410">
        <f t="shared" si="22"/>
        <v>17</v>
      </c>
      <c r="H59" s="1410">
        <f t="shared" si="22"/>
        <v>13</v>
      </c>
      <c r="I59" s="1410">
        <f t="shared" si="22"/>
        <v>18</v>
      </c>
      <c r="J59" s="1410">
        <f t="shared" si="22"/>
        <v>25</v>
      </c>
      <c r="K59" s="1410">
        <f t="shared" si="22"/>
        <v>25</v>
      </c>
      <c r="L59" s="1410">
        <f t="shared" si="22"/>
        <v>47</v>
      </c>
      <c r="M59" s="1410">
        <f t="shared" si="22"/>
        <v>85</v>
      </c>
      <c r="N59" s="1410">
        <f t="shared" si="22"/>
        <v>100</v>
      </c>
      <c r="O59" s="1410">
        <f t="shared" si="22"/>
        <v>142</v>
      </c>
      <c r="P59" s="1410">
        <f t="shared" si="22"/>
        <v>165</v>
      </c>
      <c r="Q59" s="1410">
        <f t="shared" si="22"/>
        <v>215</v>
      </c>
      <c r="R59" s="1410">
        <f t="shared" si="22"/>
        <v>248</v>
      </c>
      <c r="S59" s="1410">
        <f t="shared" si="22"/>
        <v>828</v>
      </c>
      <c r="T59" s="1411">
        <f t="shared" si="22"/>
        <v>1943</v>
      </c>
      <c r="V59" s="1007"/>
    </row>
    <row r="60" spans="1:22">
      <c r="B60" s="316" t="s">
        <v>763</v>
      </c>
      <c r="L60" s="317"/>
      <c r="S60" s="317"/>
    </row>
  </sheetData>
  <mergeCells count="5">
    <mergeCell ref="A1:T1"/>
    <mergeCell ref="A3:T3"/>
    <mergeCell ref="A4:T4"/>
    <mergeCell ref="C8:T8"/>
    <mergeCell ref="B8:B9"/>
  </mergeCells>
  <phoneticPr fontId="19" type="noConversion"/>
  <pageMargins left="0.98425196850393704" right="0" top="1.3779527559055118" bottom="0.78740157480314965" header="0.51181102362204722" footer="0.51181102362204722"/>
  <pageSetup paperSize="5" scale="7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topLeftCell="A35" zoomScale="75" workbookViewId="0">
      <selection activeCell="A6" sqref="A6"/>
    </sheetView>
  </sheetViews>
  <sheetFormatPr baseColWidth="10" defaultRowHeight="13.2"/>
  <cols>
    <col min="2" max="2" width="25.5546875" customWidth="1"/>
    <col min="3" max="3" width="10.77734375" customWidth="1"/>
    <col min="4" max="5" width="10.21875" customWidth="1"/>
    <col min="6" max="6" width="10.5546875" customWidth="1"/>
    <col min="7" max="7" width="10.21875" customWidth="1"/>
    <col min="8" max="8" width="9.77734375" customWidth="1"/>
  </cols>
  <sheetData>
    <row r="1" spans="1:8">
      <c r="A1" s="80" t="s">
        <v>766</v>
      </c>
      <c r="B1" s="113"/>
      <c r="C1" s="113"/>
      <c r="D1" s="113"/>
      <c r="E1" s="113"/>
      <c r="F1" s="113"/>
      <c r="G1" s="113"/>
      <c r="H1" s="1"/>
    </row>
    <row r="2" spans="1:8">
      <c r="A2" s="80"/>
      <c r="B2" s="113"/>
      <c r="C2" s="113"/>
      <c r="D2" s="113"/>
      <c r="E2" s="113"/>
      <c r="F2" s="113"/>
      <c r="G2" s="113"/>
      <c r="H2" s="1"/>
    </row>
    <row r="3" spans="1:8">
      <c r="A3" s="80" t="s">
        <v>767</v>
      </c>
      <c r="B3" s="113"/>
      <c r="C3" s="113"/>
      <c r="D3" s="113"/>
      <c r="E3" s="113"/>
      <c r="F3" s="113"/>
      <c r="G3" s="113"/>
      <c r="H3" s="1"/>
    </row>
    <row r="4" spans="1:8">
      <c r="A4" s="80"/>
      <c r="B4" s="113"/>
      <c r="C4" s="113"/>
      <c r="D4" s="113"/>
      <c r="E4" s="113"/>
      <c r="F4" s="113"/>
      <c r="G4" s="113"/>
      <c r="H4" s="1"/>
    </row>
    <row r="5" spans="1:8" ht="12" customHeight="1">
      <c r="A5" s="80">
        <v>2020</v>
      </c>
      <c r="B5" s="113"/>
      <c r="C5" s="113"/>
      <c r="D5" s="113"/>
      <c r="E5" s="113"/>
      <c r="F5" s="113"/>
      <c r="G5" s="113"/>
      <c r="H5" s="1"/>
    </row>
    <row r="6" spans="1:8">
      <c r="A6" s="113"/>
      <c r="B6" s="113"/>
      <c r="C6" s="113"/>
      <c r="D6" s="113"/>
      <c r="E6" s="113"/>
      <c r="F6" s="113"/>
      <c r="G6" s="113"/>
      <c r="H6" s="1"/>
    </row>
    <row r="7" spans="1:8">
      <c r="A7" s="113"/>
      <c r="B7" s="113"/>
      <c r="C7" s="113"/>
      <c r="D7" s="113"/>
      <c r="E7" s="113"/>
      <c r="F7" s="113"/>
      <c r="G7" s="113"/>
      <c r="H7" s="1"/>
    </row>
    <row r="10" spans="1:8">
      <c r="A10" s="319"/>
      <c r="B10" s="304"/>
      <c r="C10" s="178"/>
      <c r="D10" s="304"/>
      <c r="E10" s="178"/>
      <c r="F10" s="304"/>
      <c r="G10" s="178"/>
      <c r="H10" s="304"/>
    </row>
    <row r="11" spans="1:8">
      <c r="A11" s="320"/>
      <c r="B11" s="192"/>
      <c r="C11" s="195" t="s">
        <v>768</v>
      </c>
      <c r="D11" s="321"/>
      <c r="E11" s="195" t="s">
        <v>646</v>
      </c>
      <c r="F11" s="321"/>
      <c r="G11" s="195" t="s">
        <v>769</v>
      </c>
      <c r="H11" s="321"/>
    </row>
    <row r="12" spans="1:8">
      <c r="A12" s="320" t="s">
        <v>770</v>
      </c>
      <c r="B12" s="192"/>
      <c r="C12" s="195" t="s">
        <v>771</v>
      </c>
      <c r="D12" s="321" t="s">
        <v>662</v>
      </c>
      <c r="E12" s="195" t="s">
        <v>771</v>
      </c>
      <c r="F12" s="321" t="s">
        <v>662</v>
      </c>
      <c r="G12" s="195" t="s">
        <v>771</v>
      </c>
      <c r="H12" s="321" t="s">
        <v>662</v>
      </c>
    </row>
    <row r="13" spans="1:8">
      <c r="A13" s="322"/>
      <c r="B13" s="323"/>
      <c r="C13" s="322"/>
      <c r="D13" s="323"/>
      <c r="E13" s="322"/>
      <c r="F13" s="323"/>
      <c r="G13" s="322"/>
      <c r="H13" s="323"/>
    </row>
    <row r="14" spans="1:8" s="6" customFormat="1" ht="24" customHeight="1">
      <c r="A14" s="51" t="s">
        <v>782</v>
      </c>
      <c r="B14" s="138"/>
      <c r="C14" s="45"/>
      <c r="D14" s="326">
        <f t="shared" ref="D14:D45" si="0">+C14/C$72*100000</f>
        <v>0</v>
      </c>
      <c r="E14" s="43"/>
      <c r="F14" s="326">
        <f>+E14/E$72*100000</f>
        <v>0</v>
      </c>
      <c r="G14" s="45"/>
      <c r="H14" s="326">
        <f>+G14/G$72*100000</f>
        <v>0</v>
      </c>
    </row>
    <row r="15" spans="1:8" s="6" customFormat="1" ht="24" customHeight="1">
      <c r="A15" s="51" t="s">
        <v>248</v>
      </c>
      <c r="B15" s="138"/>
      <c r="C15" s="45"/>
      <c r="D15" s="326">
        <f t="shared" si="0"/>
        <v>0</v>
      </c>
      <c r="E15" s="43"/>
      <c r="F15" s="326">
        <f>+E15/E$72*100000</f>
        <v>0</v>
      </c>
      <c r="G15" s="45"/>
      <c r="H15" s="326">
        <f>+G15/G$72*100000</f>
        <v>0</v>
      </c>
    </row>
    <row r="16" spans="1:8" s="6" customFormat="1" ht="24" customHeight="1">
      <c r="A16" s="51" t="s">
        <v>777</v>
      </c>
      <c r="B16" s="138"/>
      <c r="C16" s="45"/>
      <c r="D16" s="326">
        <f t="shared" si="0"/>
        <v>0</v>
      </c>
      <c r="E16" s="43"/>
      <c r="F16" s="326">
        <f t="shared" ref="F16:F44" si="1">+E16/E$72*100000</f>
        <v>0</v>
      </c>
      <c r="G16" s="45"/>
      <c r="H16" s="326">
        <f t="shared" ref="H16:H44" si="2">+G16/G$72*100000</f>
        <v>0</v>
      </c>
    </row>
    <row r="17" spans="1:8" s="6" customFormat="1" ht="24" customHeight="1">
      <c r="A17" s="51" t="s">
        <v>249</v>
      </c>
      <c r="B17" s="138"/>
      <c r="C17" s="45"/>
      <c r="D17" s="326">
        <f t="shared" si="0"/>
        <v>0</v>
      </c>
      <c r="E17" s="43"/>
      <c r="F17" s="326">
        <f t="shared" si="1"/>
        <v>0</v>
      </c>
      <c r="G17" s="45"/>
      <c r="H17" s="326">
        <f t="shared" si="2"/>
        <v>0</v>
      </c>
    </row>
    <row r="18" spans="1:8" s="6" customFormat="1" ht="24" customHeight="1">
      <c r="A18" s="51" t="s">
        <v>790</v>
      </c>
      <c r="B18" s="138"/>
      <c r="C18" s="45"/>
      <c r="D18" s="326">
        <f t="shared" si="0"/>
        <v>0</v>
      </c>
      <c r="E18" s="43"/>
      <c r="F18" s="326">
        <f t="shared" si="1"/>
        <v>0</v>
      </c>
      <c r="G18" s="45"/>
      <c r="H18" s="326">
        <f t="shared" si="2"/>
        <v>0</v>
      </c>
    </row>
    <row r="19" spans="1:8" s="6" customFormat="1" ht="24" customHeight="1">
      <c r="A19" s="51" t="s">
        <v>250</v>
      </c>
      <c r="B19" s="138"/>
      <c r="C19" s="45"/>
      <c r="D19" s="326">
        <f t="shared" si="0"/>
        <v>0</v>
      </c>
      <c r="E19" s="43"/>
      <c r="F19" s="326">
        <f t="shared" si="1"/>
        <v>0</v>
      </c>
      <c r="G19" s="45"/>
      <c r="H19" s="326">
        <f t="shared" si="2"/>
        <v>0</v>
      </c>
    </row>
    <row r="20" spans="1:8" s="6" customFormat="1" ht="24" customHeight="1">
      <c r="A20" s="51" t="s">
        <v>251</v>
      </c>
      <c r="B20" s="138"/>
      <c r="C20" s="45"/>
      <c r="D20" s="326">
        <f t="shared" si="0"/>
        <v>0</v>
      </c>
      <c r="E20" s="43"/>
      <c r="F20" s="326">
        <f t="shared" si="1"/>
        <v>0</v>
      </c>
      <c r="G20" s="45"/>
      <c r="H20" s="326">
        <f t="shared" si="2"/>
        <v>0</v>
      </c>
    </row>
    <row r="21" spans="1:8" s="6" customFormat="1" ht="24" customHeight="1">
      <c r="A21" s="51" t="s">
        <v>252</v>
      </c>
      <c r="B21" s="138"/>
      <c r="C21" s="45"/>
      <c r="D21" s="326">
        <f t="shared" si="0"/>
        <v>0</v>
      </c>
      <c r="E21" s="43"/>
      <c r="F21" s="326">
        <f t="shared" si="1"/>
        <v>0</v>
      </c>
      <c r="G21" s="45"/>
      <c r="H21" s="326">
        <f t="shared" si="2"/>
        <v>0</v>
      </c>
    </row>
    <row r="22" spans="1:8" s="6" customFormat="1" ht="24" customHeight="1">
      <c r="A22" s="51" t="s">
        <v>781</v>
      </c>
      <c r="B22" s="138"/>
      <c r="C22" s="45"/>
      <c r="D22" s="326">
        <f t="shared" si="0"/>
        <v>0</v>
      </c>
      <c r="E22" s="43"/>
      <c r="F22" s="326">
        <f t="shared" si="1"/>
        <v>0</v>
      </c>
      <c r="G22" s="45"/>
      <c r="H22" s="326">
        <f t="shared" si="2"/>
        <v>0</v>
      </c>
    </row>
    <row r="23" spans="1:8" s="6" customFormat="1" ht="24" customHeight="1">
      <c r="A23" s="51" t="s">
        <v>786</v>
      </c>
      <c r="B23" s="138"/>
      <c r="C23" s="325"/>
      <c r="D23" s="326">
        <f t="shared" si="0"/>
        <v>0</v>
      </c>
      <c r="E23" s="43"/>
      <c r="F23" s="326">
        <f t="shared" si="1"/>
        <v>0</v>
      </c>
      <c r="G23" s="45"/>
      <c r="H23" s="326">
        <f t="shared" si="2"/>
        <v>0</v>
      </c>
    </row>
    <row r="24" spans="1:8" s="6" customFormat="1" ht="24" customHeight="1">
      <c r="A24" s="51" t="s">
        <v>785</v>
      </c>
      <c r="B24" s="138"/>
      <c r="C24" s="325"/>
      <c r="D24" s="326">
        <f t="shared" si="0"/>
        <v>0</v>
      </c>
      <c r="E24" s="43"/>
      <c r="F24" s="326">
        <f t="shared" si="1"/>
        <v>0</v>
      </c>
      <c r="G24" s="45"/>
      <c r="H24" s="326">
        <f t="shared" si="2"/>
        <v>0</v>
      </c>
    </row>
    <row r="25" spans="1:8" s="6" customFormat="1" ht="24" customHeight="1">
      <c r="A25" s="51" t="s">
        <v>772</v>
      </c>
      <c r="B25" s="138"/>
      <c r="C25" s="325"/>
      <c r="D25" s="326">
        <f t="shared" si="0"/>
        <v>0</v>
      </c>
      <c r="E25" s="43"/>
      <c r="F25" s="326">
        <f t="shared" si="1"/>
        <v>0</v>
      </c>
      <c r="G25" s="45"/>
      <c r="H25" s="326">
        <f t="shared" si="2"/>
        <v>0</v>
      </c>
    </row>
    <row r="26" spans="1:8" s="6" customFormat="1" ht="24" customHeight="1">
      <c r="A26" s="51" t="s">
        <v>787</v>
      </c>
      <c r="B26" s="138"/>
      <c r="C26" s="325"/>
      <c r="D26" s="326">
        <f t="shared" si="0"/>
        <v>0</v>
      </c>
      <c r="E26" s="43"/>
      <c r="F26" s="326">
        <f t="shared" si="1"/>
        <v>0</v>
      </c>
      <c r="G26" s="45"/>
      <c r="H26" s="326">
        <f t="shared" si="2"/>
        <v>0</v>
      </c>
    </row>
    <row r="27" spans="1:8" s="6" customFormat="1" ht="24" customHeight="1">
      <c r="A27" s="51" t="s">
        <v>776</v>
      </c>
      <c r="B27" s="138"/>
      <c r="C27" s="325"/>
      <c r="D27" s="326">
        <f t="shared" si="0"/>
        <v>0</v>
      </c>
      <c r="E27" s="43"/>
      <c r="F27" s="326">
        <f t="shared" si="1"/>
        <v>0</v>
      </c>
      <c r="G27" s="45"/>
      <c r="H27" s="326">
        <f t="shared" si="2"/>
        <v>0</v>
      </c>
    </row>
    <row r="28" spans="1:8" s="6" customFormat="1" ht="24" customHeight="1">
      <c r="A28" s="51" t="s">
        <v>253</v>
      </c>
      <c r="B28" s="138"/>
      <c r="C28" s="325"/>
      <c r="D28" s="326">
        <f t="shared" si="0"/>
        <v>0</v>
      </c>
      <c r="E28" s="43"/>
      <c r="F28" s="326">
        <f t="shared" si="1"/>
        <v>0</v>
      </c>
      <c r="G28" s="45"/>
      <c r="H28" s="326">
        <f t="shared" si="2"/>
        <v>0</v>
      </c>
    </row>
    <row r="29" spans="1:8" s="6" customFormat="1" ht="24" customHeight="1">
      <c r="A29" s="51" t="s">
        <v>775</v>
      </c>
      <c r="B29" s="138"/>
      <c r="C29" s="325"/>
      <c r="D29" s="326">
        <f t="shared" si="0"/>
        <v>0</v>
      </c>
      <c r="E29" s="43"/>
      <c r="F29" s="326">
        <f t="shared" si="1"/>
        <v>0</v>
      </c>
      <c r="G29" s="45"/>
      <c r="H29" s="326">
        <f t="shared" si="2"/>
        <v>0</v>
      </c>
    </row>
    <row r="30" spans="1:8" s="6" customFormat="1" ht="24" customHeight="1">
      <c r="A30" s="51" t="s">
        <v>1458</v>
      </c>
      <c r="B30" s="138"/>
      <c r="C30" s="45"/>
      <c r="D30" s="326">
        <f t="shared" si="0"/>
        <v>0</v>
      </c>
      <c r="E30" s="43"/>
      <c r="F30" s="326">
        <f t="shared" si="1"/>
        <v>0</v>
      </c>
      <c r="G30" s="45"/>
      <c r="H30" s="326">
        <f t="shared" si="2"/>
        <v>0</v>
      </c>
    </row>
    <row r="31" spans="1:8" s="6" customFormat="1" ht="24" customHeight="1">
      <c r="A31" s="51" t="s">
        <v>773</v>
      </c>
      <c r="B31" s="138"/>
      <c r="C31" s="325"/>
      <c r="D31" s="326">
        <f t="shared" si="0"/>
        <v>0</v>
      </c>
      <c r="E31" s="43"/>
      <c r="F31" s="326">
        <f t="shared" si="1"/>
        <v>0</v>
      </c>
      <c r="G31" s="45"/>
      <c r="H31" s="326">
        <f t="shared" si="2"/>
        <v>0</v>
      </c>
    </row>
    <row r="32" spans="1:8" s="6" customFormat="1" ht="24" customHeight="1">
      <c r="A32" s="51" t="s">
        <v>778</v>
      </c>
      <c r="B32" s="138"/>
      <c r="C32" s="325"/>
      <c r="D32" s="326">
        <f t="shared" si="0"/>
        <v>0</v>
      </c>
      <c r="E32" s="43"/>
      <c r="F32" s="326">
        <f t="shared" si="1"/>
        <v>0</v>
      </c>
      <c r="G32" s="45"/>
      <c r="H32" s="326">
        <f t="shared" si="2"/>
        <v>0</v>
      </c>
    </row>
    <row r="33" spans="1:8" s="6" customFormat="1" ht="24" customHeight="1">
      <c r="A33" s="51" t="s">
        <v>779</v>
      </c>
      <c r="B33" s="138"/>
      <c r="C33" s="325"/>
      <c r="D33" s="326">
        <f t="shared" si="0"/>
        <v>0</v>
      </c>
      <c r="E33" s="43"/>
      <c r="F33" s="326">
        <f t="shared" si="1"/>
        <v>0</v>
      </c>
      <c r="G33" s="45"/>
      <c r="H33" s="326">
        <f t="shared" si="2"/>
        <v>0</v>
      </c>
    </row>
    <row r="34" spans="1:8" s="6" customFormat="1" ht="24" customHeight="1">
      <c r="A34" s="51" t="s">
        <v>247</v>
      </c>
      <c r="B34" s="138"/>
      <c r="C34" s="325"/>
      <c r="D34" s="326">
        <f t="shared" si="0"/>
        <v>0</v>
      </c>
      <c r="E34" s="43"/>
      <c r="F34" s="326">
        <f t="shared" si="1"/>
        <v>0</v>
      </c>
      <c r="G34" s="45"/>
      <c r="H34" s="326">
        <f t="shared" si="2"/>
        <v>0</v>
      </c>
    </row>
    <row r="35" spans="1:8" s="6" customFormat="1" ht="24" customHeight="1">
      <c r="A35" s="51" t="s">
        <v>780</v>
      </c>
      <c r="B35" s="138"/>
      <c r="C35" s="325"/>
      <c r="D35" s="326">
        <f t="shared" si="0"/>
        <v>0</v>
      </c>
      <c r="E35" s="43"/>
      <c r="F35" s="326">
        <f t="shared" si="1"/>
        <v>0</v>
      </c>
      <c r="G35" s="45"/>
      <c r="H35" s="326">
        <f t="shared" si="2"/>
        <v>0</v>
      </c>
    </row>
    <row r="36" spans="1:8" s="6" customFormat="1" ht="24" customHeight="1">
      <c r="A36" s="51" t="s">
        <v>783</v>
      </c>
      <c r="B36" s="138"/>
      <c r="C36" s="325"/>
      <c r="D36" s="326">
        <f t="shared" si="0"/>
        <v>0</v>
      </c>
      <c r="E36" s="43"/>
      <c r="F36" s="326">
        <f t="shared" si="1"/>
        <v>0</v>
      </c>
      <c r="G36" s="45"/>
      <c r="H36" s="326">
        <f t="shared" si="2"/>
        <v>0</v>
      </c>
    </row>
    <row r="37" spans="1:8" s="6" customFormat="1" ht="24" customHeight="1">
      <c r="A37" s="51" t="s">
        <v>792</v>
      </c>
      <c r="B37" s="138"/>
      <c r="C37" s="325"/>
      <c r="D37" s="326">
        <f t="shared" si="0"/>
        <v>0</v>
      </c>
      <c r="E37" s="43"/>
      <c r="F37" s="326">
        <f t="shared" si="1"/>
        <v>0</v>
      </c>
      <c r="G37" s="45"/>
      <c r="H37" s="326">
        <f t="shared" si="2"/>
        <v>0</v>
      </c>
    </row>
    <row r="38" spans="1:8" s="6" customFormat="1" ht="24" customHeight="1">
      <c r="A38" s="51" t="s">
        <v>254</v>
      </c>
      <c r="B38" s="138"/>
      <c r="C38" s="325"/>
      <c r="D38" s="326">
        <f t="shared" si="0"/>
        <v>0</v>
      </c>
      <c r="E38" s="43"/>
      <c r="F38" s="326">
        <f t="shared" si="1"/>
        <v>0</v>
      </c>
      <c r="G38" s="45"/>
      <c r="H38" s="326">
        <f t="shared" si="2"/>
        <v>0</v>
      </c>
    </row>
    <row r="39" spans="1:8" s="6" customFormat="1" ht="24" customHeight="1">
      <c r="A39" s="51" t="s">
        <v>1175</v>
      </c>
      <c r="B39" s="138"/>
      <c r="C39" s="325"/>
      <c r="D39" s="326">
        <f t="shared" si="0"/>
        <v>0</v>
      </c>
      <c r="E39" s="43"/>
      <c r="F39" s="326">
        <f t="shared" si="1"/>
        <v>0</v>
      </c>
      <c r="G39" s="45"/>
      <c r="H39" s="326">
        <f t="shared" si="2"/>
        <v>0</v>
      </c>
    </row>
    <row r="40" spans="1:8" s="6" customFormat="1" ht="24" customHeight="1">
      <c r="A40" s="51" t="s">
        <v>789</v>
      </c>
      <c r="B40" s="138"/>
      <c r="C40" s="325"/>
      <c r="D40" s="326">
        <f t="shared" si="0"/>
        <v>0</v>
      </c>
      <c r="E40" s="43"/>
      <c r="F40" s="326">
        <f t="shared" si="1"/>
        <v>0</v>
      </c>
      <c r="G40" s="45"/>
      <c r="H40" s="326">
        <f t="shared" si="2"/>
        <v>0</v>
      </c>
    </row>
    <row r="41" spans="1:8" s="6" customFormat="1" ht="24" customHeight="1">
      <c r="A41" s="51" t="s">
        <v>791</v>
      </c>
      <c r="B41" s="138"/>
      <c r="C41" s="325"/>
      <c r="D41" s="326">
        <f t="shared" si="0"/>
        <v>0</v>
      </c>
      <c r="E41" s="43"/>
      <c r="F41" s="326">
        <f t="shared" si="1"/>
        <v>0</v>
      </c>
      <c r="G41" s="45"/>
      <c r="H41" s="326">
        <f t="shared" si="2"/>
        <v>0</v>
      </c>
    </row>
    <row r="42" spans="1:8" s="6" customFormat="1" ht="24" customHeight="1">
      <c r="A42" s="51" t="s">
        <v>1136</v>
      </c>
      <c r="B42" s="138"/>
      <c r="C42" s="325"/>
      <c r="D42" s="326">
        <f t="shared" si="0"/>
        <v>0</v>
      </c>
      <c r="E42" s="43"/>
      <c r="F42" s="326">
        <f t="shared" si="1"/>
        <v>0</v>
      </c>
      <c r="G42" s="45"/>
      <c r="H42" s="326">
        <f t="shared" si="2"/>
        <v>0</v>
      </c>
    </row>
    <row r="43" spans="1:8" s="6" customFormat="1" ht="24" customHeight="1">
      <c r="A43" s="51" t="s">
        <v>255</v>
      </c>
      <c r="B43" s="138"/>
      <c r="C43" s="325"/>
      <c r="D43" s="326">
        <f t="shared" si="0"/>
        <v>0</v>
      </c>
      <c r="E43" s="43"/>
      <c r="F43" s="326">
        <f t="shared" si="1"/>
        <v>0</v>
      </c>
      <c r="G43" s="45"/>
      <c r="H43" s="326">
        <f t="shared" si="2"/>
        <v>0</v>
      </c>
    </row>
    <row r="44" spans="1:8" s="6" customFormat="1" ht="24" customHeight="1">
      <c r="A44" s="51" t="s">
        <v>788</v>
      </c>
      <c r="B44" s="138"/>
      <c r="C44" s="325"/>
      <c r="D44" s="326">
        <f t="shared" si="0"/>
        <v>0</v>
      </c>
      <c r="E44" s="43"/>
      <c r="F44" s="326">
        <f t="shared" si="1"/>
        <v>0</v>
      </c>
      <c r="G44" s="45"/>
      <c r="H44" s="326">
        <f t="shared" si="2"/>
        <v>0</v>
      </c>
    </row>
    <row r="45" spans="1:8" s="6" customFormat="1" ht="24" customHeight="1">
      <c r="A45" s="218" t="s">
        <v>256</v>
      </c>
      <c r="B45" s="308"/>
      <c r="C45" s="327"/>
      <c r="D45" s="328">
        <f t="shared" si="0"/>
        <v>0</v>
      </c>
      <c r="E45" s="52"/>
      <c r="F45" s="328">
        <f>+E45/E$72*100000</f>
        <v>0</v>
      </c>
      <c r="G45" s="71"/>
      <c r="H45" s="328">
        <f>+G45/G$72*100000</f>
        <v>0</v>
      </c>
    </row>
    <row r="47" spans="1:8">
      <c r="A47" t="s">
        <v>793</v>
      </c>
    </row>
    <row r="50" spans="1:1">
      <c r="A50" s="2" t="s">
        <v>1610</v>
      </c>
    </row>
    <row r="67" spans="3:7">
      <c r="D67" s="149"/>
      <c r="E67" s="329"/>
      <c r="F67" s="329"/>
    </row>
    <row r="72" spans="3:7">
      <c r="C72" s="115">
        <f>+'7'!$B$20</f>
        <v>19116208</v>
      </c>
      <c r="D72" s="115"/>
      <c r="E72" s="115">
        <f>+'7'!$C$20</f>
        <v>1960170</v>
      </c>
      <c r="F72" s="115"/>
      <c r="G72" s="115">
        <f>+'7'!$D$20</f>
        <v>283366</v>
      </c>
    </row>
  </sheetData>
  <phoneticPr fontId="19" type="noConversion"/>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topLeftCell="A7" zoomScale="75" workbookViewId="0">
      <selection activeCell="J13" sqref="J13"/>
    </sheetView>
  </sheetViews>
  <sheetFormatPr baseColWidth="10" defaultRowHeight="13.2"/>
  <cols>
    <col min="2" max="2" width="25" customWidth="1"/>
    <col min="3" max="3" width="10.77734375" customWidth="1"/>
    <col min="4" max="5" width="10.21875" customWidth="1"/>
    <col min="6" max="6" width="10.5546875" customWidth="1"/>
    <col min="7" max="7" width="10.21875" customWidth="1"/>
  </cols>
  <sheetData>
    <row r="1" spans="1:10">
      <c r="A1" s="1588" t="s">
        <v>1427</v>
      </c>
      <c r="B1" s="1588"/>
      <c r="C1" s="1588"/>
      <c r="D1" s="1588"/>
      <c r="E1" s="1588"/>
      <c r="F1" s="1588"/>
      <c r="G1" s="1588"/>
      <c r="H1" s="1588"/>
      <c r="I1" s="1588"/>
    </row>
    <row r="2" spans="1:10">
      <c r="A2" s="80"/>
      <c r="B2" s="113"/>
      <c r="C2" s="113"/>
      <c r="D2" s="113"/>
      <c r="E2" s="113"/>
      <c r="F2" s="113"/>
      <c r="G2" s="113"/>
    </row>
    <row r="3" spans="1:10">
      <c r="A3" s="1588" t="s">
        <v>767</v>
      </c>
      <c r="B3" s="1588"/>
      <c r="C3" s="1588"/>
      <c r="D3" s="1588"/>
      <c r="E3" s="1588"/>
      <c r="F3" s="1588"/>
      <c r="G3" s="1588"/>
      <c r="H3" s="1588"/>
      <c r="I3" s="1588"/>
    </row>
    <row r="4" spans="1:10">
      <c r="A4" s="80"/>
      <c r="B4" s="113"/>
      <c r="C4" s="113"/>
      <c r="D4" s="113"/>
      <c r="E4" s="113"/>
      <c r="F4" s="113"/>
      <c r="G4" s="113"/>
    </row>
    <row r="5" spans="1:10" ht="12" customHeight="1">
      <c r="A5" s="1588" t="s">
        <v>1023</v>
      </c>
      <c r="B5" s="1588"/>
      <c r="C5" s="1588"/>
      <c r="D5" s="1588"/>
      <c r="E5" s="1588"/>
      <c r="F5" s="1588"/>
      <c r="G5" s="1588"/>
      <c r="H5" s="1588"/>
      <c r="I5" s="1588"/>
    </row>
    <row r="6" spans="1:10">
      <c r="A6" s="113"/>
      <c r="B6" s="113"/>
      <c r="C6" s="113"/>
      <c r="D6" s="113"/>
      <c r="E6" s="113"/>
      <c r="F6" s="113"/>
      <c r="G6" s="113"/>
    </row>
    <row r="7" spans="1:10">
      <c r="A7" s="113"/>
      <c r="B7" s="113"/>
      <c r="C7" s="113"/>
      <c r="D7" s="113"/>
      <c r="E7" s="113"/>
      <c r="F7" s="113"/>
      <c r="G7" s="113"/>
    </row>
    <row r="10" spans="1:10">
      <c r="A10" s="319"/>
      <c r="B10" s="304"/>
      <c r="C10" s="178"/>
      <c r="D10" s="82"/>
      <c r="E10" s="240"/>
      <c r="F10" s="82"/>
      <c r="G10" s="304"/>
      <c r="H10" s="82"/>
      <c r="I10" s="82"/>
      <c r="J10" s="82"/>
    </row>
    <row r="11" spans="1:10">
      <c r="A11" s="320"/>
      <c r="B11" s="192"/>
      <c r="C11" s="195"/>
      <c r="D11" s="179"/>
      <c r="E11" s="1108"/>
      <c r="F11" s="179"/>
      <c r="G11" s="321"/>
      <c r="H11" s="179"/>
      <c r="I11" s="179"/>
      <c r="J11" s="179"/>
    </row>
    <row r="12" spans="1:10">
      <c r="A12" s="320" t="s">
        <v>770</v>
      </c>
      <c r="B12" s="192"/>
      <c r="C12" s="1108">
        <v>2013</v>
      </c>
      <c r="D12" s="179">
        <v>2014</v>
      </c>
      <c r="E12" s="321">
        <v>2015</v>
      </c>
      <c r="F12" s="179">
        <v>2016</v>
      </c>
      <c r="G12" s="179">
        <v>2017</v>
      </c>
      <c r="H12" s="179">
        <v>2018</v>
      </c>
      <c r="I12" s="179">
        <v>2019</v>
      </c>
      <c r="J12" s="179">
        <v>2020</v>
      </c>
    </row>
    <row r="13" spans="1:10">
      <c r="A13" s="322"/>
      <c r="B13" s="323"/>
      <c r="C13" s="692"/>
      <c r="D13" s="147"/>
      <c r="E13" s="323"/>
      <c r="F13" s="147"/>
      <c r="G13" s="147"/>
      <c r="H13" s="147"/>
      <c r="I13" s="147"/>
      <c r="J13" s="147"/>
    </row>
    <row r="14" spans="1:10" s="6" customFormat="1" ht="24" customHeight="1">
      <c r="A14" s="51" t="s">
        <v>782</v>
      </c>
      <c r="B14" s="138"/>
      <c r="C14" s="45">
        <v>0</v>
      </c>
      <c r="D14" s="44">
        <v>0</v>
      </c>
      <c r="E14" s="313">
        <v>0</v>
      </c>
      <c r="F14" s="313">
        <v>0</v>
      </c>
      <c r="G14" s="313">
        <v>0</v>
      </c>
      <c r="H14" s="313"/>
      <c r="I14" s="313"/>
      <c r="J14" s="313"/>
    </row>
    <row r="15" spans="1:10" s="6" customFormat="1" ht="24" customHeight="1">
      <c r="A15" s="51" t="s">
        <v>248</v>
      </c>
      <c r="B15" s="138"/>
      <c r="C15" s="45">
        <v>0</v>
      </c>
      <c r="D15" s="44">
        <v>0</v>
      </c>
      <c r="E15" s="313">
        <v>0</v>
      </c>
      <c r="F15" s="313">
        <v>0</v>
      </c>
      <c r="G15" s="313">
        <v>0</v>
      </c>
      <c r="H15" s="313"/>
      <c r="I15" s="313"/>
      <c r="J15" s="313"/>
    </row>
    <row r="16" spans="1:10" s="6" customFormat="1" ht="24" customHeight="1">
      <c r="A16" s="51" t="s">
        <v>777</v>
      </c>
      <c r="B16" s="138"/>
      <c r="C16" s="45">
        <v>0</v>
      </c>
      <c r="D16" s="44">
        <v>0</v>
      </c>
      <c r="E16" s="313">
        <v>0</v>
      </c>
      <c r="F16" s="313">
        <v>1</v>
      </c>
      <c r="G16" s="313">
        <v>0</v>
      </c>
      <c r="H16" s="313"/>
      <c r="I16" s="313"/>
      <c r="J16" s="313"/>
    </row>
    <row r="17" spans="1:10" s="6" customFormat="1" ht="24" customHeight="1">
      <c r="A17" s="51" t="s">
        <v>249</v>
      </c>
      <c r="B17" s="138"/>
      <c r="C17" s="45">
        <v>0</v>
      </c>
      <c r="D17" s="44">
        <v>1</v>
      </c>
      <c r="E17" s="313">
        <v>0</v>
      </c>
      <c r="F17" s="313">
        <v>0</v>
      </c>
      <c r="G17" s="313">
        <v>0</v>
      </c>
      <c r="H17" s="313"/>
      <c r="I17" s="313"/>
      <c r="J17" s="313"/>
    </row>
    <row r="18" spans="1:10" s="6" customFormat="1" ht="24" customHeight="1">
      <c r="A18" s="51" t="s">
        <v>790</v>
      </c>
      <c r="B18" s="138"/>
      <c r="C18" s="45">
        <v>0</v>
      </c>
      <c r="D18" s="44">
        <v>0</v>
      </c>
      <c r="E18" s="313">
        <v>0</v>
      </c>
      <c r="F18" s="313">
        <v>0</v>
      </c>
      <c r="G18" s="313">
        <v>0</v>
      </c>
      <c r="H18" s="313"/>
      <c r="I18" s="313"/>
      <c r="J18" s="313"/>
    </row>
    <row r="19" spans="1:10" s="6" customFormat="1" ht="24" customHeight="1">
      <c r="A19" s="51" t="s">
        <v>250</v>
      </c>
      <c r="B19" s="138"/>
      <c r="C19" s="45">
        <v>0</v>
      </c>
      <c r="D19" s="44">
        <v>0</v>
      </c>
      <c r="E19" s="313">
        <v>0</v>
      </c>
      <c r="F19" s="313">
        <v>0</v>
      </c>
      <c r="G19" s="313">
        <v>0</v>
      </c>
      <c r="H19" s="313"/>
      <c r="I19" s="313"/>
      <c r="J19" s="313"/>
    </row>
    <row r="20" spans="1:10" s="6" customFormat="1" ht="24" customHeight="1">
      <c r="A20" s="51" t="s">
        <v>251</v>
      </c>
      <c r="B20" s="138"/>
      <c r="C20" s="45">
        <v>4</v>
      </c>
      <c r="D20" s="44">
        <v>2</v>
      </c>
      <c r="E20" s="313">
        <v>7</v>
      </c>
      <c r="F20" s="313">
        <v>3</v>
      </c>
      <c r="G20" s="313">
        <v>1</v>
      </c>
      <c r="H20" s="313"/>
      <c r="I20" s="313"/>
      <c r="J20" s="313"/>
    </row>
    <row r="21" spans="1:10" s="6" customFormat="1" ht="24" customHeight="1">
      <c r="A21" s="51" t="s">
        <v>252</v>
      </c>
      <c r="B21" s="138"/>
      <c r="C21" s="45">
        <v>1</v>
      </c>
      <c r="D21" s="44">
        <v>0</v>
      </c>
      <c r="E21" s="313">
        <v>2</v>
      </c>
      <c r="F21" s="313">
        <v>4</v>
      </c>
      <c r="G21" s="313">
        <v>0</v>
      </c>
      <c r="H21" s="313"/>
      <c r="I21" s="313"/>
      <c r="J21" s="313"/>
    </row>
    <row r="22" spans="1:10" s="6" customFormat="1" ht="24" customHeight="1">
      <c r="A22" s="51" t="s">
        <v>781</v>
      </c>
      <c r="B22" s="138"/>
      <c r="C22" s="45">
        <v>28</v>
      </c>
      <c r="D22" s="44">
        <v>19</v>
      </c>
      <c r="E22" s="313">
        <v>14</v>
      </c>
      <c r="F22" s="313">
        <v>25</v>
      </c>
      <c r="G22" s="313">
        <v>0</v>
      </c>
      <c r="H22" s="313"/>
      <c r="I22" s="313"/>
      <c r="J22" s="313"/>
    </row>
    <row r="23" spans="1:10" s="6" customFormat="1" ht="24" customHeight="1">
      <c r="A23" s="51" t="s">
        <v>786</v>
      </c>
      <c r="B23" s="138"/>
      <c r="C23" s="45">
        <v>9</v>
      </c>
      <c r="D23" s="44">
        <v>10</v>
      </c>
      <c r="E23" s="313">
        <v>10</v>
      </c>
      <c r="F23" s="313">
        <v>7</v>
      </c>
      <c r="G23" s="313">
        <v>5</v>
      </c>
      <c r="H23" s="313"/>
      <c r="I23" s="313"/>
      <c r="J23" s="313"/>
    </row>
    <row r="24" spans="1:10" s="6" customFormat="1" ht="24" customHeight="1">
      <c r="A24" s="51" t="s">
        <v>785</v>
      </c>
      <c r="B24" s="138"/>
      <c r="C24" s="45">
        <v>83</v>
      </c>
      <c r="D24" s="44">
        <v>46</v>
      </c>
      <c r="E24" s="313">
        <v>57</v>
      </c>
      <c r="F24" s="313">
        <v>77</v>
      </c>
      <c r="G24" s="313">
        <v>23</v>
      </c>
      <c r="H24" s="313"/>
      <c r="I24" s="313"/>
      <c r="J24" s="313"/>
    </row>
    <row r="25" spans="1:10" s="6" customFormat="1" ht="24" customHeight="1">
      <c r="A25" s="51" t="s">
        <v>772</v>
      </c>
      <c r="B25" s="138"/>
      <c r="C25" s="45">
        <v>0</v>
      </c>
      <c r="D25" s="44">
        <v>0</v>
      </c>
      <c r="E25" s="313">
        <v>0</v>
      </c>
      <c r="F25" s="313">
        <v>0</v>
      </c>
      <c r="G25" s="313">
        <v>0</v>
      </c>
      <c r="H25" s="313"/>
      <c r="I25" s="313"/>
      <c r="J25" s="313"/>
    </row>
    <row r="26" spans="1:10" s="6" customFormat="1" ht="24" customHeight="1">
      <c r="A26" s="51" t="s">
        <v>787</v>
      </c>
      <c r="B26" s="138"/>
      <c r="C26" s="45">
        <v>12</v>
      </c>
      <c r="D26" s="44">
        <v>15</v>
      </c>
      <c r="E26" s="313">
        <v>11</v>
      </c>
      <c r="F26" s="313">
        <v>7</v>
      </c>
      <c r="G26" s="313">
        <v>0</v>
      </c>
      <c r="H26" s="313"/>
      <c r="I26" s="313"/>
      <c r="J26" s="313"/>
    </row>
    <row r="27" spans="1:10" s="6" customFormat="1" ht="24" customHeight="1">
      <c r="A27" s="51" t="s">
        <v>776</v>
      </c>
      <c r="B27" s="138"/>
      <c r="C27" s="45">
        <v>0</v>
      </c>
      <c r="D27" s="44">
        <v>0</v>
      </c>
      <c r="E27" s="313">
        <v>0</v>
      </c>
      <c r="F27" s="313">
        <v>0</v>
      </c>
      <c r="G27" s="313">
        <v>0</v>
      </c>
      <c r="H27" s="313"/>
      <c r="I27" s="313"/>
      <c r="J27" s="313"/>
    </row>
    <row r="28" spans="1:10" s="6" customFormat="1" ht="24" customHeight="1">
      <c r="A28" s="51" t="s">
        <v>253</v>
      </c>
      <c r="B28" s="138"/>
      <c r="C28" s="45">
        <v>0</v>
      </c>
      <c r="D28" s="44">
        <v>0</v>
      </c>
      <c r="E28" s="313">
        <v>0</v>
      </c>
      <c r="F28" s="313">
        <v>0</v>
      </c>
      <c r="G28" s="313">
        <v>0</v>
      </c>
      <c r="H28" s="313"/>
      <c r="I28" s="313"/>
      <c r="J28" s="313"/>
    </row>
    <row r="29" spans="1:10" s="6" customFormat="1" ht="24" customHeight="1">
      <c r="A29" s="51" t="s">
        <v>775</v>
      </c>
      <c r="B29" s="138"/>
      <c r="C29" s="45">
        <v>0</v>
      </c>
      <c r="D29" s="44">
        <v>0</v>
      </c>
      <c r="E29" s="313">
        <v>0</v>
      </c>
      <c r="F29" s="313">
        <v>0</v>
      </c>
      <c r="G29" s="313">
        <v>0</v>
      </c>
      <c r="H29" s="313"/>
      <c r="I29" s="313"/>
      <c r="J29" s="313"/>
    </row>
    <row r="30" spans="1:10" s="6" customFormat="1" ht="24" customHeight="1">
      <c r="A30" s="51" t="s">
        <v>774</v>
      </c>
      <c r="B30" s="138"/>
      <c r="C30" s="45">
        <v>0</v>
      </c>
      <c r="D30" s="44">
        <v>0</v>
      </c>
      <c r="E30" s="313">
        <v>0</v>
      </c>
      <c r="F30" s="313">
        <v>0</v>
      </c>
      <c r="G30" s="313">
        <v>0</v>
      </c>
      <c r="H30" s="313"/>
      <c r="I30" s="313"/>
      <c r="J30" s="313"/>
    </row>
    <row r="31" spans="1:10" s="6" customFormat="1" ht="24" customHeight="1">
      <c r="A31" s="51" t="s">
        <v>773</v>
      </c>
      <c r="B31" s="138"/>
      <c r="C31" s="45">
        <v>2</v>
      </c>
      <c r="D31" s="44">
        <v>9</v>
      </c>
      <c r="E31" s="313">
        <v>6</v>
      </c>
      <c r="F31" s="313">
        <v>14</v>
      </c>
      <c r="G31" s="313">
        <v>0</v>
      </c>
      <c r="H31" s="313"/>
      <c r="I31" s="313"/>
      <c r="J31" s="313"/>
    </row>
    <row r="32" spans="1:10" s="6" customFormat="1" ht="24" customHeight="1">
      <c r="A32" s="51" t="s">
        <v>778</v>
      </c>
      <c r="B32" s="138"/>
      <c r="C32" s="45">
        <v>15</v>
      </c>
      <c r="D32" s="44">
        <v>5</v>
      </c>
      <c r="E32" s="313">
        <v>0</v>
      </c>
      <c r="F32" s="313">
        <v>4</v>
      </c>
      <c r="G32" s="313">
        <v>0</v>
      </c>
      <c r="H32" s="313"/>
      <c r="I32" s="313"/>
      <c r="J32" s="313"/>
    </row>
    <row r="33" spans="1:10" s="6" customFormat="1" ht="24" customHeight="1">
      <c r="A33" s="51" t="s">
        <v>779</v>
      </c>
      <c r="B33" s="138"/>
      <c r="C33" s="45">
        <v>22</v>
      </c>
      <c r="D33" s="44">
        <v>9</v>
      </c>
      <c r="E33" s="313">
        <v>9</v>
      </c>
      <c r="F33" s="313">
        <v>7</v>
      </c>
      <c r="G33" s="313">
        <v>2</v>
      </c>
      <c r="H33" s="313"/>
      <c r="I33" s="313"/>
      <c r="J33" s="313"/>
    </row>
    <row r="34" spans="1:10" s="6" customFormat="1" ht="24" customHeight="1">
      <c r="A34" s="51" t="s">
        <v>247</v>
      </c>
      <c r="B34" s="138"/>
      <c r="C34" s="45">
        <v>7</v>
      </c>
      <c r="D34" s="44">
        <v>3</v>
      </c>
      <c r="E34" s="313">
        <v>5</v>
      </c>
      <c r="F34" s="313">
        <v>6</v>
      </c>
      <c r="G34" s="313">
        <v>2</v>
      </c>
      <c r="H34" s="313"/>
      <c r="I34" s="313"/>
      <c r="J34" s="313"/>
    </row>
    <row r="35" spans="1:10" s="6" customFormat="1" ht="24" customHeight="1">
      <c r="A35" s="51" t="s">
        <v>780</v>
      </c>
      <c r="B35" s="138"/>
      <c r="C35" s="45">
        <v>1</v>
      </c>
      <c r="D35" s="44">
        <v>0</v>
      </c>
      <c r="E35" s="313">
        <v>0</v>
      </c>
      <c r="F35" s="313">
        <v>0</v>
      </c>
      <c r="G35" s="313">
        <v>0</v>
      </c>
      <c r="H35" s="313"/>
      <c r="I35" s="313"/>
      <c r="J35" s="313"/>
    </row>
    <row r="36" spans="1:10" s="6" customFormat="1" ht="24" customHeight="1">
      <c r="A36" s="51" t="s">
        <v>783</v>
      </c>
      <c r="B36" s="138"/>
      <c r="C36" s="45">
        <v>0</v>
      </c>
      <c r="D36" s="44">
        <v>0</v>
      </c>
      <c r="E36" s="313">
        <v>0</v>
      </c>
      <c r="F36" s="313">
        <v>0</v>
      </c>
      <c r="G36" s="313">
        <v>0</v>
      </c>
      <c r="H36" s="313"/>
      <c r="I36" s="313"/>
      <c r="J36" s="313"/>
    </row>
    <row r="37" spans="1:10" s="6" customFormat="1" ht="24" customHeight="1">
      <c r="A37" s="51" t="s">
        <v>792</v>
      </c>
      <c r="B37" s="138"/>
      <c r="C37" s="45">
        <v>0</v>
      </c>
      <c r="D37" s="44">
        <v>0</v>
      </c>
      <c r="E37" s="313">
        <v>0</v>
      </c>
      <c r="F37" s="313">
        <v>0</v>
      </c>
      <c r="G37" s="313">
        <v>0</v>
      </c>
      <c r="H37" s="313"/>
      <c r="I37" s="313"/>
      <c r="J37" s="313"/>
    </row>
    <row r="38" spans="1:10" s="6" customFormat="1" ht="24" customHeight="1">
      <c r="A38" s="51" t="s">
        <v>254</v>
      </c>
      <c r="B38" s="138"/>
      <c r="C38" s="45">
        <v>4</v>
      </c>
      <c r="D38" s="44">
        <v>0</v>
      </c>
      <c r="E38" s="313">
        <v>2</v>
      </c>
      <c r="F38" s="313">
        <v>8</v>
      </c>
      <c r="G38" s="313">
        <v>12</v>
      </c>
      <c r="H38" s="313"/>
      <c r="I38" s="313"/>
      <c r="J38" s="313"/>
    </row>
    <row r="39" spans="1:10" s="6" customFormat="1" ht="24" customHeight="1">
      <c r="A39" s="51" t="s">
        <v>1175</v>
      </c>
      <c r="B39" s="138"/>
      <c r="C39" s="45">
        <v>0</v>
      </c>
      <c r="D39" s="44">
        <v>1</v>
      </c>
      <c r="E39" s="313">
        <v>0</v>
      </c>
      <c r="F39" s="313">
        <v>0</v>
      </c>
      <c r="G39" s="313">
        <v>0</v>
      </c>
      <c r="H39" s="313"/>
      <c r="I39" s="313"/>
      <c r="J39" s="313"/>
    </row>
    <row r="40" spans="1:10" s="6" customFormat="1" ht="24" customHeight="1">
      <c r="A40" s="51" t="s">
        <v>789</v>
      </c>
      <c r="B40" s="138"/>
      <c r="C40" s="45">
        <v>3</v>
      </c>
      <c r="D40" s="44">
        <v>0</v>
      </c>
      <c r="E40" s="313">
        <v>2</v>
      </c>
      <c r="F40" s="313">
        <v>1</v>
      </c>
      <c r="G40" s="313">
        <v>0</v>
      </c>
      <c r="H40" s="313"/>
      <c r="I40" s="313"/>
      <c r="J40" s="313"/>
    </row>
    <row r="41" spans="1:10" s="6" customFormat="1" ht="24" customHeight="1">
      <c r="A41" s="51" t="s">
        <v>791</v>
      </c>
      <c r="B41" s="138"/>
      <c r="C41" s="45">
        <v>0</v>
      </c>
      <c r="D41" s="44">
        <v>0</v>
      </c>
      <c r="E41" s="313">
        <v>0</v>
      </c>
      <c r="F41" s="313">
        <v>0</v>
      </c>
      <c r="G41" s="313">
        <v>0</v>
      </c>
      <c r="H41" s="313"/>
      <c r="I41" s="313"/>
      <c r="J41" s="313"/>
    </row>
    <row r="42" spans="1:10" s="6" customFormat="1" ht="24" customHeight="1">
      <c r="A42" s="51" t="s">
        <v>1136</v>
      </c>
      <c r="B42" s="138"/>
      <c r="C42" s="45">
        <v>0</v>
      </c>
      <c r="D42" s="44">
        <v>1</v>
      </c>
      <c r="E42" s="313">
        <v>0</v>
      </c>
      <c r="F42" s="313">
        <v>1</v>
      </c>
      <c r="G42" s="313">
        <v>0</v>
      </c>
      <c r="H42" s="313"/>
      <c r="I42" s="313"/>
      <c r="J42" s="313"/>
    </row>
    <row r="43" spans="1:10" s="6" customFormat="1" ht="24" customHeight="1">
      <c r="A43" s="51" t="s">
        <v>255</v>
      </c>
      <c r="B43" s="138"/>
      <c r="C43" s="45">
        <v>0</v>
      </c>
      <c r="D43" s="44">
        <v>0</v>
      </c>
      <c r="E43" s="313">
        <v>0</v>
      </c>
      <c r="F43" s="313">
        <v>0</v>
      </c>
      <c r="G43" s="313">
        <v>0</v>
      </c>
      <c r="H43" s="313"/>
      <c r="I43" s="313"/>
      <c r="J43" s="313"/>
    </row>
    <row r="44" spans="1:10" s="6" customFormat="1" ht="24" customHeight="1">
      <c r="A44" s="51" t="s">
        <v>788</v>
      </c>
      <c r="B44" s="138"/>
      <c r="C44" s="45">
        <v>0</v>
      </c>
      <c r="D44" s="44">
        <v>0</v>
      </c>
      <c r="E44" s="313">
        <v>0</v>
      </c>
      <c r="F44" s="313">
        <v>0</v>
      </c>
      <c r="G44" s="313">
        <v>0</v>
      </c>
      <c r="H44" s="313"/>
      <c r="I44" s="313"/>
      <c r="J44" s="313"/>
    </row>
    <row r="45" spans="1:10" s="6" customFormat="1" ht="24" customHeight="1">
      <c r="A45" s="218" t="s">
        <v>256</v>
      </c>
      <c r="B45" s="308"/>
      <c r="C45" s="71">
        <v>1</v>
      </c>
      <c r="D45" s="54">
        <v>0</v>
      </c>
      <c r="E45" s="1107">
        <v>2</v>
      </c>
      <c r="F45" s="1107">
        <v>0</v>
      </c>
      <c r="G45" s="1107">
        <v>0</v>
      </c>
      <c r="H45" s="1107"/>
      <c r="I45" s="1107"/>
      <c r="J45" s="1107"/>
    </row>
    <row r="48" spans="1:10">
      <c r="A48" s="2" t="s">
        <v>1692</v>
      </c>
    </row>
    <row r="67" spans="3:7">
      <c r="D67" s="149"/>
      <c r="E67" s="329"/>
      <c r="F67" s="329"/>
    </row>
    <row r="72" spans="3:7">
      <c r="C72" s="115"/>
      <c r="D72" s="115"/>
      <c r="E72" s="115"/>
      <c r="F72" s="115"/>
      <c r="G72" s="115"/>
    </row>
  </sheetData>
  <mergeCells count="3">
    <mergeCell ref="A1:I1"/>
    <mergeCell ref="A3:I3"/>
    <mergeCell ref="A5:I5"/>
  </mergeCells>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1"/>
  <sheetViews>
    <sheetView showGridLines="0" topLeftCell="B1" workbookViewId="0">
      <selection sqref="A1:L1"/>
    </sheetView>
  </sheetViews>
  <sheetFormatPr baseColWidth="10" defaultRowHeight="13.2"/>
  <cols>
    <col min="2" max="2" width="34.77734375" customWidth="1"/>
  </cols>
  <sheetData>
    <row r="1" spans="1:13" ht="22.5" customHeight="1">
      <c r="A1" s="1569"/>
      <c r="B1" s="1569"/>
      <c r="C1" s="1569"/>
      <c r="D1" s="1569"/>
      <c r="E1" s="1569"/>
      <c r="F1" s="1569"/>
      <c r="G1" s="1569"/>
      <c r="H1" s="1569"/>
      <c r="I1" s="1569"/>
      <c r="J1" s="1569"/>
      <c r="K1" s="1569"/>
      <c r="L1" s="1569"/>
    </row>
    <row r="4" spans="1:13" ht="24.75" customHeight="1">
      <c r="A4" s="6"/>
      <c r="B4" s="950"/>
      <c r="C4" s="1589"/>
      <c r="D4" s="1589"/>
      <c r="E4" s="1589"/>
      <c r="F4" s="1589"/>
      <c r="G4" s="1589"/>
      <c r="H4" s="1589"/>
      <c r="I4" s="1589"/>
      <c r="J4" s="1589"/>
      <c r="K4" s="1589"/>
      <c r="L4" s="1589"/>
      <c r="M4" s="1589"/>
    </row>
    <row r="5" spans="1:13">
      <c r="A5" s="6"/>
      <c r="B5" s="6"/>
      <c r="C5" s="6"/>
      <c r="D5" s="6"/>
      <c r="E5" s="6"/>
      <c r="F5" s="6"/>
      <c r="G5" s="6"/>
      <c r="H5" s="6"/>
      <c r="I5" s="6"/>
      <c r="J5" s="6"/>
      <c r="K5" s="6"/>
      <c r="L5" s="6"/>
      <c r="M5" s="6"/>
    </row>
    <row r="6" spans="1:13" ht="26.25" customHeight="1">
      <c r="A6" s="6"/>
      <c r="B6" s="950"/>
      <c r="C6" s="1589"/>
      <c r="D6" s="1589"/>
      <c r="E6" s="1589"/>
      <c r="F6" s="1589"/>
      <c r="G6" s="1589"/>
      <c r="H6" s="1589"/>
      <c r="I6" s="1589"/>
      <c r="J6" s="1589"/>
      <c r="K6" s="1589"/>
      <c r="L6" s="1589"/>
      <c r="M6" s="1589"/>
    </row>
    <row r="7" spans="1:13">
      <c r="A7" s="6"/>
      <c r="B7" s="6"/>
      <c r="C7" s="6"/>
      <c r="D7" s="6"/>
      <c r="E7" s="6"/>
      <c r="F7" s="6"/>
      <c r="G7" s="6"/>
      <c r="H7" s="6"/>
      <c r="I7" s="6"/>
      <c r="J7" s="6"/>
      <c r="K7" s="6"/>
      <c r="L7" s="6"/>
      <c r="M7" s="6"/>
    </row>
    <row r="8" spans="1:13">
      <c r="A8" s="6"/>
      <c r="B8" s="6"/>
      <c r="C8" s="6"/>
      <c r="D8" s="6"/>
      <c r="E8" s="6"/>
      <c r="F8" s="6"/>
      <c r="G8" s="6"/>
      <c r="H8" s="6"/>
      <c r="I8" s="6"/>
      <c r="J8" s="6"/>
      <c r="K8" s="6"/>
      <c r="L8" s="6"/>
      <c r="M8" s="6"/>
    </row>
    <row r="9" spans="1:13" ht="29.25" customHeight="1">
      <c r="A9" s="6"/>
      <c r="B9" s="950"/>
      <c r="C9" s="1589"/>
      <c r="D9" s="1589"/>
      <c r="E9" s="1589"/>
      <c r="F9" s="1589"/>
      <c r="G9" s="1589"/>
      <c r="H9" s="1589"/>
      <c r="I9" s="1589"/>
      <c r="J9" s="1589"/>
      <c r="K9" s="1589"/>
      <c r="L9" s="1589"/>
      <c r="M9" s="1589"/>
    </row>
    <row r="10" spans="1:13" ht="22.8">
      <c r="A10" s="1174"/>
      <c r="B10" s="5"/>
      <c r="C10" s="5"/>
      <c r="D10" s="5"/>
      <c r="E10" s="5"/>
      <c r="F10" s="5"/>
      <c r="G10" s="5"/>
      <c r="H10" s="6"/>
      <c r="I10" s="6"/>
      <c r="J10" s="6"/>
      <c r="K10" s="6"/>
      <c r="L10" s="6"/>
      <c r="M10" s="6"/>
    </row>
    <row r="11" spans="1:13" ht="36.75" customHeight="1">
      <c r="A11" s="1174"/>
      <c r="B11" s="950"/>
      <c r="C11" s="1589"/>
      <c r="D11" s="1589"/>
      <c r="E11" s="1589"/>
      <c r="F11" s="1589"/>
      <c r="G11" s="1589"/>
      <c r="H11" s="1589"/>
      <c r="I11" s="1589"/>
      <c r="J11" s="1589"/>
      <c r="K11" s="1589"/>
      <c r="L11" s="1589"/>
      <c r="M11" s="1589"/>
    </row>
    <row r="12" spans="1:13" ht="22.8">
      <c r="A12" s="1590"/>
      <c r="B12" s="1590"/>
      <c r="C12" s="1590"/>
      <c r="D12" s="1590"/>
      <c r="E12" s="1590"/>
      <c r="F12" s="1590"/>
      <c r="G12" s="1590"/>
      <c r="H12" s="974"/>
      <c r="I12" s="6"/>
      <c r="J12" s="6"/>
      <c r="K12" s="6"/>
      <c r="L12" s="6"/>
      <c r="M12" s="6"/>
    </row>
    <row r="13" spans="1:13" ht="35.25" customHeight="1">
      <c r="A13" s="1175"/>
      <c r="B13" s="950"/>
      <c r="C13" s="1589"/>
      <c r="D13" s="1589"/>
      <c r="E13" s="1589"/>
      <c r="F13" s="1589"/>
      <c r="G13" s="1589"/>
      <c r="H13" s="1589"/>
      <c r="I13" s="1589"/>
      <c r="J13" s="1589"/>
      <c r="K13" s="1589"/>
      <c r="L13" s="1589"/>
      <c r="M13" s="1589"/>
    </row>
    <row r="14" spans="1:13" ht="22.8">
      <c r="A14" s="1175"/>
      <c r="B14" s="669"/>
      <c r="C14" s="669"/>
      <c r="D14" s="669"/>
      <c r="E14" s="669"/>
      <c r="F14" s="669"/>
      <c r="G14" s="669"/>
      <c r="H14" s="6"/>
      <c r="I14" s="6"/>
      <c r="J14" s="6"/>
      <c r="K14" s="6"/>
      <c r="L14" s="6"/>
      <c r="M14" s="6"/>
    </row>
    <row r="15" spans="1:13" ht="22.8">
      <c r="A15" s="1175"/>
      <c r="B15" s="950"/>
      <c r="C15" s="1589"/>
      <c r="D15" s="1589"/>
      <c r="E15" s="1589"/>
      <c r="F15" s="1589"/>
      <c r="G15" s="1589"/>
      <c r="H15" s="1589"/>
      <c r="I15" s="1589"/>
      <c r="J15" s="1589"/>
      <c r="K15" s="1589"/>
      <c r="L15" s="1589"/>
      <c r="M15" s="1589"/>
    </row>
    <row r="16" spans="1:13" ht="22.8">
      <c r="A16" s="1560"/>
      <c r="B16" s="1560"/>
      <c r="C16" s="1560"/>
      <c r="D16" s="1560"/>
      <c r="E16" s="1560"/>
      <c r="F16" s="1560"/>
      <c r="G16" s="1560"/>
    </row>
    <row r="17" spans="1:13" ht="22.5" customHeight="1">
      <c r="A17" s="330"/>
      <c r="B17" s="950"/>
      <c r="C17" s="1589"/>
      <c r="D17" s="1589"/>
      <c r="E17" s="1589"/>
      <c r="F17" s="1589"/>
      <c r="G17" s="1589"/>
      <c r="H17" s="1589"/>
      <c r="I17" s="1589"/>
      <c r="J17" s="1589"/>
      <c r="K17" s="1589"/>
      <c r="L17" s="1589"/>
      <c r="M17" s="1589"/>
    </row>
    <row r="18" spans="1:13" ht="22.8">
      <c r="A18" s="330"/>
      <c r="B18" s="331"/>
      <c r="C18" s="331"/>
      <c r="D18" s="331"/>
      <c r="E18" s="331"/>
      <c r="F18" s="331"/>
      <c r="G18" s="331"/>
    </row>
    <row r="19" spans="1:13" ht="22.8">
      <c r="A19" s="330"/>
      <c r="B19" s="950"/>
      <c r="C19" s="1589"/>
      <c r="D19" s="1589"/>
      <c r="E19" s="1589"/>
      <c r="F19" s="1589"/>
      <c r="G19" s="1589"/>
      <c r="H19" s="1589"/>
      <c r="I19" s="1589"/>
      <c r="J19" s="1589"/>
      <c r="K19" s="1589"/>
      <c r="L19" s="1589"/>
      <c r="M19" s="1589"/>
    </row>
    <row r="20" spans="1:13" ht="22.8">
      <c r="A20" s="330"/>
      <c r="B20" s="331"/>
      <c r="C20" s="331"/>
      <c r="D20" s="331"/>
      <c r="E20" s="331"/>
      <c r="F20" s="331"/>
      <c r="G20" s="331"/>
    </row>
    <row r="21" spans="1:13" ht="27.75" customHeight="1">
      <c r="A21" s="167"/>
      <c r="B21" s="950"/>
      <c r="C21" s="1589"/>
      <c r="D21" s="1589"/>
      <c r="E21" s="1589"/>
      <c r="F21" s="1589"/>
      <c r="G21" s="1589"/>
      <c r="H21" s="1589"/>
      <c r="I21" s="1589"/>
      <c r="J21" s="1589"/>
      <c r="K21" s="1589"/>
      <c r="L21" s="1589"/>
      <c r="M21" s="1589"/>
    </row>
    <row r="23" spans="1:13" ht="27" customHeight="1">
      <c r="B23" s="950"/>
      <c r="C23" s="1589"/>
      <c r="D23" s="1589"/>
      <c r="E23" s="1589"/>
      <c r="F23" s="1589"/>
      <c r="G23" s="1589"/>
      <c r="H23" s="1589"/>
      <c r="I23" s="1589"/>
      <c r="J23" s="1589"/>
      <c r="K23" s="1589"/>
      <c r="L23" s="1589"/>
      <c r="M23" s="1589"/>
    </row>
    <row r="25" spans="1:13" ht="24" customHeight="1">
      <c r="B25" s="950"/>
      <c r="C25" s="1589"/>
      <c r="D25" s="1589"/>
      <c r="E25" s="1589"/>
      <c r="F25" s="1589"/>
      <c r="G25" s="1589"/>
      <c r="H25" s="1589"/>
      <c r="I25" s="1589"/>
      <c r="J25" s="1589"/>
      <c r="K25" s="1589"/>
      <c r="L25" s="1589"/>
      <c r="M25" s="1589"/>
    </row>
    <row r="27" spans="1:13" ht="26.25" customHeight="1">
      <c r="B27" s="950"/>
      <c r="C27" s="1589"/>
      <c r="D27" s="1589"/>
      <c r="E27" s="1589"/>
      <c r="F27" s="1589"/>
      <c r="G27" s="1589"/>
      <c r="H27" s="1589"/>
      <c r="I27" s="1589"/>
      <c r="J27" s="1589"/>
      <c r="K27" s="1589"/>
      <c r="L27" s="1589"/>
      <c r="M27" s="1589"/>
    </row>
    <row r="29" spans="1:13" ht="28.5" customHeight="1">
      <c r="B29" s="950"/>
      <c r="C29" s="1589"/>
      <c r="D29" s="1589"/>
      <c r="E29" s="1589"/>
      <c r="F29" s="1589"/>
      <c r="G29" s="1589"/>
      <c r="H29" s="1589"/>
      <c r="I29" s="1589"/>
      <c r="J29" s="1589"/>
      <c r="K29" s="1589"/>
      <c r="L29" s="1589"/>
      <c r="M29" s="1589"/>
    </row>
    <row r="31" spans="1:13" ht="27.75" customHeight="1">
      <c r="B31" s="950"/>
      <c r="C31" s="1589"/>
      <c r="D31" s="1589"/>
      <c r="E31" s="1589"/>
      <c r="F31" s="1589"/>
      <c r="G31" s="1589"/>
      <c r="H31" s="1589"/>
      <c r="I31" s="1589"/>
      <c r="J31" s="1589"/>
      <c r="K31" s="1589"/>
      <c r="L31" s="1589"/>
      <c r="M31" s="1589"/>
    </row>
    <row r="33" spans="2:13" ht="24.75" customHeight="1">
      <c r="B33" s="949"/>
      <c r="C33" s="1589"/>
      <c r="D33" s="1589"/>
      <c r="E33" s="1589"/>
      <c r="F33" s="1589"/>
      <c r="G33" s="1589"/>
      <c r="H33" s="1589"/>
      <c r="I33" s="1589"/>
      <c r="J33" s="1589"/>
      <c r="K33" s="1589"/>
      <c r="L33" s="1589"/>
      <c r="M33" s="1589"/>
    </row>
    <row r="98" ht="16.5" customHeight="1"/>
    <row r="99" ht="16.5" customHeight="1"/>
    <row r="100" ht="16.5" customHeight="1"/>
    <row r="101" ht="16.5" customHeight="1"/>
  </sheetData>
  <mergeCells count="18">
    <mergeCell ref="C17:M17"/>
    <mergeCell ref="C19:M19"/>
    <mergeCell ref="A12:G12"/>
    <mergeCell ref="A16:G16"/>
    <mergeCell ref="A1:L1"/>
    <mergeCell ref="C4:M4"/>
    <mergeCell ref="C6:M6"/>
    <mergeCell ref="C9:M9"/>
    <mergeCell ref="C11:M11"/>
    <mergeCell ref="C13:M13"/>
    <mergeCell ref="C15:M15"/>
    <mergeCell ref="C29:M29"/>
    <mergeCell ref="C31:M31"/>
    <mergeCell ref="C33:M33"/>
    <mergeCell ref="C21:M21"/>
    <mergeCell ref="C23:M23"/>
    <mergeCell ref="C25:M25"/>
    <mergeCell ref="C27:M27"/>
  </mergeCells>
  <printOptions gridLinesSet="0"/>
  <pageMargins left="1.1811023622047245" right="0.78740157480314965" top="2.3622047244094491" bottom="0.98425196850393704" header="0.51181102362204722" footer="0.51181102362204722"/>
  <pageSetup paperSize="304"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election activeCell="F37" sqref="F37:H38"/>
    </sheetView>
  </sheetViews>
  <sheetFormatPr baseColWidth="10" defaultRowHeight="13.2"/>
  <cols>
    <col min="1" max="1" width="14.21875" customWidth="1"/>
    <col min="2" max="2" width="18.77734375" customWidth="1"/>
    <col min="3" max="3" width="11.77734375" customWidth="1"/>
    <col min="4" max="9" width="7.44140625" customWidth="1"/>
    <col min="10" max="10" width="12.21875" customWidth="1"/>
    <col min="11" max="11" width="9.5546875" customWidth="1"/>
    <col min="12" max="12" width="10.5546875" customWidth="1"/>
    <col min="13" max="14" width="9.5546875" customWidth="1"/>
    <col min="15" max="15" width="8.21875" customWidth="1"/>
    <col min="16" max="16" width="8" customWidth="1"/>
    <col min="17" max="18" width="6.44140625" customWidth="1"/>
    <col min="19" max="19" width="9.77734375" customWidth="1"/>
    <col min="20" max="20" width="8.21875" customWidth="1"/>
    <col min="21" max="21" width="10.21875" customWidth="1"/>
    <col min="22" max="22" width="7.21875" customWidth="1"/>
  </cols>
  <sheetData>
    <row r="1" spans="1:22" ht="18" customHeight="1">
      <c r="A1" s="1585" t="s">
        <v>1501</v>
      </c>
      <c r="B1" s="1585"/>
      <c r="C1" s="1585"/>
      <c r="D1" s="1585"/>
      <c r="E1" s="1585"/>
      <c r="F1" s="1585"/>
      <c r="G1" s="1585"/>
      <c r="H1" s="1585"/>
      <c r="I1" s="1585"/>
      <c r="J1" s="1585"/>
      <c r="K1" s="1585"/>
      <c r="L1" s="1585"/>
      <c r="M1" s="1585"/>
      <c r="N1" s="1585"/>
      <c r="O1" s="1585"/>
      <c r="P1" s="1585"/>
      <c r="Q1" s="1585"/>
      <c r="R1" s="1585"/>
      <c r="S1" s="1585"/>
      <c r="T1" s="1493"/>
    </row>
    <row r="2" spans="1:22" ht="18" customHeight="1">
      <c r="A2" s="1585" t="s">
        <v>794</v>
      </c>
      <c r="B2" s="1585"/>
      <c r="C2" s="1585"/>
      <c r="D2" s="1585"/>
      <c r="E2" s="1585"/>
      <c r="F2" s="1585"/>
      <c r="G2" s="1585"/>
      <c r="H2" s="1585"/>
      <c r="I2" s="1585"/>
      <c r="J2" s="1585"/>
      <c r="K2" s="1585"/>
      <c r="L2" s="1585"/>
      <c r="M2" s="1585"/>
      <c r="N2" s="1585"/>
      <c r="O2" s="1585"/>
      <c r="P2" s="1585"/>
      <c r="Q2" s="1585"/>
      <c r="R2" s="1585"/>
      <c r="S2" s="1585"/>
      <c r="T2" s="1493"/>
    </row>
    <row r="3" spans="1:22" ht="20.25" customHeight="1">
      <c r="A3" s="1596" t="s">
        <v>1656</v>
      </c>
      <c r="B3" s="1596"/>
      <c r="C3" s="1596"/>
      <c r="D3" s="1596"/>
      <c r="E3" s="1596"/>
      <c r="F3" s="1596"/>
      <c r="G3" s="1596"/>
      <c r="H3" s="1596"/>
      <c r="I3" s="1596"/>
      <c r="J3" s="1596"/>
      <c r="K3" s="1596"/>
      <c r="L3" s="1596"/>
      <c r="M3" s="1596"/>
      <c r="N3" s="1596"/>
      <c r="O3" s="1596"/>
      <c r="P3" s="1596"/>
      <c r="Q3" s="1596"/>
      <c r="R3" s="1596"/>
      <c r="S3" s="1596"/>
      <c r="T3" s="1494"/>
    </row>
    <row r="4" spans="1:22">
      <c r="A4" s="303"/>
      <c r="B4" s="113"/>
      <c r="C4" s="113"/>
      <c r="D4" s="113"/>
      <c r="E4" s="113"/>
      <c r="F4" s="113"/>
      <c r="G4" s="113"/>
      <c r="H4" s="113"/>
      <c r="I4" s="113"/>
    </row>
    <row r="5" spans="1:22">
      <c r="B5" s="113"/>
      <c r="C5" s="113"/>
      <c r="D5" s="113"/>
      <c r="E5" s="113"/>
      <c r="F5" s="113"/>
      <c r="G5" s="113"/>
      <c r="H5" s="113"/>
      <c r="I5" s="113"/>
    </row>
    <row r="7" spans="1:22" ht="19.5" customHeight="1">
      <c r="A7" s="1586" t="s">
        <v>796</v>
      </c>
      <c r="B7" s="1586" t="s">
        <v>797</v>
      </c>
      <c r="C7" s="1495" t="s">
        <v>795</v>
      </c>
      <c r="D7" s="83" t="s">
        <v>1502</v>
      </c>
      <c r="E7" s="154"/>
      <c r="F7" s="154"/>
      <c r="G7" s="154"/>
      <c r="H7" s="154"/>
      <c r="I7" s="1405"/>
      <c r="J7" s="1495" t="s">
        <v>795</v>
      </c>
      <c r="K7" s="1597" t="s">
        <v>1503</v>
      </c>
      <c r="L7" s="1599"/>
      <c r="M7" s="1599"/>
      <c r="N7" s="1599"/>
      <c r="O7" s="1599"/>
      <c r="P7" s="1599"/>
      <c r="Q7" s="1599"/>
      <c r="R7" s="1599"/>
      <c r="S7" s="1599"/>
      <c r="T7" s="1599"/>
      <c r="U7" s="1599"/>
      <c r="V7" s="1598"/>
    </row>
    <row r="8" spans="1:22" ht="19.5" customHeight="1">
      <c r="A8" s="1603"/>
      <c r="B8" s="1603"/>
      <c r="C8" s="512"/>
      <c r="D8" s="1597" t="s">
        <v>799</v>
      </c>
      <c r="E8" s="1599"/>
      <c r="F8" s="1599" t="s">
        <v>800</v>
      </c>
      <c r="G8" s="1599"/>
      <c r="H8" s="1599" t="s">
        <v>801</v>
      </c>
      <c r="I8" s="1601"/>
      <c r="J8" s="512"/>
      <c r="K8" s="1597" t="s">
        <v>1504</v>
      </c>
      <c r="L8" s="1598"/>
      <c r="M8" s="1597" t="s">
        <v>1505</v>
      </c>
      <c r="N8" s="1598"/>
      <c r="O8" s="1591" t="s">
        <v>1604</v>
      </c>
      <c r="P8" s="1592"/>
      <c r="Q8" s="1592"/>
      <c r="R8" s="1592"/>
      <c r="S8" s="1592"/>
      <c r="T8" s="1592"/>
      <c r="U8" s="1592"/>
      <c r="V8" s="1593"/>
    </row>
    <row r="9" spans="1:22" ht="32.25" customHeight="1">
      <c r="A9" s="1603"/>
      <c r="B9" s="1603"/>
      <c r="C9" s="512" t="s">
        <v>798</v>
      </c>
      <c r="D9" s="1594"/>
      <c r="E9" s="1600"/>
      <c r="F9" s="1600"/>
      <c r="G9" s="1600"/>
      <c r="H9" s="1600"/>
      <c r="I9" s="1602"/>
      <c r="J9" s="512" t="s">
        <v>798</v>
      </c>
      <c r="K9" s="1594"/>
      <c r="L9" s="1595"/>
      <c r="M9" s="1594"/>
      <c r="N9" s="1595"/>
      <c r="O9" s="1594" t="s">
        <v>517</v>
      </c>
      <c r="P9" s="1595"/>
      <c r="Q9" s="91" t="s">
        <v>1607</v>
      </c>
      <c r="R9" s="91"/>
      <c r="S9" s="91" t="s">
        <v>1605</v>
      </c>
      <c r="T9" s="91"/>
      <c r="U9" s="1604" t="s">
        <v>1606</v>
      </c>
      <c r="V9" s="1605"/>
    </row>
    <row r="10" spans="1:22" ht="18" customHeight="1">
      <c r="A10" s="1587"/>
      <c r="B10" s="1587"/>
      <c r="C10" s="14"/>
      <c r="D10" s="333" t="s">
        <v>661</v>
      </c>
      <c r="E10" s="315" t="s">
        <v>511</v>
      </c>
      <c r="F10" s="297" t="s">
        <v>661</v>
      </c>
      <c r="G10" s="297" t="s">
        <v>511</v>
      </c>
      <c r="H10" s="333" t="s">
        <v>661</v>
      </c>
      <c r="I10" s="1406" t="s">
        <v>511</v>
      </c>
      <c r="J10" s="1403"/>
      <c r="K10" s="333" t="s">
        <v>661</v>
      </c>
      <c r="L10" s="315" t="s">
        <v>511</v>
      </c>
      <c r="M10" s="297" t="s">
        <v>661</v>
      </c>
      <c r="N10" s="297" t="s">
        <v>511</v>
      </c>
      <c r="O10" s="83" t="s">
        <v>661</v>
      </c>
      <c r="P10" s="155" t="s">
        <v>511</v>
      </c>
      <c r="Q10" s="83" t="s">
        <v>661</v>
      </c>
      <c r="R10" s="155" t="s">
        <v>511</v>
      </c>
      <c r="S10" s="83" t="s">
        <v>661</v>
      </c>
      <c r="T10" s="155" t="s">
        <v>511</v>
      </c>
      <c r="U10" s="83" t="s">
        <v>661</v>
      </c>
      <c r="V10" s="155" t="s">
        <v>511</v>
      </c>
    </row>
    <row r="11" spans="1:22" ht="18.75" customHeight="1">
      <c r="A11" s="293" t="s">
        <v>616</v>
      </c>
      <c r="B11" s="293" t="s">
        <v>1322</v>
      </c>
      <c r="C11" s="335">
        <v>117</v>
      </c>
      <c r="D11" s="335">
        <v>33</v>
      </c>
      <c r="E11" s="336">
        <f t="shared" ref="E11:E19" si="0">+D11/C11*100</f>
        <v>28.205128205128204</v>
      </c>
      <c r="F11" s="335">
        <v>38</v>
      </c>
      <c r="G11" s="336">
        <f>+F11/C11*100</f>
        <v>32.478632478632477</v>
      </c>
      <c r="H11" s="335">
        <v>45</v>
      </c>
      <c r="I11" s="1407">
        <f>+H11/C11*100</f>
        <v>38.461538461538467</v>
      </c>
      <c r="J11" s="1404">
        <v>5</v>
      </c>
      <c r="K11" s="335">
        <v>3</v>
      </c>
      <c r="L11" s="336">
        <f t="shared" ref="L11:L14" si="1">+K11/J11*100</f>
        <v>60</v>
      </c>
      <c r="M11" s="335">
        <v>0</v>
      </c>
      <c r="N11" s="336">
        <f>+M11/J11*100</f>
        <v>0</v>
      </c>
      <c r="O11" s="1506">
        <f>+Q11+S11+U11</f>
        <v>5</v>
      </c>
      <c r="P11" s="1499">
        <f>+R11+T11+V11</f>
        <v>100</v>
      </c>
      <c r="Q11" s="335">
        <v>2</v>
      </c>
      <c r="R11" s="1498">
        <f>+Q11/O11*100</f>
        <v>40</v>
      </c>
      <c r="S11" s="335">
        <v>3</v>
      </c>
      <c r="T11" s="1498">
        <f>+S11/O11*100</f>
        <v>60</v>
      </c>
      <c r="U11" s="335">
        <v>0</v>
      </c>
      <c r="V11" s="1498">
        <f>+U11/O11*100</f>
        <v>0</v>
      </c>
    </row>
    <row r="12" spans="1:22" ht="15.75" customHeight="1">
      <c r="A12" s="293"/>
      <c r="B12" s="293" t="s">
        <v>1326</v>
      </c>
      <c r="C12" s="335">
        <v>1252</v>
      </c>
      <c r="D12" s="335">
        <v>414</v>
      </c>
      <c r="E12" s="336">
        <f t="shared" si="0"/>
        <v>33.067092651757193</v>
      </c>
      <c r="F12" s="335">
        <v>455</v>
      </c>
      <c r="G12" s="336">
        <f>+F12/C12*100</f>
        <v>36.341853035143771</v>
      </c>
      <c r="H12" s="335">
        <v>381</v>
      </c>
      <c r="I12" s="1407">
        <f>+H12/C12*100</f>
        <v>30.431309904153352</v>
      </c>
      <c r="J12" s="633">
        <v>592</v>
      </c>
      <c r="K12" s="335">
        <v>224</v>
      </c>
      <c r="L12" s="336">
        <f t="shared" ref="L12:L13" si="2">+K12/J12*100</f>
        <v>37.837837837837839</v>
      </c>
      <c r="M12" s="335">
        <v>171</v>
      </c>
      <c r="N12" s="336">
        <f t="shared" ref="N12:N13" si="3">+M12/J12*100</f>
        <v>28.885135135135137</v>
      </c>
      <c r="O12" s="1506">
        <f>+Q12+S12+U12</f>
        <v>592</v>
      </c>
      <c r="P12" s="1496">
        <f>+R12+T12+V12</f>
        <v>100</v>
      </c>
      <c r="Q12" s="335">
        <v>476</v>
      </c>
      <c r="R12" s="1498">
        <f>+Q12/O12*100</f>
        <v>80.405405405405403</v>
      </c>
      <c r="S12" s="335">
        <v>83</v>
      </c>
      <c r="T12" s="1498">
        <f>+S12/O12*100</f>
        <v>14.020270270270272</v>
      </c>
      <c r="U12" s="335">
        <v>33</v>
      </c>
      <c r="V12" s="1498">
        <f>+U12/O12*100</f>
        <v>5.5743243243243246</v>
      </c>
    </row>
    <row r="13" spans="1:22" ht="15.75" customHeight="1">
      <c r="A13" s="293"/>
      <c r="B13" s="334" t="s">
        <v>804</v>
      </c>
      <c r="C13" s="335">
        <v>77</v>
      </c>
      <c r="D13" s="335">
        <v>22</v>
      </c>
      <c r="E13" s="336">
        <f t="shared" si="0"/>
        <v>28.571428571428569</v>
      </c>
      <c r="F13" s="335">
        <v>21</v>
      </c>
      <c r="G13" s="336">
        <f>+F13/C13*100</f>
        <v>27.27272727272727</v>
      </c>
      <c r="H13" s="335">
        <v>24</v>
      </c>
      <c r="I13" s="1407">
        <f>+H13/C13*100</f>
        <v>31.168831168831169</v>
      </c>
      <c r="J13" s="633">
        <v>41</v>
      </c>
      <c r="K13" s="335">
        <v>19</v>
      </c>
      <c r="L13" s="336">
        <f t="shared" si="2"/>
        <v>46.341463414634148</v>
      </c>
      <c r="M13" s="335">
        <v>13</v>
      </c>
      <c r="N13" s="336">
        <f t="shared" si="3"/>
        <v>31.707317073170731</v>
      </c>
      <c r="O13" s="1506">
        <f>+Q13+S13+U13</f>
        <v>41</v>
      </c>
      <c r="P13" s="1496">
        <f t="shared" ref="P13:P34" si="4">+R13+T13+V13</f>
        <v>100</v>
      </c>
      <c r="Q13" s="335">
        <v>31</v>
      </c>
      <c r="R13" s="1498">
        <f t="shared" ref="R13:R34" si="5">+Q13/O13*100</f>
        <v>75.609756097560975</v>
      </c>
      <c r="S13" s="335">
        <v>10</v>
      </c>
      <c r="T13" s="1498">
        <f t="shared" ref="T13:T34" si="6">+S13/O13*100</f>
        <v>24.390243902439025</v>
      </c>
      <c r="U13" s="335">
        <v>0</v>
      </c>
      <c r="V13" s="1498">
        <f t="shared" ref="V13:V34" si="7">+U13/O13*100</f>
        <v>0</v>
      </c>
    </row>
    <row r="14" spans="1:22" ht="15.75" customHeight="1">
      <c r="A14" s="293"/>
      <c r="B14" s="293" t="s">
        <v>740</v>
      </c>
      <c r="C14" s="335">
        <f>SUM(C11:C13)</f>
        <v>1446</v>
      </c>
      <c r="D14" s="335">
        <f>SUM(D11:D13)</f>
        <v>469</v>
      </c>
      <c r="E14" s="336">
        <f t="shared" si="0"/>
        <v>32.434301521438449</v>
      </c>
      <c r="F14" s="335">
        <f>SUM(F11:F13)</f>
        <v>514</v>
      </c>
      <c r="G14" s="336">
        <f>+F14/C14*100</f>
        <v>35.546334716459199</v>
      </c>
      <c r="H14" s="335">
        <f>SUM(H11:H13)</f>
        <v>450</v>
      </c>
      <c r="I14" s="1407">
        <f>+H14/C14*100</f>
        <v>31.120331950207468</v>
      </c>
      <c r="J14" s="633">
        <f>SUM(J11:J13)</f>
        <v>638</v>
      </c>
      <c r="K14" s="335">
        <f>SUM(K11:K13)</f>
        <v>246</v>
      </c>
      <c r="L14" s="336">
        <f t="shared" si="1"/>
        <v>38.557993730407524</v>
      </c>
      <c r="M14" s="335">
        <f>SUM(M11:M13)</f>
        <v>184</v>
      </c>
      <c r="N14" s="336">
        <f>+M14/J14*100</f>
        <v>28.840125391849529</v>
      </c>
      <c r="O14" s="1506">
        <f>SUM(O11:O13)</f>
        <v>638</v>
      </c>
      <c r="P14" s="1496">
        <f t="shared" si="4"/>
        <v>100</v>
      </c>
      <c r="Q14" s="335">
        <f>SUM(Q11:Q13)</f>
        <v>509</v>
      </c>
      <c r="R14" s="1498">
        <f t="shared" si="5"/>
        <v>79.780564263322887</v>
      </c>
      <c r="S14" s="335">
        <f>SUM(S11:S13)</f>
        <v>96</v>
      </c>
      <c r="T14" s="1498">
        <f t="shared" si="6"/>
        <v>15.047021943573668</v>
      </c>
      <c r="U14" s="335">
        <f>SUM(U11:U13)</f>
        <v>33</v>
      </c>
      <c r="V14" s="1498">
        <f t="shared" si="7"/>
        <v>5.1724137931034484</v>
      </c>
    </row>
    <row r="15" spans="1:22" ht="16.5" customHeight="1">
      <c r="A15" s="293" t="s">
        <v>617</v>
      </c>
      <c r="B15" s="334" t="s">
        <v>805</v>
      </c>
      <c r="C15" s="335">
        <v>635</v>
      </c>
      <c r="D15" s="335">
        <v>137</v>
      </c>
      <c r="E15" s="336">
        <f t="shared" si="0"/>
        <v>21.5748031496063</v>
      </c>
      <c r="F15" s="335">
        <v>219</v>
      </c>
      <c r="G15" s="336">
        <f t="shared" ref="G15:G35" si="8">+F15/C15*100</f>
        <v>34.488188976377955</v>
      </c>
      <c r="H15" s="335">
        <v>167</v>
      </c>
      <c r="I15" s="1407">
        <f t="shared" ref="I15:I35" si="9">+H15/C15*100</f>
        <v>26.299212598425196</v>
      </c>
      <c r="J15" s="633">
        <v>860</v>
      </c>
      <c r="K15" s="335">
        <v>358</v>
      </c>
      <c r="L15" s="336">
        <f t="shared" ref="L15:L18" si="10">+K15/J15*100</f>
        <v>41.627906976744185</v>
      </c>
      <c r="M15" s="335">
        <v>2</v>
      </c>
      <c r="N15" s="336">
        <f t="shared" ref="N15:N18" si="11">+M15/J15*100</f>
        <v>0.23255813953488372</v>
      </c>
      <c r="O15" s="1506">
        <f>+Q15+S15+U15</f>
        <v>1</v>
      </c>
      <c r="P15" s="1496"/>
      <c r="Q15" s="335"/>
      <c r="R15" s="1498"/>
      <c r="S15" s="335"/>
      <c r="T15" s="1498"/>
      <c r="U15" s="335">
        <v>1</v>
      </c>
      <c r="V15" s="1498">
        <f t="shared" si="7"/>
        <v>100</v>
      </c>
    </row>
    <row r="16" spans="1:22" ht="16.5" customHeight="1">
      <c r="A16" s="293"/>
      <c r="B16" s="293" t="s">
        <v>1176</v>
      </c>
      <c r="C16" s="335">
        <v>100</v>
      </c>
      <c r="D16" s="335">
        <v>21</v>
      </c>
      <c r="E16" s="336">
        <f>+D16/C16*100</f>
        <v>21</v>
      </c>
      <c r="F16" s="335">
        <v>33</v>
      </c>
      <c r="G16" s="336">
        <f>+F16/C16*100</f>
        <v>33</v>
      </c>
      <c r="H16" s="335">
        <v>32</v>
      </c>
      <c r="I16" s="1407">
        <f>+H16/C16*100</f>
        <v>32</v>
      </c>
      <c r="J16" s="633">
        <v>138</v>
      </c>
      <c r="K16" s="335">
        <v>66</v>
      </c>
      <c r="L16" s="336">
        <f t="shared" si="10"/>
        <v>47.826086956521742</v>
      </c>
      <c r="M16" s="335">
        <v>6</v>
      </c>
      <c r="N16" s="336">
        <f t="shared" si="11"/>
        <v>4.3478260869565215</v>
      </c>
      <c r="O16" s="1506">
        <f t="shared" ref="O16:O18" si="12">+Q16+S16+U16</f>
        <v>0</v>
      </c>
      <c r="P16" s="1496"/>
      <c r="Q16" s="335"/>
      <c r="R16" s="1498"/>
      <c r="S16" s="335"/>
      <c r="T16" s="1498"/>
      <c r="U16" s="335"/>
      <c r="V16" s="1498"/>
    </row>
    <row r="17" spans="1:22" ht="17.25" customHeight="1">
      <c r="A17" s="293" t="s">
        <v>806</v>
      </c>
      <c r="B17" s="334" t="s">
        <v>807</v>
      </c>
      <c r="C17" s="335">
        <v>202</v>
      </c>
      <c r="D17" s="335">
        <v>74</v>
      </c>
      <c r="E17" s="336">
        <f t="shared" si="0"/>
        <v>36.633663366336634</v>
      </c>
      <c r="F17" s="335">
        <v>76</v>
      </c>
      <c r="G17" s="336">
        <f t="shared" si="8"/>
        <v>37.623762376237622</v>
      </c>
      <c r="H17" s="335">
        <v>74</v>
      </c>
      <c r="I17" s="1407">
        <f t="shared" si="9"/>
        <v>36.633663366336634</v>
      </c>
      <c r="J17" s="1404">
        <v>0</v>
      </c>
      <c r="K17" s="335"/>
      <c r="L17" s="336"/>
      <c r="M17" s="335"/>
      <c r="N17" s="336"/>
      <c r="O17" s="1506">
        <f t="shared" si="12"/>
        <v>0</v>
      </c>
      <c r="P17" s="1496"/>
      <c r="Q17" s="335"/>
      <c r="R17" s="1498"/>
      <c r="S17" s="335"/>
      <c r="T17" s="1498"/>
      <c r="U17" s="335"/>
      <c r="V17" s="1498"/>
    </row>
    <row r="18" spans="1:22" ht="15.75" customHeight="1">
      <c r="A18" s="293" t="s">
        <v>618</v>
      </c>
      <c r="B18" s="334" t="s">
        <v>808</v>
      </c>
      <c r="C18" s="335">
        <v>345</v>
      </c>
      <c r="D18" s="335">
        <v>119</v>
      </c>
      <c r="E18" s="336">
        <f t="shared" si="0"/>
        <v>34.492753623188406</v>
      </c>
      <c r="F18" s="335">
        <v>140</v>
      </c>
      <c r="G18" s="336">
        <f t="shared" si="8"/>
        <v>40.579710144927539</v>
      </c>
      <c r="H18" s="335">
        <v>112</v>
      </c>
      <c r="I18" s="1407">
        <f t="shared" si="9"/>
        <v>32.463768115942024</v>
      </c>
      <c r="J18" s="1404">
        <v>104</v>
      </c>
      <c r="K18" s="335">
        <v>54</v>
      </c>
      <c r="L18" s="336">
        <f t="shared" si="10"/>
        <v>51.923076923076927</v>
      </c>
      <c r="M18" s="335">
        <v>28</v>
      </c>
      <c r="N18" s="336">
        <f t="shared" si="11"/>
        <v>26.923076923076923</v>
      </c>
      <c r="O18" s="1506">
        <f t="shared" si="12"/>
        <v>97</v>
      </c>
      <c r="P18" s="1496">
        <f t="shared" si="4"/>
        <v>100</v>
      </c>
      <c r="Q18" s="335">
        <v>59</v>
      </c>
      <c r="R18" s="1498">
        <f t="shared" si="5"/>
        <v>60.824742268041234</v>
      </c>
      <c r="S18" s="335">
        <v>19</v>
      </c>
      <c r="T18" s="1498">
        <f t="shared" si="6"/>
        <v>19.587628865979383</v>
      </c>
      <c r="U18" s="335">
        <v>19</v>
      </c>
      <c r="V18" s="1498">
        <f t="shared" si="7"/>
        <v>19.587628865979383</v>
      </c>
    </row>
    <row r="19" spans="1:22" ht="18" customHeight="1">
      <c r="A19" s="293" t="s">
        <v>809</v>
      </c>
      <c r="B19" s="293" t="s">
        <v>809</v>
      </c>
      <c r="C19" s="1501">
        <f>SUM(C14:C18)</f>
        <v>2728</v>
      </c>
      <c r="D19" s="1501">
        <f>SUM(D14:D18)</f>
        <v>820</v>
      </c>
      <c r="E19" s="1500">
        <f t="shared" si="0"/>
        <v>30.058651026392962</v>
      </c>
      <c r="F19" s="1501">
        <f>SUM(F14:F18)</f>
        <v>982</v>
      </c>
      <c r="G19" s="1500">
        <f t="shared" si="8"/>
        <v>35.997067448680355</v>
      </c>
      <c r="H19" s="1501">
        <f>SUM(H14:H18)</f>
        <v>835</v>
      </c>
      <c r="I19" s="1502">
        <f t="shared" si="9"/>
        <v>30.60850439882698</v>
      </c>
      <c r="J19" s="1503">
        <f>SUM(J14:J18)</f>
        <v>1740</v>
      </c>
      <c r="K19" s="1501">
        <f>SUM(K14:K18)</f>
        <v>724</v>
      </c>
      <c r="L19" s="1500">
        <f t="shared" ref="L19" si="13">+K19/J19*100</f>
        <v>41.609195402298852</v>
      </c>
      <c r="M19" s="1501">
        <f>SUM(M14:M18)</f>
        <v>220</v>
      </c>
      <c r="N19" s="1500">
        <f t="shared" ref="N19" si="14">+M19/J19*100</f>
        <v>12.643678160919542</v>
      </c>
      <c r="O19" s="1501">
        <f>SUM(O14:O18)</f>
        <v>736</v>
      </c>
      <c r="P19" s="1504">
        <f t="shared" si="4"/>
        <v>100</v>
      </c>
      <c r="Q19" s="1501">
        <f>SUM(Q14:Q18)</f>
        <v>568</v>
      </c>
      <c r="R19" s="1505">
        <f t="shared" si="5"/>
        <v>77.173913043478265</v>
      </c>
      <c r="S19" s="1501">
        <f>SUM(S14:S18)</f>
        <v>115</v>
      </c>
      <c r="T19" s="1505">
        <f t="shared" si="6"/>
        <v>15.625</v>
      </c>
      <c r="U19" s="1501">
        <f>SUM(U14:U18)</f>
        <v>53</v>
      </c>
      <c r="V19" s="1505">
        <f t="shared" si="7"/>
        <v>7.2010869565217392</v>
      </c>
    </row>
    <row r="20" spans="1:22">
      <c r="A20" s="293"/>
      <c r="B20" s="293"/>
      <c r="C20" s="335"/>
      <c r="D20" s="335"/>
      <c r="E20" s="336"/>
      <c r="F20" s="335"/>
      <c r="G20" s="336"/>
      <c r="H20" s="335"/>
      <c r="I20" s="1407"/>
      <c r="J20" s="1404"/>
      <c r="K20" s="335"/>
      <c r="L20" s="336"/>
      <c r="M20" s="335"/>
      <c r="N20" s="336"/>
      <c r="O20" s="1497"/>
      <c r="P20" s="1496"/>
      <c r="Q20" s="335"/>
      <c r="R20" s="1498"/>
      <c r="S20" s="335"/>
      <c r="T20" s="1498"/>
      <c r="U20" s="335"/>
      <c r="V20" s="1498"/>
    </row>
    <row r="21" spans="1:22" ht="18" customHeight="1">
      <c r="A21" s="293" t="s">
        <v>619</v>
      </c>
      <c r="B21" s="334" t="s">
        <v>810</v>
      </c>
      <c r="C21" s="335">
        <v>603</v>
      </c>
      <c r="D21" s="335">
        <v>193</v>
      </c>
      <c r="E21" s="336">
        <f>+D21/C21*100</f>
        <v>32.00663349917081</v>
      </c>
      <c r="F21" s="335">
        <v>492</v>
      </c>
      <c r="G21" s="336">
        <f t="shared" si="8"/>
        <v>81.592039800995025</v>
      </c>
      <c r="H21" s="335">
        <v>184</v>
      </c>
      <c r="I21" s="1407">
        <f t="shared" si="9"/>
        <v>30.514096185737976</v>
      </c>
      <c r="J21" s="1404">
        <v>147</v>
      </c>
      <c r="K21" s="335">
        <v>76</v>
      </c>
      <c r="L21" s="336">
        <f t="shared" ref="L21:L24" si="15">+K21/J21*100</f>
        <v>51.700680272108848</v>
      </c>
      <c r="M21" s="335">
        <v>32</v>
      </c>
      <c r="N21" s="336">
        <f t="shared" ref="N21:N24" si="16">+M21/J21*100</f>
        <v>21.768707482993197</v>
      </c>
      <c r="O21" s="1506">
        <f t="shared" ref="O21:O24" si="17">+Q21+S21+U21</f>
        <v>59</v>
      </c>
      <c r="P21" s="1496">
        <f t="shared" si="4"/>
        <v>100</v>
      </c>
      <c r="Q21" s="335">
        <v>35</v>
      </c>
      <c r="R21" s="1498">
        <f t="shared" si="5"/>
        <v>59.322033898305079</v>
      </c>
      <c r="S21" s="335">
        <v>14</v>
      </c>
      <c r="T21" s="1498">
        <f t="shared" si="6"/>
        <v>23.728813559322035</v>
      </c>
      <c r="U21" s="335">
        <v>10</v>
      </c>
      <c r="V21" s="1498">
        <f t="shared" si="7"/>
        <v>16.949152542372879</v>
      </c>
    </row>
    <row r="22" spans="1:22" ht="18" customHeight="1">
      <c r="A22" s="293"/>
      <c r="B22" s="334" t="s">
        <v>811</v>
      </c>
      <c r="C22" s="335">
        <v>1265</v>
      </c>
      <c r="D22" s="335">
        <v>345</v>
      </c>
      <c r="E22" s="336">
        <f>+D22/C22*100</f>
        <v>27.27272727272727</v>
      </c>
      <c r="F22" s="335">
        <v>484</v>
      </c>
      <c r="G22" s="336">
        <f t="shared" si="8"/>
        <v>38.260869565217391</v>
      </c>
      <c r="H22" s="335">
        <v>340</v>
      </c>
      <c r="I22" s="1407">
        <f t="shared" si="9"/>
        <v>26.877470355731226</v>
      </c>
      <c r="J22" s="1404">
        <v>234</v>
      </c>
      <c r="K22" s="335">
        <v>67</v>
      </c>
      <c r="L22" s="336">
        <f t="shared" si="15"/>
        <v>28.63247863247863</v>
      </c>
      <c r="M22" s="335">
        <v>34</v>
      </c>
      <c r="N22" s="336">
        <f t="shared" si="16"/>
        <v>14.529914529914532</v>
      </c>
      <c r="O22" s="1506">
        <f t="shared" si="17"/>
        <v>231</v>
      </c>
      <c r="P22" s="1496">
        <f t="shared" si="4"/>
        <v>100</v>
      </c>
      <c r="Q22" s="335">
        <v>108</v>
      </c>
      <c r="R22" s="1498">
        <f t="shared" si="5"/>
        <v>46.753246753246749</v>
      </c>
      <c r="S22" s="335">
        <v>63</v>
      </c>
      <c r="T22" s="1498">
        <f t="shared" si="6"/>
        <v>27.27272727272727</v>
      </c>
      <c r="U22" s="335">
        <v>60</v>
      </c>
      <c r="V22" s="1498">
        <f t="shared" si="7"/>
        <v>25.97402597402597</v>
      </c>
    </row>
    <row r="23" spans="1:22" ht="18" customHeight="1">
      <c r="A23" s="293"/>
      <c r="B23" s="334" t="s">
        <v>901</v>
      </c>
      <c r="C23" s="335">
        <v>175</v>
      </c>
      <c r="D23" s="335">
        <v>46</v>
      </c>
      <c r="E23" s="336">
        <f>+D23/C23*100</f>
        <v>26.285714285714285</v>
      </c>
      <c r="F23" s="335">
        <v>45</v>
      </c>
      <c r="G23" s="336">
        <f t="shared" si="8"/>
        <v>25.714285714285712</v>
      </c>
      <c r="H23" s="335">
        <v>36</v>
      </c>
      <c r="I23" s="1407">
        <f t="shared" si="9"/>
        <v>20.571428571428569</v>
      </c>
      <c r="J23" s="1404">
        <v>88</v>
      </c>
      <c r="K23" s="335">
        <v>34</v>
      </c>
      <c r="L23" s="336">
        <f t="shared" si="15"/>
        <v>38.636363636363633</v>
      </c>
      <c r="M23" s="335">
        <v>17</v>
      </c>
      <c r="N23" s="336">
        <f t="shared" si="16"/>
        <v>19.318181818181817</v>
      </c>
      <c r="O23" s="1506">
        <f t="shared" si="17"/>
        <v>88</v>
      </c>
      <c r="P23" s="1496">
        <f t="shared" si="4"/>
        <v>100</v>
      </c>
      <c r="Q23" s="335">
        <v>62</v>
      </c>
      <c r="R23" s="1498">
        <f t="shared" si="5"/>
        <v>70.454545454545453</v>
      </c>
      <c r="S23" s="335">
        <v>12</v>
      </c>
      <c r="T23" s="1498">
        <f t="shared" si="6"/>
        <v>13.636363636363635</v>
      </c>
      <c r="U23" s="335">
        <v>14</v>
      </c>
      <c r="V23" s="1498">
        <f t="shared" si="7"/>
        <v>15.909090909090908</v>
      </c>
    </row>
    <row r="24" spans="1:22" ht="18" customHeight="1">
      <c r="A24" s="293"/>
      <c r="B24" s="334" t="s">
        <v>812</v>
      </c>
      <c r="C24" s="335">
        <v>333</v>
      </c>
      <c r="D24" s="335">
        <v>72</v>
      </c>
      <c r="E24" s="336">
        <f t="shared" ref="E24:E35" si="18">+D24/C24*100</f>
        <v>21.621621621621621</v>
      </c>
      <c r="F24" s="335">
        <v>96</v>
      </c>
      <c r="G24" s="336">
        <f t="shared" si="8"/>
        <v>28.828828828828829</v>
      </c>
      <c r="H24" s="335">
        <v>91</v>
      </c>
      <c r="I24" s="1407">
        <f t="shared" si="9"/>
        <v>27.327327327327328</v>
      </c>
      <c r="J24" s="1404">
        <v>125</v>
      </c>
      <c r="K24" s="335">
        <v>53</v>
      </c>
      <c r="L24" s="336">
        <f t="shared" si="15"/>
        <v>42.4</v>
      </c>
      <c r="M24" s="335">
        <v>25</v>
      </c>
      <c r="N24" s="336">
        <f t="shared" si="16"/>
        <v>20</v>
      </c>
      <c r="O24" s="1506">
        <f t="shared" si="17"/>
        <v>103</v>
      </c>
      <c r="P24" s="1496">
        <f t="shared" si="4"/>
        <v>100</v>
      </c>
      <c r="Q24" s="335">
        <v>70</v>
      </c>
      <c r="R24" s="1498">
        <f t="shared" si="5"/>
        <v>67.961165048543691</v>
      </c>
      <c r="S24" s="335">
        <v>13</v>
      </c>
      <c r="T24" s="1498">
        <f t="shared" si="6"/>
        <v>12.621359223300971</v>
      </c>
      <c r="U24" s="335">
        <v>20</v>
      </c>
      <c r="V24" s="1498">
        <f t="shared" si="7"/>
        <v>19.417475728155338</v>
      </c>
    </row>
    <row r="25" spans="1:22" ht="18" customHeight="1">
      <c r="A25" s="293"/>
      <c r="B25" s="293" t="s">
        <v>740</v>
      </c>
      <c r="C25" s="335">
        <f>SUM(C21:C24)</f>
        <v>2376</v>
      </c>
      <c r="D25" s="335">
        <f>SUM(D21:D24)</f>
        <v>656</v>
      </c>
      <c r="E25" s="336">
        <f t="shared" si="18"/>
        <v>27.609427609427613</v>
      </c>
      <c r="F25" s="335">
        <f>SUM(F21:F24)</f>
        <v>1117</v>
      </c>
      <c r="G25" s="336">
        <f t="shared" si="8"/>
        <v>47.011784511784512</v>
      </c>
      <c r="H25" s="335">
        <f>SUM(H21:H24)</f>
        <v>651</v>
      </c>
      <c r="I25" s="1407">
        <f t="shared" si="9"/>
        <v>27.3989898989899</v>
      </c>
      <c r="J25" s="1404">
        <f>SUM(J21:J24)</f>
        <v>594</v>
      </c>
      <c r="K25" s="335">
        <f>SUM(K21:K24)</f>
        <v>230</v>
      </c>
      <c r="L25" s="336">
        <f t="shared" ref="L25:L33" si="19">+K25/J25*100</f>
        <v>38.72053872053872</v>
      </c>
      <c r="M25" s="335">
        <f>SUM(M21:M24)</f>
        <v>108</v>
      </c>
      <c r="N25" s="336">
        <f t="shared" ref="N25:N33" si="20">+M25/J25*100</f>
        <v>18.181818181818183</v>
      </c>
      <c r="O25" s="1497">
        <f t="shared" ref="O25:O34" si="21">+Q25+S25+U25</f>
        <v>481</v>
      </c>
      <c r="P25" s="1496">
        <f t="shared" si="4"/>
        <v>100</v>
      </c>
      <c r="Q25" s="335">
        <f>SUM(Q21:Q24)</f>
        <v>275</v>
      </c>
      <c r="R25" s="1498">
        <f t="shared" si="5"/>
        <v>57.17255717255717</v>
      </c>
      <c r="S25" s="335">
        <f>SUM(S21:S24)</f>
        <v>102</v>
      </c>
      <c r="T25" s="1498">
        <f t="shared" si="6"/>
        <v>21.205821205821206</v>
      </c>
      <c r="U25" s="335">
        <f>SUM(U21:U24)</f>
        <v>104</v>
      </c>
      <c r="V25" s="1498">
        <f t="shared" si="7"/>
        <v>21.621621621621621</v>
      </c>
    </row>
    <row r="26" spans="1:22" ht="17.25" customHeight="1">
      <c r="A26" s="293" t="s">
        <v>620</v>
      </c>
      <c r="B26" s="334" t="s">
        <v>813</v>
      </c>
      <c r="C26" s="335">
        <v>880</v>
      </c>
      <c r="D26" s="335">
        <v>285</v>
      </c>
      <c r="E26" s="336">
        <f t="shared" si="18"/>
        <v>32.386363636363633</v>
      </c>
      <c r="F26" s="335">
        <v>301</v>
      </c>
      <c r="G26" s="336">
        <f t="shared" si="8"/>
        <v>34.204545454545453</v>
      </c>
      <c r="H26" s="335">
        <v>252</v>
      </c>
      <c r="I26" s="1407">
        <f t="shared" si="9"/>
        <v>28.636363636363637</v>
      </c>
      <c r="J26" s="335">
        <v>463</v>
      </c>
      <c r="K26" s="335">
        <v>214</v>
      </c>
      <c r="L26" s="336">
        <f t="shared" si="19"/>
        <v>46.220302375809936</v>
      </c>
      <c r="M26" s="335">
        <v>108</v>
      </c>
      <c r="N26" s="336">
        <f t="shared" si="20"/>
        <v>23.326133909287257</v>
      </c>
      <c r="O26" s="1497">
        <f t="shared" si="21"/>
        <v>378</v>
      </c>
      <c r="P26" s="1496">
        <f t="shared" si="4"/>
        <v>100</v>
      </c>
      <c r="Q26" s="335">
        <v>251</v>
      </c>
      <c r="R26" s="1498">
        <f t="shared" si="5"/>
        <v>66.402116402116405</v>
      </c>
      <c r="S26" s="335">
        <v>72</v>
      </c>
      <c r="T26" s="1498">
        <f t="shared" si="6"/>
        <v>19.047619047619047</v>
      </c>
      <c r="U26" s="335">
        <v>55</v>
      </c>
      <c r="V26" s="1498">
        <f t="shared" si="7"/>
        <v>14.550264550264549</v>
      </c>
    </row>
    <row r="27" spans="1:22" ht="17.25" customHeight="1">
      <c r="A27" s="293"/>
      <c r="B27" s="293" t="s">
        <v>1457</v>
      </c>
      <c r="C27" s="335">
        <v>68</v>
      </c>
      <c r="D27" s="335">
        <v>27</v>
      </c>
      <c r="E27" s="336">
        <f t="shared" si="18"/>
        <v>39.705882352941174</v>
      </c>
      <c r="F27" s="335">
        <v>23</v>
      </c>
      <c r="G27" s="336">
        <f t="shared" si="8"/>
        <v>33.82352941176471</v>
      </c>
      <c r="H27" s="335">
        <v>19</v>
      </c>
      <c r="I27" s="1513">
        <f t="shared" si="9"/>
        <v>27.941176470588236</v>
      </c>
      <c r="J27" s="1404">
        <v>68</v>
      </c>
      <c r="K27" s="335">
        <v>38</v>
      </c>
      <c r="L27" s="336">
        <f t="shared" si="19"/>
        <v>55.882352941176471</v>
      </c>
      <c r="M27" s="335">
        <v>19</v>
      </c>
      <c r="N27" s="336">
        <f t="shared" si="20"/>
        <v>27.941176470588236</v>
      </c>
      <c r="O27" s="1497">
        <f t="shared" si="21"/>
        <v>68</v>
      </c>
      <c r="P27" s="1496">
        <f t="shared" si="4"/>
        <v>100</v>
      </c>
      <c r="Q27" s="335">
        <v>33</v>
      </c>
      <c r="R27" s="1498">
        <f t="shared" si="5"/>
        <v>48.529411764705884</v>
      </c>
      <c r="S27" s="335">
        <v>14</v>
      </c>
      <c r="T27" s="1498">
        <f t="shared" si="6"/>
        <v>20.588235294117645</v>
      </c>
      <c r="U27" s="335">
        <v>21</v>
      </c>
      <c r="V27" s="1498">
        <f t="shared" si="7"/>
        <v>30.882352941176471</v>
      </c>
    </row>
    <row r="28" spans="1:22" ht="17.25" customHeight="1">
      <c r="A28" s="293" t="s">
        <v>621</v>
      </c>
      <c r="B28" s="293" t="s">
        <v>629</v>
      </c>
      <c r="C28" s="335">
        <v>674</v>
      </c>
      <c r="D28" s="335">
        <v>221</v>
      </c>
      <c r="E28" s="336">
        <f t="shared" si="18"/>
        <v>32.789317507418396</v>
      </c>
      <c r="F28" s="335">
        <v>204</v>
      </c>
      <c r="G28" s="336">
        <f t="shared" si="8"/>
        <v>30.267062314540063</v>
      </c>
      <c r="H28" s="335">
        <v>184</v>
      </c>
      <c r="I28" s="1513">
        <f t="shared" si="9"/>
        <v>27.299703264094955</v>
      </c>
      <c r="J28" s="1404">
        <v>271</v>
      </c>
      <c r="K28" s="335">
        <v>134</v>
      </c>
      <c r="L28" s="336">
        <f t="shared" si="19"/>
        <v>49.446494464944649</v>
      </c>
      <c r="M28" s="335">
        <v>65</v>
      </c>
      <c r="N28" s="336">
        <f t="shared" si="20"/>
        <v>23.985239852398525</v>
      </c>
      <c r="O28" s="1497">
        <f t="shared" si="21"/>
        <v>145</v>
      </c>
      <c r="P28" s="1496">
        <f t="shared" si="4"/>
        <v>100</v>
      </c>
      <c r="Q28" s="335">
        <v>92</v>
      </c>
      <c r="R28" s="1498">
        <f t="shared" si="5"/>
        <v>63.448275862068968</v>
      </c>
      <c r="S28" s="335">
        <v>32</v>
      </c>
      <c r="T28" s="1498">
        <f t="shared" si="6"/>
        <v>22.068965517241381</v>
      </c>
      <c r="U28" s="335">
        <v>21</v>
      </c>
      <c r="V28" s="1498">
        <f t="shared" si="7"/>
        <v>14.482758620689657</v>
      </c>
    </row>
    <row r="29" spans="1:22" ht="17.25" customHeight="1">
      <c r="A29" s="293"/>
      <c r="B29" s="334" t="s">
        <v>815</v>
      </c>
      <c r="C29" s="335">
        <v>127</v>
      </c>
      <c r="D29" s="335">
        <v>38</v>
      </c>
      <c r="E29" s="336">
        <f>+D29/C29*100</f>
        <v>29.921259842519689</v>
      </c>
      <c r="F29" s="335">
        <v>36</v>
      </c>
      <c r="G29" s="336">
        <f>+F29/C29*100</f>
        <v>28.346456692913385</v>
      </c>
      <c r="H29" s="335">
        <v>38</v>
      </c>
      <c r="I29" s="1513">
        <f>+H29/C29*100</f>
        <v>29.921259842519689</v>
      </c>
      <c r="J29" s="1404">
        <v>33</v>
      </c>
      <c r="K29" s="335">
        <v>14</v>
      </c>
      <c r="L29" s="336">
        <f t="shared" si="19"/>
        <v>42.424242424242422</v>
      </c>
      <c r="M29" s="335">
        <v>1</v>
      </c>
      <c r="N29" s="336">
        <f t="shared" si="20"/>
        <v>3.0303030303030303</v>
      </c>
      <c r="O29" s="1497">
        <f t="shared" si="21"/>
        <v>33</v>
      </c>
      <c r="P29" s="1496">
        <f t="shared" si="4"/>
        <v>100</v>
      </c>
      <c r="Q29" s="335">
        <v>23</v>
      </c>
      <c r="R29" s="1498">
        <f t="shared" si="5"/>
        <v>69.696969696969703</v>
      </c>
      <c r="S29" s="335">
        <v>7</v>
      </c>
      <c r="T29" s="1498">
        <f t="shared" si="6"/>
        <v>21.212121212121211</v>
      </c>
      <c r="U29" s="335">
        <v>3</v>
      </c>
      <c r="V29" s="1498">
        <f t="shared" si="7"/>
        <v>9.0909090909090917</v>
      </c>
    </row>
    <row r="30" spans="1:22" ht="17.25" customHeight="1">
      <c r="A30" s="293" t="s">
        <v>622</v>
      </c>
      <c r="B30" s="334" t="s">
        <v>816</v>
      </c>
      <c r="C30" s="335">
        <v>391</v>
      </c>
      <c r="D30" s="335">
        <v>243</v>
      </c>
      <c r="E30" s="336">
        <f t="shared" si="18"/>
        <v>62.148337595907932</v>
      </c>
      <c r="F30" s="335">
        <v>282</v>
      </c>
      <c r="G30" s="336">
        <f t="shared" si="8"/>
        <v>72.1227621483376</v>
      </c>
      <c r="H30" s="335">
        <v>193</v>
      </c>
      <c r="I30" s="1513">
        <f t="shared" si="9"/>
        <v>49.36061381074169</v>
      </c>
      <c r="J30" s="1404">
        <v>217</v>
      </c>
      <c r="K30" s="335">
        <v>69</v>
      </c>
      <c r="L30" s="336">
        <f t="shared" si="19"/>
        <v>31.797235023041477</v>
      </c>
      <c r="M30" s="335">
        <v>68</v>
      </c>
      <c r="N30" s="336">
        <f t="shared" si="20"/>
        <v>31.336405529953915</v>
      </c>
      <c r="O30" s="1497">
        <f t="shared" si="21"/>
        <v>132</v>
      </c>
      <c r="P30" s="1496">
        <f t="shared" si="4"/>
        <v>100</v>
      </c>
      <c r="Q30" s="335">
        <v>81</v>
      </c>
      <c r="R30" s="1498">
        <f t="shared" si="5"/>
        <v>61.363636363636367</v>
      </c>
      <c r="S30" s="335">
        <v>28</v>
      </c>
      <c r="T30" s="1498">
        <f t="shared" si="6"/>
        <v>21.212121212121211</v>
      </c>
      <c r="U30" s="335">
        <v>23</v>
      </c>
      <c r="V30" s="1498">
        <f t="shared" si="7"/>
        <v>17.424242424242426</v>
      </c>
    </row>
    <row r="31" spans="1:22" ht="18" customHeight="1">
      <c r="A31" s="293" t="s">
        <v>623</v>
      </c>
      <c r="B31" s="334" t="s">
        <v>817</v>
      </c>
      <c r="C31" s="335">
        <v>838</v>
      </c>
      <c r="D31" s="335">
        <v>504</v>
      </c>
      <c r="E31" s="336">
        <f>+D31/C31*100</f>
        <v>60.143198090692131</v>
      </c>
      <c r="F31" s="335">
        <v>590</v>
      </c>
      <c r="G31" s="336">
        <f t="shared" si="8"/>
        <v>70.40572792362768</v>
      </c>
      <c r="H31" s="335">
        <v>410</v>
      </c>
      <c r="I31" s="1513">
        <f t="shared" si="9"/>
        <v>48.92601431980907</v>
      </c>
      <c r="J31" s="1404">
        <v>597</v>
      </c>
      <c r="K31" s="335">
        <v>165</v>
      </c>
      <c r="L31" s="336">
        <f t="shared" si="19"/>
        <v>27.638190954773869</v>
      </c>
      <c r="M31" s="335">
        <v>160</v>
      </c>
      <c r="N31" s="336">
        <f t="shared" si="20"/>
        <v>26.800670016750416</v>
      </c>
      <c r="O31" s="1497">
        <f t="shared" si="21"/>
        <v>262</v>
      </c>
      <c r="P31" s="1496">
        <f t="shared" si="4"/>
        <v>100</v>
      </c>
      <c r="Q31" s="335">
        <v>141</v>
      </c>
      <c r="R31" s="1498">
        <f t="shared" si="5"/>
        <v>53.81679389312977</v>
      </c>
      <c r="S31" s="335">
        <v>53</v>
      </c>
      <c r="T31" s="1498">
        <f t="shared" si="6"/>
        <v>20.229007633587788</v>
      </c>
      <c r="U31" s="335">
        <v>68</v>
      </c>
      <c r="V31" s="1498">
        <f t="shared" si="7"/>
        <v>25.954198473282442</v>
      </c>
    </row>
    <row r="32" spans="1:22" ht="18" customHeight="1">
      <c r="A32" s="293" t="s">
        <v>624</v>
      </c>
      <c r="B32" s="334" t="s">
        <v>818</v>
      </c>
      <c r="C32" s="335">
        <v>625</v>
      </c>
      <c r="D32" s="335">
        <v>220</v>
      </c>
      <c r="E32" s="336">
        <f t="shared" si="18"/>
        <v>35.199999999999996</v>
      </c>
      <c r="F32" s="335">
        <v>236</v>
      </c>
      <c r="G32" s="336">
        <f t="shared" si="8"/>
        <v>37.76</v>
      </c>
      <c r="H32" s="335">
        <v>194</v>
      </c>
      <c r="I32" s="1513">
        <f t="shared" si="9"/>
        <v>31.04</v>
      </c>
      <c r="J32" s="1404">
        <v>315</v>
      </c>
      <c r="K32" s="335">
        <v>148</v>
      </c>
      <c r="L32" s="336">
        <f t="shared" si="19"/>
        <v>46.984126984126981</v>
      </c>
      <c r="M32" s="335">
        <v>83</v>
      </c>
      <c r="N32" s="336">
        <f t="shared" si="20"/>
        <v>26.349206349206352</v>
      </c>
      <c r="O32" s="1497">
        <f t="shared" si="21"/>
        <v>191</v>
      </c>
      <c r="P32" s="1496">
        <f t="shared" si="4"/>
        <v>100</v>
      </c>
      <c r="Q32" s="335">
        <v>129</v>
      </c>
      <c r="R32" s="1498">
        <f t="shared" si="5"/>
        <v>67.539267015706798</v>
      </c>
      <c r="S32" s="335">
        <v>31</v>
      </c>
      <c r="T32" s="1498">
        <f t="shared" si="6"/>
        <v>16.230366492146597</v>
      </c>
      <c r="U32" s="335">
        <v>31</v>
      </c>
      <c r="V32" s="1498">
        <f t="shared" si="7"/>
        <v>16.230366492146597</v>
      </c>
    </row>
    <row r="33" spans="1:22" ht="18" customHeight="1">
      <c r="A33" s="293"/>
      <c r="B33" s="293" t="s">
        <v>1177</v>
      </c>
      <c r="C33" s="335">
        <v>72</v>
      </c>
      <c r="D33" s="335">
        <v>24</v>
      </c>
      <c r="E33" s="336">
        <f>+D33/C33*100</f>
        <v>33.333333333333329</v>
      </c>
      <c r="F33" s="335">
        <v>26</v>
      </c>
      <c r="G33" s="336">
        <f>+F33/C33*100</f>
        <v>36.111111111111107</v>
      </c>
      <c r="H33" s="335">
        <v>16</v>
      </c>
      <c r="I33" s="1513">
        <f>+H33/C33*100</f>
        <v>22.222222222222221</v>
      </c>
      <c r="J33" s="1404">
        <v>33</v>
      </c>
      <c r="K33" s="335">
        <v>16</v>
      </c>
      <c r="L33" s="336">
        <f t="shared" si="19"/>
        <v>48.484848484848484</v>
      </c>
      <c r="M33" s="335">
        <v>10</v>
      </c>
      <c r="N33" s="336">
        <f t="shared" si="20"/>
        <v>30.303030303030305</v>
      </c>
      <c r="O33" s="1497">
        <f t="shared" si="21"/>
        <v>26</v>
      </c>
      <c r="P33" s="1496">
        <f t="shared" si="4"/>
        <v>100</v>
      </c>
      <c r="Q33" s="335">
        <v>16</v>
      </c>
      <c r="R33" s="1498">
        <f t="shared" si="5"/>
        <v>61.53846153846154</v>
      </c>
      <c r="S33" s="335">
        <v>3</v>
      </c>
      <c r="T33" s="1498">
        <f t="shared" si="6"/>
        <v>11.538461538461538</v>
      </c>
      <c r="U33" s="335">
        <v>7</v>
      </c>
      <c r="V33" s="1498">
        <f t="shared" si="7"/>
        <v>26.923076923076923</v>
      </c>
    </row>
    <row r="34" spans="1:22" ht="17.25" customHeight="1">
      <c r="A34" s="293" t="s">
        <v>809</v>
      </c>
      <c r="B34" s="293" t="s">
        <v>809</v>
      </c>
      <c r="C34" s="1501">
        <f>SUM(C25:C33)</f>
        <v>6051</v>
      </c>
      <c r="D34" s="1501">
        <f>SUM(D25:D33)</f>
        <v>2218</v>
      </c>
      <c r="E34" s="1500">
        <f>+D34/C34*100</f>
        <v>36.655098330854401</v>
      </c>
      <c r="F34" s="1501">
        <f>SUM(F25:F33)</f>
        <v>2815</v>
      </c>
      <c r="G34" s="1500">
        <f>+F34/C34*100</f>
        <v>46.521236159312515</v>
      </c>
      <c r="H34" s="1501">
        <f>SUM(H25:H33)</f>
        <v>1957</v>
      </c>
      <c r="I34" s="1514">
        <f t="shared" si="9"/>
        <v>32.341761692282269</v>
      </c>
      <c r="J34" s="1503">
        <f>SUM(J25:J33)</f>
        <v>2591</v>
      </c>
      <c r="K34" s="1501">
        <f>SUM(K25:K33)</f>
        <v>1028</v>
      </c>
      <c r="L34" s="1500">
        <f>+K34/J34*100</f>
        <v>39.675800849093015</v>
      </c>
      <c r="M34" s="1501">
        <f>SUM(M25:M33)</f>
        <v>622</v>
      </c>
      <c r="N34" s="1500">
        <f>+M34/J34*100</f>
        <v>24.006175221922039</v>
      </c>
      <c r="O34" s="1507">
        <f t="shared" si="21"/>
        <v>1716</v>
      </c>
      <c r="P34" s="1504">
        <f t="shared" si="4"/>
        <v>100</v>
      </c>
      <c r="Q34" s="1501">
        <f>SUM(Q25:Q33)</f>
        <v>1041</v>
      </c>
      <c r="R34" s="1505">
        <f t="shared" si="5"/>
        <v>60.664335664335667</v>
      </c>
      <c r="S34" s="1501">
        <f>SUM(S25:S33)</f>
        <v>342</v>
      </c>
      <c r="T34" s="1505">
        <f t="shared" si="6"/>
        <v>19.93006993006993</v>
      </c>
      <c r="U34" s="1501">
        <f>SUM(U25:U33)</f>
        <v>333</v>
      </c>
      <c r="V34" s="1505">
        <f t="shared" si="7"/>
        <v>19.405594405594407</v>
      </c>
    </row>
    <row r="35" spans="1:22" ht="17.25" customHeight="1">
      <c r="A35" s="296" t="s">
        <v>625</v>
      </c>
      <c r="B35" s="296"/>
      <c r="C35" s="1508">
        <f>+C19+C34</f>
        <v>8779</v>
      </c>
      <c r="D35" s="1508">
        <f>+D19+D34</f>
        <v>3038</v>
      </c>
      <c r="E35" s="1509">
        <f t="shared" si="18"/>
        <v>34.605308121653948</v>
      </c>
      <c r="F35" s="1508">
        <f>+F19+F34</f>
        <v>3797</v>
      </c>
      <c r="G35" s="1509">
        <f t="shared" si="8"/>
        <v>43.250939742567489</v>
      </c>
      <c r="H35" s="1508">
        <f>+H19+H34</f>
        <v>2792</v>
      </c>
      <c r="I35" s="1515">
        <f t="shared" si="9"/>
        <v>31.803166647681969</v>
      </c>
      <c r="J35" s="1512">
        <f>+J19+J34</f>
        <v>4331</v>
      </c>
      <c r="K35" s="1508">
        <f>+K19+K34</f>
        <v>1752</v>
      </c>
      <c r="L35" s="1509">
        <f t="shared" ref="L35" si="22">+K35/J35*100</f>
        <v>40.452551373816668</v>
      </c>
      <c r="M35" s="1508">
        <f>+M19+M34</f>
        <v>842</v>
      </c>
      <c r="N35" s="1509">
        <f t="shared" ref="N35" si="23">+M35/J35*100</f>
        <v>19.441237589471253</v>
      </c>
      <c r="O35" s="1510">
        <f t="shared" ref="O35" si="24">+Q35+S35+U35</f>
        <v>2452</v>
      </c>
      <c r="P35" s="1511">
        <f t="shared" ref="P35" si="25">+R35+T35+V35</f>
        <v>100</v>
      </c>
      <c r="Q35" s="1508">
        <f>+Q19+Q34</f>
        <v>1609</v>
      </c>
      <c r="R35" s="1516">
        <f t="shared" ref="R35" si="26">+Q35/O35*100</f>
        <v>65.619902120717782</v>
      </c>
      <c r="S35" s="1508">
        <f>+S19+S34</f>
        <v>457</v>
      </c>
      <c r="T35" s="1516">
        <f t="shared" ref="T35" si="27">+S35/O35*100</f>
        <v>18.63784665579119</v>
      </c>
      <c r="U35" s="1508">
        <f>+U19+U34</f>
        <v>386</v>
      </c>
      <c r="V35" s="1516">
        <f t="shared" ref="V35" si="28">+U35/O35*100</f>
        <v>15.742251223491028</v>
      </c>
    </row>
    <row r="36" spans="1:22">
      <c r="A36" s="216"/>
      <c r="B36" s="216"/>
      <c r="C36" s="163"/>
      <c r="D36" s="163"/>
      <c r="E36" s="163"/>
      <c r="F36" s="163"/>
      <c r="G36" s="163"/>
      <c r="H36" s="163"/>
      <c r="I36" s="163"/>
      <c r="J36" s="1401"/>
      <c r="K36" s="1401"/>
      <c r="L36" s="1401"/>
      <c r="M36" s="1402"/>
      <c r="N36" s="1402"/>
      <c r="O36" s="1402"/>
      <c r="P36" s="1402"/>
      <c r="Q36" s="1402"/>
      <c r="R36" s="1402"/>
      <c r="S36" s="1402"/>
      <c r="T36" s="1402"/>
      <c r="U36" s="1402"/>
    </row>
    <row r="37" spans="1:22">
      <c r="A37" s="216"/>
      <c r="B37" s="216"/>
      <c r="C37" s="163"/>
      <c r="D37" s="163"/>
      <c r="E37" s="163"/>
      <c r="F37" s="163"/>
      <c r="G37" s="163"/>
      <c r="H37" s="163"/>
      <c r="I37" s="163"/>
      <c r="J37" s="1401"/>
      <c r="K37" s="1401"/>
      <c r="L37" s="1401"/>
      <c r="M37" s="1402"/>
      <c r="N37" s="1402"/>
      <c r="O37" s="1402"/>
      <c r="P37" s="1402"/>
      <c r="Q37" s="1402"/>
      <c r="R37" s="1402"/>
      <c r="S37" s="1402"/>
      <c r="T37" s="1402"/>
      <c r="U37" s="1402"/>
    </row>
    <row r="38" spans="1:22">
      <c r="C38" s="337"/>
      <c r="D38" s="337"/>
      <c r="E38" s="337"/>
      <c r="F38" s="337"/>
      <c r="G38" s="337"/>
      <c r="H38" s="337"/>
      <c r="I38" s="337"/>
      <c r="J38" s="337"/>
      <c r="O38" s="337"/>
      <c r="U38" s="337"/>
    </row>
    <row r="39" spans="1:22">
      <c r="C39" s="337"/>
      <c r="D39" s="337"/>
      <c r="E39" s="337"/>
      <c r="F39" s="337"/>
      <c r="G39" s="337"/>
      <c r="H39" s="337"/>
      <c r="I39" s="337"/>
    </row>
    <row r="40" spans="1:22">
      <c r="C40" s="337"/>
      <c r="D40" s="337"/>
      <c r="E40" s="337"/>
      <c r="F40" s="337"/>
      <c r="G40" s="337"/>
      <c r="H40" s="337"/>
      <c r="I40" s="337"/>
    </row>
    <row r="41" spans="1:22">
      <c r="C41" s="337"/>
      <c r="D41" s="337"/>
      <c r="E41" s="337"/>
      <c r="F41" s="337"/>
      <c r="G41" s="337"/>
      <c r="H41" s="337"/>
      <c r="I41" s="337"/>
    </row>
  </sheetData>
  <mergeCells count="14">
    <mergeCell ref="O8:V8"/>
    <mergeCell ref="O9:P9"/>
    <mergeCell ref="A1:S1"/>
    <mergeCell ref="A2:S2"/>
    <mergeCell ref="A3:S3"/>
    <mergeCell ref="K8:L9"/>
    <mergeCell ref="M8:N9"/>
    <mergeCell ref="D8:E9"/>
    <mergeCell ref="F8:G9"/>
    <mergeCell ref="H8:I9"/>
    <mergeCell ref="A7:A10"/>
    <mergeCell ref="B7:B10"/>
    <mergeCell ref="U9:V9"/>
    <mergeCell ref="K7:V7"/>
  </mergeCells>
  <phoneticPr fontId="19" type="noConversion"/>
  <pageMargins left="0.78740157480314965" right="0.78740157480314965" top="0.78740157480314965" bottom="0.59055118110236227" header="0.51181102362204722" footer="0.51181102362204722"/>
  <pageSetup paperSize="5" orientation="portrait" horizontalDpi="300" verticalDpi="300" r:id="rId1"/>
  <headerFooter alignWithMargins="0">
    <oddHeader xml:space="preserve">&amp;R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topLeftCell="A7" workbookViewId="0">
      <selection activeCell="Q19" sqref="Q19"/>
    </sheetView>
  </sheetViews>
  <sheetFormatPr baseColWidth="10" defaultRowHeight="13.2"/>
  <cols>
    <col min="1" max="1" width="13.77734375" customWidth="1"/>
    <col min="2" max="2" width="17.77734375" customWidth="1"/>
    <col min="3" max="4" width="7" customWidth="1"/>
    <col min="5" max="5" width="9.44140625" customWidth="1"/>
    <col min="6" max="26" width="7" customWidth="1"/>
    <col min="27" max="32" width="8.21875" customWidth="1"/>
  </cols>
  <sheetData>
    <row r="1" spans="1:27">
      <c r="A1" s="1585" t="s">
        <v>1510</v>
      </c>
      <c r="B1" s="1585"/>
      <c r="C1" s="1585"/>
      <c r="D1" s="1585"/>
      <c r="E1" s="1585"/>
      <c r="F1" s="1585"/>
      <c r="G1" s="1585"/>
      <c r="H1" s="1585"/>
      <c r="I1" s="1585"/>
      <c r="J1" s="1585"/>
      <c r="K1" s="1585"/>
      <c r="L1" s="1585"/>
      <c r="M1" s="1585"/>
      <c r="N1" s="1585"/>
      <c r="O1" s="1585"/>
      <c r="P1" s="1585"/>
      <c r="Q1" s="1585"/>
      <c r="R1" s="1585"/>
      <c r="S1" s="1585"/>
      <c r="T1" s="1585"/>
      <c r="U1" s="1585"/>
      <c r="V1" s="1585"/>
      <c r="W1" s="1585"/>
      <c r="X1" s="1585"/>
      <c r="Y1" s="1585"/>
      <c r="Z1" s="1585"/>
    </row>
    <row r="2" spans="1:27">
      <c r="A2" s="1585" t="s">
        <v>819</v>
      </c>
      <c r="B2" s="1585"/>
      <c r="C2" s="1585"/>
      <c r="D2" s="1585"/>
      <c r="E2" s="1585"/>
      <c r="F2" s="1585"/>
      <c r="G2" s="1585"/>
      <c r="H2" s="1585"/>
      <c r="I2" s="1585"/>
      <c r="J2" s="1585"/>
      <c r="K2" s="1585"/>
      <c r="L2" s="1585"/>
      <c r="M2" s="1585"/>
      <c r="N2" s="1585"/>
      <c r="O2" s="1585"/>
      <c r="P2" s="1585"/>
      <c r="Q2" s="1585"/>
      <c r="R2" s="1585"/>
      <c r="S2" s="1585"/>
      <c r="T2" s="1585"/>
      <c r="U2" s="1585"/>
      <c r="V2" s="1585"/>
      <c r="W2" s="1585"/>
      <c r="X2" s="1585"/>
      <c r="Y2" s="1585"/>
      <c r="Z2" s="1585"/>
    </row>
    <row r="3" spans="1:27">
      <c r="A3" s="1585" t="s">
        <v>1655</v>
      </c>
      <c r="B3" s="1585"/>
      <c r="C3" s="1585"/>
      <c r="D3" s="1585"/>
      <c r="E3" s="1585"/>
      <c r="F3" s="1585"/>
      <c r="G3" s="1585"/>
      <c r="H3" s="1585"/>
      <c r="I3" s="1585"/>
      <c r="J3" s="1585"/>
      <c r="K3" s="1585"/>
      <c r="L3" s="1585"/>
      <c r="M3" s="1585"/>
      <c r="N3" s="1585"/>
      <c r="O3" s="1585"/>
      <c r="P3" s="1585"/>
      <c r="Q3" s="1585"/>
      <c r="R3" s="1585"/>
      <c r="S3" s="1585"/>
      <c r="T3" s="1585"/>
      <c r="U3" s="1585"/>
      <c r="V3" s="1585"/>
      <c r="W3" s="1585"/>
      <c r="X3" s="1585"/>
      <c r="Y3" s="1585"/>
      <c r="Z3" s="1585"/>
    </row>
    <row r="8" spans="1:27" ht="25.5" customHeight="1">
      <c r="A8" s="338"/>
      <c r="B8" s="339"/>
      <c r="C8" s="1610" t="s">
        <v>1506</v>
      </c>
      <c r="D8" s="1607"/>
      <c r="E8" s="1608"/>
      <c r="F8" s="1607" t="s">
        <v>820</v>
      </c>
      <c r="G8" s="1607"/>
      <c r="H8" s="1607"/>
      <c r="I8" s="1610" t="s">
        <v>1507</v>
      </c>
      <c r="J8" s="1607"/>
      <c r="K8" s="1608"/>
      <c r="L8" s="1607" t="s">
        <v>822</v>
      </c>
      <c r="M8" s="1607"/>
      <c r="N8" s="1607"/>
      <c r="O8" s="1610" t="s">
        <v>1509</v>
      </c>
      <c r="P8" s="1607"/>
      <c r="Q8" s="1608"/>
      <c r="R8" s="1607" t="s">
        <v>823</v>
      </c>
      <c r="S8" s="1607"/>
      <c r="T8" s="1608"/>
      <c r="U8" s="1609" t="s">
        <v>1508</v>
      </c>
      <c r="V8" s="1607"/>
      <c r="W8" s="1607"/>
      <c r="X8" s="1606" t="s">
        <v>637</v>
      </c>
      <c r="Y8" s="1607"/>
      <c r="Z8" s="1608"/>
    </row>
    <row r="9" spans="1:27" ht="9.75" customHeight="1">
      <c r="A9" s="340" t="s">
        <v>796</v>
      </c>
      <c r="B9" s="341" t="s">
        <v>824</v>
      </c>
      <c r="C9" s="342"/>
      <c r="D9" s="343"/>
      <c r="E9" s="344"/>
      <c r="F9" s="343"/>
      <c r="G9" s="343"/>
      <c r="H9" s="343"/>
      <c r="I9" s="342"/>
      <c r="J9" s="343"/>
      <c r="K9" s="344"/>
      <c r="L9" s="343"/>
      <c r="M9" s="343"/>
      <c r="N9" s="343"/>
      <c r="O9" s="342"/>
      <c r="P9" s="343"/>
      <c r="Q9" s="344"/>
      <c r="R9" s="343"/>
      <c r="S9" s="343"/>
      <c r="T9" s="344"/>
      <c r="U9" s="343"/>
      <c r="V9" s="343"/>
      <c r="W9" s="343"/>
      <c r="X9" s="342"/>
      <c r="Y9" s="343"/>
      <c r="Z9" s="344"/>
    </row>
    <row r="10" spans="1:27" ht="17.25" customHeight="1">
      <c r="A10" s="345"/>
      <c r="B10" s="346"/>
      <c r="C10" s="348">
        <v>2019</v>
      </c>
      <c r="D10" s="348">
        <v>2020</v>
      </c>
      <c r="E10" s="349" t="s">
        <v>511</v>
      </c>
      <c r="F10" s="348">
        <f>+C10</f>
        <v>2019</v>
      </c>
      <c r="G10" s="348">
        <f>+D10</f>
        <v>2020</v>
      </c>
      <c r="H10" s="348" t="s">
        <v>511</v>
      </c>
      <c r="I10" s="347">
        <f>+F10</f>
        <v>2019</v>
      </c>
      <c r="J10" s="348">
        <f>+G10</f>
        <v>2020</v>
      </c>
      <c r="K10" s="349" t="s">
        <v>511</v>
      </c>
      <c r="L10" s="348">
        <f>+I10</f>
        <v>2019</v>
      </c>
      <c r="M10" s="348">
        <f>+G10</f>
        <v>2020</v>
      </c>
      <c r="N10" s="348" t="s">
        <v>511</v>
      </c>
      <c r="O10" s="347">
        <f>+L10</f>
        <v>2019</v>
      </c>
      <c r="P10" s="348">
        <f>+J10</f>
        <v>2020</v>
      </c>
      <c r="Q10" s="349" t="s">
        <v>511</v>
      </c>
      <c r="R10" s="348">
        <f>+L10</f>
        <v>2019</v>
      </c>
      <c r="S10" s="348">
        <f>+M10</f>
        <v>2020</v>
      </c>
      <c r="T10" s="349" t="s">
        <v>511</v>
      </c>
      <c r="U10" s="348">
        <f>+R10</f>
        <v>2019</v>
      </c>
      <c r="V10" s="348">
        <f>+S10</f>
        <v>2020</v>
      </c>
      <c r="W10" s="348" t="s">
        <v>511</v>
      </c>
      <c r="X10" s="347">
        <f>+U10</f>
        <v>2019</v>
      </c>
      <c r="Y10" s="348">
        <f>+V10</f>
        <v>2020</v>
      </c>
      <c r="Z10" s="349" t="s">
        <v>511</v>
      </c>
    </row>
    <row r="11" spans="1:27">
      <c r="A11" s="340"/>
      <c r="B11" s="341"/>
      <c r="C11" s="343"/>
      <c r="D11" s="343"/>
      <c r="E11" s="344"/>
      <c r="F11" s="1065"/>
      <c r="G11" s="1066"/>
      <c r="H11" s="1067"/>
      <c r="I11" s="343"/>
      <c r="J11" s="343"/>
      <c r="K11" s="344"/>
      <c r="L11" s="1065"/>
      <c r="M11" s="1066"/>
      <c r="N11" s="1437"/>
      <c r="O11" s="343"/>
      <c r="P11" s="343"/>
      <c r="Q11" s="344"/>
      <c r="R11" s="343"/>
      <c r="S11" s="343"/>
      <c r="T11" s="344"/>
      <c r="U11" s="343"/>
      <c r="V11" s="343"/>
      <c r="W11" s="1437"/>
      <c r="X11" s="343"/>
      <c r="Y11" s="343"/>
      <c r="Z11" s="344"/>
    </row>
    <row r="12" spans="1:27" ht="15.75" customHeight="1">
      <c r="A12" s="340" t="s">
        <v>616</v>
      </c>
      <c r="B12" s="293" t="s">
        <v>1322</v>
      </c>
      <c r="C12" s="363">
        <v>62</v>
      </c>
      <c r="D12" s="363">
        <v>9</v>
      </c>
      <c r="E12" s="350">
        <f>(+D12-C12)/C12*100</f>
        <v>-85.483870967741936</v>
      </c>
      <c r="F12" s="343">
        <v>5</v>
      </c>
      <c r="G12" s="343">
        <v>7</v>
      </c>
      <c r="H12" s="350">
        <f>(+G12-F12)/F12*100</f>
        <v>40</v>
      </c>
      <c r="I12" s="353">
        <v>477</v>
      </c>
      <c r="J12" s="353">
        <v>17</v>
      </c>
      <c r="K12" s="350">
        <f>(+J12-I12)/I12*100</f>
        <v>-96.436058700209642</v>
      </c>
      <c r="L12" s="363">
        <v>255</v>
      </c>
      <c r="M12" s="363">
        <v>9</v>
      </c>
      <c r="N12" s="350">
        <f>(+M12-L12)/L12*100</f>
        <v>-96.470588235294116</v>
      </c>
      <c r="O12" s="353">
        <v>47</v>
      </c>
      <c r="P12" s="353">
        <v>0</v>
      </c>
      <c r="Q12" s="350">
        <f>(+P12-O12)/O12*100</f>
        <v>-100</v>
      </c>
      <c r="R12" s="353">
        <v>1256</v>
      </c>
      <c r="S12" s="353">
        <v>80</v>
      </c>
      <c r="T12" s="350">
        <f>(+S12-R12)/R12*100</f>
        <v>-93.630573248407643</v>
      </c>
      <c r="U12" s="343">
        <v>0</v>
      </c>
      <c r="V12" s="343">
        <v>0</v>
      </c>
      <c r="W12" s="350"/>
      <c r="X12" s="353">
        <f t="shared" ref="X12:Y14" si="0">+U12+R12+L12+O12+I12+F12+C12</f>
        <v>2102</v>
      </c>
      <c r="Y12" s="353">
        <f t="shared" si="0"/>
        <v>122</v>
      </c>
      <c r="Z12" s="350">
        <f>(+Y12-X12)/X12*100</f>
        <v>-94.196003805899139</v>
      </c>
      <c r="AA12" s="134"/>
    </row>
    <row r="13" spans="1:27" ht="15.75" customHeight="1">
      <c r="A13" s="340"/>
      <c r="B13" s="293" t="s">
        <v>1326</v>
      </c>
      <c r="C13" s="343">
        <v>99</v>
      </c>
      <c r="D13" s="343">
        <v>116</v>
      </c>
      <c r="E13" s="350">
        <f t="shared" ref="E13:E35" si="1">(+D13-C13)/C13*100</f>
        <v>17.171717171717169</v>
      </c>
      <c r="F13" s="343">
        <v>6</v>
      </c>
      <c r="G13" s="343">
        <v>16</v>
      </c>
      <c r="H13" s="350">
        <f t="shared" ref="H13:H35" si="2">(+G13-F13)/F13*100</f>
        <v>166.66666666666669</v>
      </c>
      <c r="I13" s="353">
        <v>417</v>
      </c>
      <c r="J13" s="353">
        <f>111+272</f>
        <v>383</v>
      </c>
      <c r="K13" s="350">
        <f t="shared" ref="K13:K35" si="3">(+J13-I13)/I13*100</f>
        <v>-8.1534772182254205</v>
      </c>
      <c r="L13" s="343">
        <v>216</v>
      </c>
      <c r="M13" s="343">
        <v>167</v>
      </c>
      <c r="N13" s="350">
        <f t="shared" ref="N13:N35" si="4">(+M13-L13)/L13*100</f>
        <v>-22.685185185185187</v>
      </c>
      <c r="O13" s="353">
        <v>9</v>
      </c>
      <c r="P13" s="353">
        <v>6</v>
      </c>
      <c r="Q13" s="350">
        <f t="shared" ref="Q13:Q35" si="5">(+P13-O13)/O13*100</f>
        <v>-33.333333333333329</v>
      </c>
      <c r="R13" s="353">
        <v>1253</v>
      </c>
      <c r="S13" s="522">
        <v>1156</v>
      </c>
      <c r="T13" s="350">
        <f t="shared" ref="T13:T35" si="6">(+S13-R13)/R13*100</f>
        <v>-7.7414205905826012</v>
      </c>
      <c r="U13" s="343"/>
      <c r="V13" s="343"/>
      <c r="W13" s="350"/>
      <c r="X13" s="353">
        <f t="shared" si="0"/>
        <v>2000</v>
      </c>
      <c r="Y13" s="353">
        <f t="shared" si="0"/>
        <v>1844</v>
      </c>
      <c r="Z13" s="350">
        <f>(+Y13-X13)/X13*100</f>
        <v>-7.8</v>
      </c>
      <c r="AA13" s="134"/>
    </row>
    <row r="14" spans="1:27" ht="15.75" customHeight="1">
      <c r="A14" s="340"/>
      <c r="B14" s="334" t="s">
        <v>804</v>
      </c>
      <c r="C14" s="343">
        <v>20</v>
      </c>
      <c r="D14" s="343">
        <v>10</v>
      </c>
      <c r="E14" s="350">
        <f t="shared" si="1"/>
        <v>-50</v>
      </c>
      <c r="F14" s="343">
        <v>0</v>
      </c>
      <c r="G14" s="343">
        <v>1</v>
      </c>
      <c r="H14" s="350"/>
      <c r="I14" s="353">
        <v>85</v>
      </c>
      <c r="J14" s="353">
        <v>20</v>
      </c>
      <c r="K14" s="350">
        <f t="shared" si="3"/>
        <v>-76.470588235294116</v>
      </c>
      <c r="L14" s="343">
        <v>43</v>
      </c>
      <c r="M14" s="343">
        <v>12</v>
      </c>
      <c r="N14" s="350">
        <f t="shared" si="4"/>
        <v>-72.093023255813947</v>
      </c>
      <c r="O14" s="353">
        <v>1</v>
      </c>
      <c r="P14" s="353">
        <v>0</v>
      </c>
      <c r="Q14" s="350">
        <f t="shared" si="5"/>
        <v>-100</v>
      </c>
      <c r="R14" s="353">
        <v>224</v>
      </c>
      <c r="S14" s="353">
        <v>75</v>
      </c>
      <c r="T14" s="350">
        <f t="shared" si="6"/>
        <v>-66.517857142857139</v>
      </c>
      <c r="U14" s="343"/>
      <c r="V14" s="343"/>
      <c r="W14" s="344"/>
      <c r="X14" s="353">
        <f t="shared" si="0"/>
        <v>373</v>
      </c>
      <c r="Y14" s="353">
        <f t="shared" si="0"/>
        <v>118</v>
      </c>
      <c r="Z14" s="350">
        <f t="shared" ref="Z14:Z35" si="7">(+Y14-X14)/X14*100</f>
        <v>-68.364611260053621</v>
      </c>
      <c r="AA14" s="134"/>
    </row>
    <row r="15" spans="1:27" ht="15.75" customHeight="1">
      <c r="A15" s="340"/>
      <c r="B15" s="341" t="s">
        <v>740</v>
      </c>
      <c r="C15" s="343">
        <f>SUM(C12:C14)</f>
        <v>181</v>
      </c>
      <c r="D15" s="343">
        <f>SUM(D12:D14)</f>
        <v>135</v>
      </c>
      <c r="E15" s="350">
        <f t="shared" si="1"/>
        <v>-25.414364640883981</v>
      </c>
      <c r="F15" s="343">
        <f>SUM(F12:F14)</f>
        <v>11</v>
      </c>
      <c r="G15" s="343">
        <f>SUM(G12:G14)</f>
        <v>24</v>
      </c>
      <c r="H15" s="350">
        <f t="shared" si="2"/>
        <v>118.18181818181819</v>
      </c>
      <c r="I15" s="343">
        <f>SUM(I12:I14)</f>
        <v>979</v>
      </c>
      <c r="J15" s="343">
        <f>SUM(J12:J14)</f>
        <v>420</v>
      </c>
      <c r="K15" s="350">
        <f t="shared" si="3"/>
        <v>-57.099080694586313</v>
      </c>
      <c r="L15" s="343">
        <f>SUM(L12:L14)</f>
        <v>514</v>
      </c>
      <c r="M15" s="343">
        <f>SUM(M12:M14)</f>
        <v>188</v>
      </c>
      <c r="N15" s="350">
        <f t="shared" si="4"/>
        <v>-63.424124513618672</v>
      </c>
      <c r="O15" s="343">
        <f>SUM(O12:O14)</f>
        <v>57</v>
      </c>
      <c r="P15" s="343">
        <f>SUM(P12:P14)</f>
        <v>6</v>
      </c>
      <c r="Q15" s="350">
        <f t="shared" si="5"/>
        <v>-89.473684210526315</v>
      </c>
      <c r="R15" s="343">
        <f>SUM(R12:R14)</f>
        <v>2733</v>
      </c>
      <c r="S15" s="343">
        <f>SUM(S12:S14)</f>
        <v>1311</v>
      </c>
      <c r="T15" s="350">
        <f t="shared" si="6"/>
        <v>-52.030735455543365</v>
      </c>
      <c r="U15" s="343">
        <v>0</v>
      </c>
      <c r="V15" s="343">
        <v>0</v>
      </c>
      <c r="W15" s="350"/>
      <c r="X15" s="343">
        <f>SUM(X12:X14)</f>
        <v>4475</v>
      </c>
      <c r="Y15" s="343">
        <f>SUM(Y12:Y14)</f>
        <v>2084</v>
      </c>
      <c r="Z15" s="350">
        <f t="shared" si="7"/>
        <v>-53.430167597765369</v>
      </c>
      <c r="AA15" s="134"/>
    </row>
    <row r="16" spans="1:27" ht="15.75" customHeight="1">
      <c r="A16" s="340" t="s">
        <v>617</v>
      </c>
      <c r="B16" s="334" t="s">
        <v>805</v>
      </c>
      <c r="C16" s="343">
        <v>40</v>
      </c>
      <c r="D16" s="343">
        <v>30</v>
      </c>
      <c r="E16" s="350">
        <f t="shared" si="1"/>
        <v>-25</v>
      </c>
      <c r="F16" s="343">
        <v>3</v>
      </c>
      <c r="G16" s="343">
        <v>5</v>
      </c>
      <c r="H16" s="350">
        <f t="shared" si="2"/>
        <v>66.666666666666657</v>
      </c>
      <c r="I16" s="353">
        <v>338</v>
      </c>
      <c r="J16" s="522">
        <f>189+138</f>
        <v>327</v>
      </c>
      <c r="K16" s="350">
        <f t="shared" si="3"/>
        <v>-3.2544378698224854</v>
      </c>
      <c r="L16" s="343">
        <v>207</v>
      </c>
      <c r="M16" s="343">
        <v>185</v>
      </c>
      <c r="N16" s="350">
        <f t="shared" si="4"/>
        <v>-10.628019323671497</v>
      </c>
      <c r="O16" s="353">
        <v>35</v>
      </c>
      <c r="P16" s="353">
        <v>33</v>
      </c>
      <c r="Q16" s="350">
        <f t="shared" si="5"/>
        <v>-5.7142857142857144</v>
      </c>
      <c r="R16" s="353">
        <v>912</v>
      </c>
      <c r="S16" s="353">
        <f>502+412</f>
        <v>914</v>
      </c>
      <c r="T16" s="350">
        <f t="shared" si="6"/>
        <v>0.21929824561403508</v>
      </c>
      <c r="U16" s="343">
        <v>2</v>
      </c>
      <c r="V16" s="343">
        <v>1</v>
      </c>
      <c r="W16" s="350">
        <f>(+V16-U16)/U16*100</f>
        <v>-50</v>
      </c>
      <c r="X16" s="353">
        <f>+U16+R16+L16+O16+I16+F16+C16</f>
        <v>1537</v>
      </c>
      <c r="Y16" s="353">
        <f>+V16+S16+M16+P16+J16+G16+D16</f>
        <v>1495</v>
      </c>
      <c r="Z16" s="350">
        <f t="shared" si="7"/>
        <v>-2.7325959661678594</v>
      </c>
      <c r="AA16" s="134"/>
    </row>
    <row r="17" spans="1:27" ht="15.75" customHeight="1">
      <c r="A17" s="340"/>
      <c r="B17" s="293" t="s">
        <v>1176</v>
      </c>
      <c r="C17" s="343">
        <v>11</v>
      </c>
      <c r="D17" s="343">
        <v>7</v>
      </c>
      <c r="E17" s="350">
        <f t="shared" si="1"/>
        <v>-36.363636363636367</v>
      </c>
      <c r="F17" s="343">
        <v>0</v>
      </c>
      <c r="G17" s="343">
        <v>0</v>
      </c>
      <c r="H17" s="350"/>
      <c r="I17" s="353">
        <v>63</v>
      </c>
      <c r="J17" s="353">
        <v>60</v>
      </c>
      <c r="K17" s="350">
        <f t="shared" si="3"/>
        <v>-4.7619047619047619</v>
      </c>
      <c r="L17" s="343">
        <v>34</v>
      </c>
      <c r="M17" s="343">
        <v>29</v>
      </c>
      <c r="N17" s="350">
        <f t="shared" si="4"/>
        <v>-14.705882352941178</v>
      </c>
      <c r="O17" s="353">
        <v>10</v>
      </c>
      <c r="P17" s="353">
        <v>4</v>
      </c>
      <c r="Q17" s="350">
        <f t="shared" si="5"/>
        <v>-60</v>
      </c>
      <c r="R17" s="353">
        <v>137</v>
      </c>
      <c r="S17" s="353">
        <v>138</v>
      </c>
      <c r="T17" s="350">
        <f t="shared" si="6"/>
        <v>0.72992700729927007</v>
      </c>
      <c r="U17" s="343"/>
      <c r="V17" s="343"/>
      <c r="W17" s="344"/>
      <c r="X17" s="353">
        <f t="shared" ref="X17:Y19" si="8">+U17+R17+L17+O17+I17+F17+C17</f>
        <v>255</v>
      </c>
      <c r="Y17" s="353">
        <f t="shared" si="8"/>
        <v>238</v>
      </c>
      <c r="Z17" s="350">
        <f t="shared" si="7"/>
        <v>-6.666666666666667</v>
      </c>
      <c r="AA17" s="134"/>
    </row>
    <row r="18" spans="1:27" ht="15.75" customHeight="1">
      <c r="A18" s="340" t="s">
        <v>806</v>
      </c>
      <c r="B18" s="334" t="s">
        <v>807</v>
      </c>
      <c r="C18" s="343">
        <v>44</v>
      </c>
      <c r="D18" s="343">
        <v>10</v>
      </c>
      <c r="E18" s="350">
        <f t="shared" si="1"/>
        <v>-77.272727272727266</v>
      </c>
      <c r="F18" s="343">
        <v>6</v>
      </c>
      <c r="G18" s="343">
        <v>1</v>
      </c>
      <c r="H18" s="350">
        <f t="shared" si="2"/>
        <v>-83.333333333333343</v>
      </c>
      <c r="I18" s="353">
        <v>192</v>
      </c>
      <c r="J18" s="353">
        <v>55</v>
      </c>
      <c r="K18" s="350">
        <f t="shared" si="3"/>
        <v>-71.354166666666657</v>
      </c>
      <c r="L18" s="343">
        <v>99</v>
      </c>
      <c r="M18" s="343">
        <v>16</v>
      </c>
      <c r="N18" s="350">
        <f t="shared" si="4"/>
        <v>-83.838383838383834</v>
      </c>
      <c r="O18" s="353">
        <v>3</v>
      </c>
      <c r="P18" s="353"/>
      <c r="Q18" s="350">
        <f t="shared" si="5"/>
        <v>-100</v>
      </c>
      <c r="R18" s="353">
        <v>625</v>
      </c>
      <c r="S18" s="353">
        <v>120</v>
      </c>
      <c r="T18" s="350">
        <f t="shared" si="6"/>
        <v>-80.800000000000011</v>
      </c>
      <c r="U18" s="343"/>
      <c r="V18" s="343"/>
      <c r="W18" s="344"/>
      <c r="X18" s="353">
        <f t="shared" si="8"/>
        <v>969</v>
      </c>
      <c r="Y18" s="353">
        <f t="shared" si="8"/>
        <v>202</v>
      </c>
      <c r="Z18" s="350">
        <f t="shared" si="7"/>
        <v>-79.15376676986584</v>
      </c>
      <c r="AA18" s="134"/>
    </row>
    <row r="19" spans="1:27" ht="15.75" customHeight="1">
      <c r="A19" s="340" t="s">
        <v>618</v>
      </c>
      <c r="B19" s="334" t="s">
        <v>808</v>
      </c>
      <c r="C19" s="343">
        <v>45</v>
      </c>
      <c r="D19" s="343">
        <v>31</v>
      </c>
      <c r="E19" s="350">
        <f t="shared" si="1"/>
        <v>-31.111111111111111</v>
      </c>
      <c r="F19" s="343">
        <v>7</v>
      </c>
      <c r="G19" s="343">
        <v>1</v>
      </c>
      <c r="H19" s="350">
        <f t="shared" si="2"/>
        <v>-85.714285714285708</v>
      </c>
      <c r="I19" s="353">
        <v>222</v>
      </c>
      <c r="J19" s="353">
        <v>98</v>
      </c>
      <c r="K19" s="350">
        <f t="shared" si="3"/>
        <v>-55.85585585585585</v>
      </c>
      <c r="L19" s="343">
        <v>127</v>
      </c>
      <c r="M19" s="343">
        <v>57</v>
      </c>
      <c r="N19" s="350">
        <f t="shared" si="4"/>
        <v>-55.118110236220474</v>
      </c>
      <c r="O19" s="353">
        <v>0</v>
      </c>
      <c r="P19" s="353">
        <v>3</v>
      </c>
      <c r="Q19" s="350"/>
      <c r="R19" s="353">
        <v>593</v>
      </c>
      <c r="S19" s="353">
        <v>259</v>
      </c>
      <c r="T19" s="350">
        <f t="shared" si="6"/>
        <v>-56.323777403035415</v>
      </c>
      <c r="U19" s="343">
        <v>1</v>
      </c>
      <c r="V19" s="343"/>
      <c r="W19" s="344"/>
      <c r="X19" s="353">
        <f t="shared" si="8"/>
        <v>995</v>
      </c>
      <c r="Y19" s="353">
        <f t="shared" si="8"/>
        <v>449</v>
      </c>
      <c r="Z19" s="350">
        <f t="shared" si="7"/>
        <v>-54.874371859296481</v>
      </c>
      <c r="AA19" s="134"/>
    </row>
    <row r="20" spans="1:27" ht="21.75" customHeight="1">
      <c r="A20" s="340" t="s">
        <v>809</v>
      </c>
      <c r="B20" s="341" t="s">
        <v>809</v>
      </c>
      <c r="C20" s="343">
        <f>SUM(C15:C19)</f>
        <v>321</v>
      </c>
      <c r="D20" s="343">
        <f>SUM(D15:D19)</f>
        <v>213</v>
      </c>
      <c r="E20" s="350">
        <f t="shared" si="1"/>
        <v>-33.644859813084111</v>
      </c>
      <c r="F20" s="343">
        <f>SUM(F15:F19)</f>
        <v>27</v>
      </c>
      <c r="G20" s="343">
        <f>SUM(G15:G19)</f>
        <v>31</v>
      </c>
      <c r="H20" s="350">
        <f t="shared" si="2"/>
        <v>14.814814814814813</v>
      </c>
      <c r="I20" s="353">
        <f>SUM(I15:I19)</f>
        <v>1794</v>
      </c>
      <c r="J20" s="353">
        <f>SUM(J15:J19)</f>
        <v>960</v>
      </c>
      <c r="K20" s="350">
        <f t="shared" si="3"/>
        <v>-46.488294314381271</v>
      </c>
      <c r="L20" s="343">
        <f>SUM(L15:L19)</f>
        <v>981</v>
      </c>
      <c r="M20" s="343">
        <f>SUM(M15:M19)</f>
        <v>475</v>
      </c>
      <c r="N20" s="350">
        <f t="shared" si="4"/>
        <v>-51.580020387359838</v>
      </c>
      <c r="O20" s="343">
        <f>SUM(O15:O19)</f>
        <v>105</v>
      </c>
      <c r="P20" s="343">
        <f>SUM(P15:P19)</f>
        <v>46</v>
      </c>
      <c r="Q20" s="350">
        <f t="shared" si="5"/>
        <v>-56.19047619047619</v>
      </c>
      <c r="R20" s="353">
        <f>SUM(R15:R19)</f>
        <v>5000</v>
      </c>
      <c r="S20" s="353">
        <f>SUM(S15:S19)</f>
        <v>2742</v>
      </c>
      <c r="T20" s="350">
        <f t="shared" si="6"/>
        <v>-45.16</v>
      </c>
      <c r="U20" s="343">
        <f>SUM(U15:U19)</f>
        <v>3</v>
      </c>
      <c r="V20" s="343">
        <f>SUM(V15:V19)</f>
        <v>1</v>
      </c>
      <c r="W20" s="350">
        <f>(+V20-U20)/U20*100</f>
        <v>-66.666666666666657</v>
      </c>
      <c r="X20" s="353">
        <f>SUM(X15:X19)</f>
        <v>8231</v>
      </c>
      <c r="Y20" s="353">
        <f>SUM(Y15:Y19)</f>
        <v>4468</v>
      </c>
      <c r="Z20" s="350">
        <f t="shared" si="7"/>
        <v>-45.717409792248816</v>
      </c>
    </row>
    <row r="21" spans="1:27" ht="15.75" customHeight="1">
      <c r="A21" s="340"/>
      <c r="B21" s="341"/>
      <c r="C21" s="343"/>
      <c r="D21" s="343"/>
      <c r="E21" s="350"/>
      <c r="F21" s="343"/>
      <c r="G21" s="343"/>
      <c r="H21" s="350"/>
      <c r="I21" s="353"/>
      <c r="J21" s="353"/>
      <c r="K21" s="350"/>
      <c r="L21" s="343"/>
      <c r="M21" s="343"/>
      <c r="N21" s="350"/>
      <c r="O21" s="353"/>
      <c r="P21" s="353"/>
      <c r="Q21" s="350"/>
      <c r="R21" s="353"/>
      <c r="S21" s="353"/>
      <c r="T21" s="350"/>
      <c r="U21" s="343"/>
      <c r="V21" s="343"/>
      <c r="W21" s="350"/>
      <c r="X21" s="353"/>
      <c r="Y21" s="353"/>
      <c r="Z21" s="350"/>
    </row>
    <row r="22" spans="1:27" ht="15.75" customHeight="1">
      <c r="A22" s="340" t="s">
        <v>619</v>
      </c>
      <c r="B22" s="334" t="s">
        <v>810</v>
      </c>
      <c r="C22" s="343">
        <v>90</v>
      </c>
      <c r="D22" s="343">
        <v>41</v>
      </c>
      <c r="E22" s="350">
        <f>(+D22-C22)/C22*100</f>
        <v>-54.444444444444443</v>
      </c>
      <c r="F22" s="343">
        <v>10</v>
      </c>
      <c r="G22" s="343">
        <v>14</v>
      </c>
      <c r="H22" s="350">
        <f>(+G22-F22)/F22*100</f>
        <v>40</v>
      </c>
      <c r="I22" s="353">
        <v>425</v>
      </c>
      <c r="J22" s="353">
        <v>158</v>
      </c>
      <c r="K22" s="350">
        <f>(+J22-I22)/I22*100</f>
        <v>-62.82352941176471</v>
      </c>
      <c r="L22" s="343">
        <v>243</v>
      </c>
      <c r="M22" s="343">
        <v>80</v>
      </c>
      <c r="N22" s="350">
        <f>(+M22-L22)/L22*100</f>
        <v>-67.078189300411523</v>
      </c>
      <c r="O22" s="353">
        <v>27</v>
      </c>
      <c r="P22" s="353">
        <v>6</v>
      </c>
      <c r="Q22" s="350">
        <f>(+P22-O22)/O22*100</f>
        <v>-77.777777777777786</v>
      </c>
      <c r="R22" s="353">
        <v>1114</v>
      </c>
      <c r="S22" s="353">
        <v>447</v>
      </c>
      <c r="T22" s="350">
        <f>(+S22-R22)/R22*100</f>
        <v>-59.874326750448837</v>
      </c>
      <c r="U22" s="343"/>
      <c r="V22" s="343">
        <v>4</v>
      </c>
      <c r="W22" s="350"/>
      <c r="X22" s="353">
        <f>+U22+R22+L22+O22+I22+F22+C22</f>
        <v>1909</v>
      </c>
      <c r="Y22" s="353">
        <f>+V22+S22+M22+P22+J22+G22+D22</f>
        <v>750</v>
      </c>
      <c r="Z22" s="350">
        <f t="shared" si="7"/>
        <v>-60.712414876898904</v>
      </c>
      <c r="AA22" s="134"/>
    </row>
    <row r="23" spans="1:27" ht="15.75" customHeight="1">
      <c r="A23" s="340"/>
      <c r="B23" s="334" t="s">
        <v>811</v>
      </c>
      <c r="C23" s="343">
        <v>138</v>
      </c>
      <c r="D23" s="343">
        <v>100</v>
      </c>
      <c r="E23" s="350">
        <f>(+D23-C23)/C23*100</f>
        <v>-27.536231884057973</v>
      </c>
      <c r="F23" s="343">
        <v>5</v>
      </c>
      <c r="G23" s="343">
        <v>9</v>
      </c>
      <c r="H23" s="350">
        <f>(+G23-F23)/F23*100</f>
        <v>80</v>
      </c>
      <c r="I23" s="353">
        <v>590</v>
      </c>
      <c r="J23" s="353">
        <f>39+294</f>
        <v>333</v>
      </c>
      <c r="K23" s="350">
        <f>(+J23-I23)/I23*100</f>
        <v>-43.559322033898304</v>
      </c>
      <c r="L23" s="343">
        <v>324</v>
      </c>
      <c r="M23" s="343">
        <f>55+137</f>
        <v>192</v>
      </c>
      <c r="N23" s="350">
        <f>(+M23-L23)/L23*100</f>
        <v>-40.74074074074074</v>
      </c>
      <c r="O23" s="353">
        <v>44</v>
      </c>
      <c r="P23" s="353">
        <v>5</v>
      </c>
      <c r="Q23" s="350">
        <f>(+P23-O23)/O23*100</f>
        <v>-88.63636363636364</v>
      </c>
      <c r="R23" s="353">
        <v>1847</v>
      </c>
      <c r="S23" s="353">
        <f>128+722</f>
        <v>850</v>
      </c>
      <c r="T23" s="350">
        <f>(+S23-R23)/R23*100</f>
        <v>-53.979426096372492</v>
      </c>
      <c r="U23" s="343"/>
      <c r="V23" s="343">
        <v>10</v>
      </c>
      <c r="W23" s="350"/>
      <c r="X23" s="353">
        <f t="shared" ref="X23:Y25" si="9">+U23+R23+L23+O23+I23+F23+C23</f>
        <v>2948</v>
      </c>
      <c r="Y23" s="353">
        <f t="shared" si="9"/>
        <v>1499</v>
      </c>
      <c r="Z23" s="350">
        <f t="shared" si="7"/>
        <v>-49.151967435549523</v>
      </c>
      <c r="AA23" s="134"/>
    </row>
    <row r="24" spans="1:27" ht="15.75" customHeight="1">
      <c r="A24" s="340"/>
      <c r="B24" s="334" t="s">
        <v>901</v>
      </c>
      <c r="C24" s="343">
        <v>10</v>
      </c>
      <c r="D24" s="343">
        <v>4</v>
      </c>
      <c r="E24" s="350">
        <f>(+D24-C24)/C24*100</f>
        <v>-60</v>
      </c>
      <c r="F24" s="343">
        <v>0</v>
      </c>
      <c r="G24" s="343">
        <v>0</v>
      </c>
      <c r="H24" s="350"/>
      <c r="I24" s="353">
        <v>46</v>
      </c>
      <c r="J24" s="353">
        <v>47</v>
      </c>
      <c r="K24" s="350">
        <f>(+J24-I24)/I24*100</f>
        <v>2.1739130434782608</v>
      </c>
      <c r="L24" s="343">
        <v>20</v>
      </c>
      <c r="M24" s="343">
        <v>29</v>
      </c>
      <c r="N24" s="350">
        <f>(+M24-L24)/L24*100</f>
        <v>45</v>
      </c>
      <c r="O24" s="353">
        <v>1</v>
      </c>
      <c r="P24" s="353">
        <v>3</v>
      </c>
      <c r="Q24" s="350"/>
      <c r="R24" s="353">
        <v>153</v>
      </c>
      <c r="S24" s="353">
        <v>180</v>
      </c>
      <c r="T24" s="350">
        <f>(+S24-R24)/R24*100</f>
        <v>17.647058823529413</v>
      </c>
      <c r="U24" s="343"/>
      <c r="V24" s="343"/>
      <c r="W24" s="350"/>
      <c r="X24" s="353">
        <f t="shared" si="9"/>
        <v>230</v>
      </c>
      <c r="Y24" s="353">
        <f t="shared" si="9"/>
        <v>263</v>
      </c>
      <c r="Z24" s="350">
        <f t="shared" si="7"/>
        <v>14.347826086956522</v>
      </c>
      <c r="AA24" s="134"/>
    </row>
    <row r="25" spans="1:27" ht="15.75" customHeight="1">
      <c r="A25" s="340"/>
      <c r="B25" s="334" t="s">
        <v>812</v>
      </c>
      <c r="C25" s="343">
        <v>30</v>
      </c>
      <c r="D25" s="343">
        <v>22</v>
      </c>
      <c r="E25" s="350">
        <f t="shared" si="1"/>
        <v>-26.666666666666668</v>
      </c>
      <c r="F25" s="343">
        <v>1</v>
      </c>
      <c r="G25" s="343">
        <v>2</v>
      </c>
      <c r="H25" s="350">
        <f>(+G25-F25)/F25*100</f>
        <v>100</v>
      </c>
      <c r="I25" s="353">
        <v>68</v>
      </c>
      <c r="J25" s="353">
        <v>56</v>
      </c>
      <c r="K25" s="350">
        <f t="shared" si="3"/>
        <v>-17.647058823529413</v>
      </c>
      <c r="L25" s="343">
        <v>45</v>
      </c>
      <c r="M25" s="343">
        <v>51</v>
      </c>
      <c r="N25" s="350">
        <f t="shared" si="4"/>
        <v>13.333333333333334</v>
      </c>
      <c r="O25" s="353">
        <v>2</v>
      </c>
      <c r="P25" s="353">
        <v>8</v>
      </c>
      <c r="Q25" s="350">
        <f t="shared" si="5"/>
        <v>300</v>
      </c>
      <c r="R25" s="353">
        <v>263</v>
      </c>
      <c r="S25" s="353">
        <f>73+246</f>
        <v>319</v>
      </c>
      <c r="T25" s="350">
        <f t="shared" si="6"/>
        <v>21.292775665399237</v>
      </c>
      <c r="U25" s="343"/>
      <c r="V25" s="343"/>
      <c r="W25" s="344"/>
      <c r="X25" s="353">
        <f t="shared" si="9"/>
        <v>409</v>
      </c>
      <c r="Y25" s="353">
        <f t="shared" si="9"/>
        <v>458</v>
      </c>
      <c r="Z25" s="350">
        <f t="shared" si="7"/>
        <v>11.98044009779951</v>
      </c>
      <c r="AA25" s="134"/>
    </row>
    <row r="26" spans="1:27" ht="15.75" customHeight="1">
      <c r="A26" s="340"/>
      <c r="B26" s="341" t="s">
        <v>740</v>
      </c>
      <c r="C26" s="343">
        <f>SUM(C22:C25)</f>
        <v>268</v>
      </c>
      <c r="D26" s="343">
        <f>SUM(D22:D25)</f>
        <v>167</v>
      </c>
      <c r="E26" s="350">
        <f t="shared" si="1"/>
        <v>-37.686567164179102</v>
      </c>
      <c r="F26" s="343">
        <f>SUM(F22:F25)</f>
        <v>16</v>
      </c>
      <c r="G26" s="343">
        <f>SUM(G22:G25)</f>
        <v>25</v>
      </c>
      <c r="H26" s="350">
        <f t="shared" si="2"/>
        <v>56.25</v>
      </c>
      <c r="I26" s="353">
        <f>SUM(I22:I25)</f>
        <v>1129</v>
      </c>
      <c r="J26" s="353">
        <f>SUM(J22:J25)</f>
        <v>594</v>
      </c>
      <c r="K26" s="350">
        <f t="shared" si="3"/>
        <v>-47.38706820194863</v>
      </c>
      <c r="L26" s="343">
        <f>SUM(L22:L25)</f>
        <v>632</v>
      </c>
      <c r="M26" s="343">
        <f>SUM(M22:M25)</f>
        <v>352</v>
      </c>
      <c r="N26" s="350">
        <f t="shared" si="4"/>
        <v>-44.303797468354425</v>
      </c>
      <c r="O26" s="343">
        <f>SUM(O22:O25)</f>
        <v>74</v>
      </c>
      <c r="P26" s="343">
        <f>SUM(P22:P25)</f>
        <v>22</v>
      </c>
      <c r="Q26" s="350">
        <f t="shared" si="5"/>
        <v>-70.270270270270274</v>
      </c>
      <c r="R26" s="353">
        <f>SUM(R22:R25)</f>
        <v>3377</v>
      </c>
      <c r="S26" s="353">
        <f>SUM(S22:S25)</f>
        <v>1796</v>
      </c>
      <c r="T26" s="350">
        <f t="shared" si="6"/>
        <v>-46.816701214095353</v>
      </c>
      <c r="U26" s="343">
        <f>SUM(U22:U25)</f>
        <v>0</v>
      </c>
      <c r="V26" s="343">
        <f>SUM(V22:V25)</f>
        <v>14</v>
      </c>
      <c r="W26" s="344"/>
      <c r="X26" s="353">
        <f>SUM(X22:X25)</f>
        <v>5496</v>
      </c>
      <c r="Y26" s="353">
        <f>SUM(Y22:Y25)</f>
        <v>2970</v>
      </c>
      <c r="Z26" s="350">
        <f t="shared" si="7"/>
        <v>-45.960698689956331</v>
      </c>
      <c r="AA26" s="134"/>
    </row>
    <row r="27" spans="1:27" ht="15.75" customHeight="1">
      <c r="A27" s="340" t="s">
        <v>620</v>
      </c>
      <c r="B27" s="293" t="s">
        <v>813</v>
      </c>
      <c r="C27" s="343">
        <v>17</v>
      </c>
      <c r="D27" s="343">
        <v>33</v>
      </c>
      <c r="E27" s="350">
        <f t="shared" si="1"/>
        <v>94.117647058823522</v>
      </c>
      <c r="F27" s="343">
        <v>2</v>
      </c>
      <c r="G27" s="343">
        <v>9</v>
      </c>
      <c r="H27" s="350">
        <f t="shared" si="2"/>
        <v>350</v>
      </c>
      <c r="I27" s="353">
        <v>269</v>
      </c>
      <c r="J27" s="353">
        <f>96+182</f>
        <v>278</v>
      </c>
      <c r="K27" s="350">
        <f t="shared" si="3"/>
        <v>3.3457249070631967</v>
      </c>
      <c r="L27" s="343">
        <v>168</v>
      </c>
      <c r="M27" s="343">
        <v>162</v>
      </c>
      <c r="N27" s="350">
        <f t="shared" si="4"/>
        <v>-3.5714285714285712</v>
      </c>
      <c r="O27" s="353">
        <v>32</v>
      </c>
      <c r="P27" s="353">
        <v>45</v>
      </c>
      <c r="Q27" s="350">
        <f t="shared" si="5"/>
        <v>40.625</v>
      </c>
      <c r="R27" s="353">
        <v>774</v>
      </c>
      <c r="S27" s="353">
        <f>249+566</f>
        <v>815</v>
      </c>
      <c r="T27" s="350">
        <f t="shared" si="6"/>
        <v>5.297157622739018</v>
      </c>
      <c r="U27" s="343">
        <v>0</v>
      </c>
      <c r="V27" s="343">
        <v>1</v>
      </c>
      <c r="W27" s="344"/>
      <c r="X27" s="353">
        <f>+U27+R27+L27+O27+I27+F27+C27</f>
        <v>1262</v>
      </c>
      <c r="Y27" s="353">
        <f>+V27+S27+M27+P27+J27+G27+D27</f>
        <v>1343</v>
      </c>
      <c r="Z27" s="350">
        <f t="shared" si="7"/>
        <v>6.4183835182250393</v>
      </c>
      <c r="AA27" s="134"/>
    </row>
    <row r="28" spans="1:27" ht="15.75" customHeight="1">
      <c r="A28" s="340"/>
      <c r="B28" s="293" t="s">
        <v>1457</v>
      </c>
      <c r="C28" s="343">
        <v>7</v>
      </c>
      <c r="D28" s="343">
        <v>6</v>
      </c>
      <c r="E28" s="350">
        <f t="shared" si="1"/>
        <v>-14.285714285714285</v>
      </c>
      <c r="F28" s="343">
        <v>2</v>
      </c>
      <c r="G28" s="343">
        <v>1</v>
      </c>
      <c r="H28" s="350">
        <f t="shared" si="2"/>
        <v>-50</v>
      </c>
      <c r="I28" s="353">
        <v>35</v>
      </c>
      <c r="J28" s="353">
        <v>26</v>
      </c>
      <c r="K28" s="350">
        <f t="shared" si="3"/>
        <v>-25.714285714285712</v>
      </c>
      <c r="L28" s="343">
        <v>19</v>
      </c>
      <c r="M28" s="343">
        <v>20</v>
      </c>
      <c r="N28" s="350">
        <f t="shared" si="4"/>
        <v>5.2631578947368416</v>
      </c>
      <c r="O28" s="353">
        <v>8</v>
      </c>
      <c r="P28" s="353">
        <v>6</v>
      </c>
      <c r="Q28" s="350">
        <f t="shared" si="5"/>
        <v>-25</v>
      </c>
      <c r="R28" s="353">
        <v>84</v>
      </c>
      <c r="S28" s="353">
        <v>77</v>
      </c>
      <c r="T28" s="350">
        <f t="shared" si="6"/>
        <v>-8.3333333333333321</v>
      </c>
      <c r="U28" s="343"/>
      <c r="V28" s="343"/>
      <c r="W28" s="344"/>
      <c r="X28" s="353">
        <f t="shared" ref="X28:Y34" si="10">+U28+R28+L28+O28+I28+F28+C28</f>
        <v>155</v>
      </c>
      <c r="Y28" s="353">
        <f t="shared" si="10"/>
        <v>136</v>
      </c>
      <c r="Z28" s="350">
        <f t="shared" si="7"/>
        <v>-12.258064516129032</v>
      </c>
      <c r="AA28" s="134"/>
    </row>
    <row r="29" spans="1:27" ht="15.75" customHeight="1">
      <c r="A29" s="340" t="s">
        <v>621</v>
      </c>
      <c r="B29" s="293" t="s">
        <v>629</v>
      </c>
      <c r="C29" s="343">
        <v>31</v>
      </c>
      <c r="D29" s="343">
        <v>34</v>
      </c>
      <c r="E29" s="350">
        <f t="shared" si="1"/>
        <v>9.67741935483871</v>
      </c>
      <c r="F29" s="343">
        <v>4</v>
      </c>
      <c r="G29" s="343">
        <v>3</v>
      </c>
      <c r="H29" s="350">
        <f t="shared" si="2"/>
        <v>-25</v>
      </c>
      <c r="I29" s="353">
        <v>233</v>
      </c>
      <c r="J29" s="522">
        <f>65+137</f>
        <v>202</v>
      </c>
      <c r="K29" s="350">
        <f t="shared" si="3"/>
        <v>-13.304721030042918</v>
      </c>
      <c r="L29" s="343">
        <v>110</v>
      </c>
      <c r="M29" s="343">
        <f>48+77</f>
        <v>125</v>
      </c>
      <c r="N29" s="350">
        <f t="shared" si="4"/>
        <v>13.636363636363635</v>
      </c>
      <c r="O29" s="353">
        <v>16</v>
      </c>
      <c r="P29" s="353">
        <v>13</v>
      </c>
      <c r="Q29" s="350">
        <f t="shared" si="5"/>
        <v>-18.75</v>
      </c>
      <c r="R29" s="353">
        <v>598</v>
      </c>
      <c r="S29" s="353">
        <f>137+431</f>
        <v>568</v>
      </c>
      <c r="T29" s="350">
        <f t="shared" si="6"/>
        <v>-5.0167224080267561</v>
      </c>
      <c r="U29" s="343"/>
      <c r="V29" s="343"/>
      <c r="W29" s="344"/>
      <c r="X29" s="353">
        <f t="shared" si="10"/>
        <v>992</v>
      </c>
      <c r="Y29" s="353">
        <f t="shared" si="10"/>
        <v>945</v>
      </c>
      <c r="Z29" s="350">
        <f t="shared" si="7"/>
        <v>-4.737903225806452</v>
      </c>
      <c r="AA29" s="134"/>
    </row>
    <row r="30" spans="1:27" ht="15.75" customHeight="1">
      <c r="A30" s="340"/>
      <c r="B30" s="334" t="s">
        <v>815</v>
      </c>
      <c r="C30" s="343">
        <v>7</v>
      </c>
      <c r="D30" s="343">
        <v>5</v>
      </c>
      <c r="E30" s="350">
        <f t="shared" si="1"/>
        <v>-28.571428571428569</v>
      </c>
      <c r="F30" s="343">
        <v>1</v>
      </c>
      <c r="G30" s="343">
        <v>1</v>
      </c>
      <c r="H30" s="350">
        <f t="shared" si="2"/>
        <v>0</v>
      </c>
      <c r="I30" s="353">
        <v>23</v>
      </c>
      <c r="J30" s="353">
        <v>28</v>
      </c>
      <c r="K30" s="350">
        <f t="shared" si="3"/>
        <v>21.739130434782609</v>
      </c>
      <c r="L30" s="343">
        <v>12</v>
      </c>
      <c r="M30" s="343">
        <v>14</v>
      </c>
      <c r="N30" s="350">
        <f t="shared" si="4"/>
        <v>16.666666666666664</v>
      </c>
      <c r="O30" s="353">
        <v>1</v>
      </c>
      <c r="P30" s="353">
        <v>1</v>
      </c>
      <c r="Q30" s="350">
        <f t="shared" si="5"/>
        <v>0</v>
      </c>
      <c r="R30" s="353">
        <v>114</v>
      </c>
      <c r="S30" s="353">
        <v>111</v>
      </c>
      <c r="T30" s="350">
        <f t="shared" si="6"/>
        <v>-2.6315789473684208</v>
      </c>
      <c r="U30" s="343"/>
      <c r="V30" s="343"/>
      <c r="W30" s="344"/>
      <c r="X30" s="353">
        <f t="shared" si="10"/>
        <v>158</v>
      </c>
      <c r="Y30" s="353">
        <f t="shared" si="10"/>
        <v>160</v>
      </c>
      <c r="Z30" s="350">
        <f t="shared" si="7"/>
        <v>1.2658227848101267</v>
      </c>
      <c r="AA30" s="134"/>
    </row>
    <row r="31" spans="1:27" ht="15.75" customHeight="1">
      <c r="A31" s="340" t="s">
        <v>622</v>
      </c>
      <c r="B31" s="334" t="s">
        <v>816</v>
      </c>
      <c r="C31" s="343">
        <v>25</v>
      </c>
      <c r="D31" s="343">
        <v>41</v>
      </c>
      <c r="E31" s="350">
        <f t="shared" si="1"/>
        <v>64</v>
      </c>
      <c r="F31" s="343">
        <v>0</v>
      </c>
      <c r="G31" s="343">
        <v>6</v>
      </c>
      <c r="H31" s="350"/>
      <c r="I31" s="353">
        <v>139</v>
      </c>
      <c r="J31" s="353">
        <v>200</v>
      </c>
      <c r="K31" s="350">
        <f t="shared" si="3"/>
        <v>43.884892086330936</v>
      </c>
      <c r="L31" s="343">
        <v>80</v>
      </c>
      <c r="M31" s="343">
        <f>57+69</f>
        <v>126</v>
      </c>
      <c r="N31" s="350">
        <f t="shared" si="4"/>
        <v>57.499999999999993</v>
      </c>
      <c r="O31" s="353">
        <v>6</v>
      </c>
      <c r="P31" s="353"/>
      <c r="Q31" s="350"/>
      <c r="R31" s="353">
        <v>420</v>
      </c>
      <c r="S31" s="353">
        <v>235</v>
      </c>
      <c r="T31" s="350">
        <f t="shared" si="6"/>
        <v>-44.047619047619044</v>
      </c>
      <c r="U31" s="343"/>
      <c r="V31" s="343"/>
      <c r="W31" s="344"/>
      <c r="X31" s="353">
        <f t="shared" si="10"/>
        <v>670</v>
      </c>
      <c r="Y31" s="353">
        <f t="shared" si="10"/>
        <v>608</v>
      </c>
      <c r="Z31" s="350">
        <f t="shared" si="7"/>
        <v>-9.2537313432835813</v>
      </c>
      <c r="AA31" s="134"/>
    </row>
    <row r="32" spans="1:27" ht="15.75" customHeight="1">
      <c r="A32" s="340" t="s">
        <v>623</v>
      </c>
      <c r="B32" s="334" t="s">
        <v>817</v>
      </c>
      <c r="C32" s="295">
        <v>77</v>
      </c>
      <c r="D32" s="295">
        <v>70</v>
      </c>
      <c r="E32" s="226">
        <f t="shared" si="1"/>
        <v>-9.0909090909090917</v>
      </c>
      <c r="F32" s="295">
        <v>7</v>
      </c>
      <c r="G32" s="295">
        <v>6</v>
      </c>
      <c r="H32" s="226">
        <f t="shared" si="2"/>
        <v>-14.285714285714285</v>
      </c>
      <c r="I32" s="522">
        <v>472</v>
      </c>
      <c r="J32" s="522">
        <v>442</v>
      </c>
      <c r="K32" s="226">
        <f t="shared" si="3"/>
        <v>-6.3559322033898304</v>
      </c>
      <c r="L32" s="295">
        <v>270</v>
      </c>
      <c r="M32" s="295">
        <f>86+157</f>
        <v>243</v>
      </c>
      <c r="N32" s="226">
        <f t="shared" si="4"/>
        <v>-10</v>
      </c>
      <c r="O32" s="522">
        <v>7</v>
      </c>
      <c r="P32" s="522">
        <v>16</v>
      </c>
      <c r="Q32" s="350">
        <f t="shared" si="5"/>
        <v>128.57142857142858</v>
      </c>
      <c r="R32" s="522">
        <v>1023</v>
      </c>
      <c r="S32" s="522">
        <f>380+278</f>
        <v>658</v>
      </c>
      <c r="T32" s="226">
        <f t="shared" si="6"/>
        <v>-35.679374389051809</v>
      </c>
      <c r="U32" s="295"/>
      <c r="V32" s="295"/>
      <c r="W32" s="344"/>
      <c r="X32" s="522">
        <f t="shared" si="10"/>
        <v>1856</v>
      </c>
      <c r="Y32" s="522">
        <f t="shared" si="10"/>
        <v>1435</v>
      </c>
      <c r="Z32" s="226">
        <f t="shared" si="7"/>
        <v>-22.683189655172413</v>
      </c>
      <c r="AA32" s="134"/>
    </row>
    <row r="33" spans="1:27" ht="15.75" customHeight="1">
      <c r="A33" s="340" t="s">
        <v>624</v>
      </c>
      <c r="B33" s="334" t="s">
        <v>818</v>
      </c>
      <c r="C33" s="343">
        <v>19</v>
      </c>
      <c r="D33" s="343">
        <v>14</v>
      </c>
      <c r="E33" s="350">
        <f t="shared" si="1"/>
        <v>-26.315789473684209</v>
      </c>
      <c r="F33" s="343">
        <v>1</v>
      </c>
      <c r="G33" s="343">
        <v>3</v>
      </c>
      <c r="H33" s="350">
        <f t="shared" si="2"/>
        <v>200</v>
      </c>
      <c r="I33" s="353">
        <v>201</v>
      </c>
      <c r="J33" s="353">
        <f>77+134</f>
        <v>211</v>
      </c>
      <c r="K33" s="350">
        <f t="shared" si="3"/>
        <v>4.9751243781094532</v>
      </c>
      <c r="L33" s="343">
        <v>96</v>
      </c>
      <c r="M33" s="343">
        <f>43+77</f>
        <v>120</v>
      </c>
      <c r="N33" s="350">
        <f t="shared" si="4"/>
        <v>25</v>
      </c>
      <c r="O33" s="353">
        <v>13</v>
      </c>
      <c r="P33" s="353">
        <v>17</v>
      </c>
      <c r="Q33" s="350">
        <f t="shared" si="5"/>
        <v>30.76923076923077</v>
      </c>
      <c r="R33" s="353">
        <v>611</v>
      </c>
      <c r="S33" s="353">
        <f>174+401</f>
        <v>575</v>
      </c>
      <c r="T33" s="350">
        <f t="shared" si="6"/>
        <v>-5.8919803600654665</v>
      </c>
      <c r="U33" s="343"/>
      <c r="V33" s="343"/>
      <c r="W33" s="344"/>
      <c r="X33" s="353">
        <f t="shared" si="10"/>
        <v>941</v>
      </c>
      <c r="Y33" s="353">
        <f t="shared" si="10"/>
        <v>940</v>
      </c>
      <c r="Z33" s="350">
        <f t="shared" si="7"/>
        <v>-0.10626992561105207</v>
      </c>
      <c r="AA33" s="134"/>
    </row>
    <row r="34" spans="1:27" ht="15.75" customHeight="1">
      <c r="A34" s="340"/>
      <c r="B34" s="293" t="s">
        <v>1177</v>
      </c>
      <c r="C34" s="343">
        <v>1</v>
      </c>
      <c r="D34" s="343">
        <v>2</v>
      </c>
      <c r="E34" s="350">
        <f t="shared" si="1"/>
        <v>100</v>
      </c>
      <c r="F34" s="343">
        <v>0</v>
      </c>
      <c r="G34" s="343">
        <v>0</v>
      </c>
      <c r="H34" s="350"/>
      <c r="I34" s="353">
        <v>38</v>
      </c>
      <c r="J34" s="353">
        <v>24</v>
      </c>
      <c r="K34" s="350">
        <f t="shared" si="3"/>
        <v>-36.84210526315789</v>
      </c>
      <c r="L34" s="343">
        <v>15</v>
      </c>
      <c r="M34" s="343">
        <v>15</v>
      </c>
      <c r="N34" s="350">
        <f t="shared" si="4"/>
        <v>0</v>
      </c>
      <c r="O34" s="353">
        <v>3</v>
      </c>
      <c r="P34" s="353">
        <v>1</v>
      </c>
      <c r="Q34" s="350">
        <f t="shared" si="5"/>
        <v>-66.666666666666657</v>
      </c>
      <c r="R34" s="353">
        <v>103</v>
      </c>
      <c r="S34" s="353">
        <v>63</v>
      </c>
      <c r="T34" s="350">
        <f t="shared" si="6"/>
        <v>-38.834951456310677</v>
      </c>
      <c r="U34" s="343"/>
      <c r="V34" s="343"/>
      <c r="W34" s="344"/>
      <c r="X34" s="353">
        <f t="shared" si="10"/>
        <v>160</v>
      </c>
      <c r="Y34" s="353">
        <f t="shared" si="10"/>
        <v>105</v>
      </c>
      <c r="Z34" s="350">
        <f t="shared" si="7"/>
        <v>-34.375</v>
      </c>
      <c r="AA34" s="134"/>
    </row>
    <row r="35" spans="1:27" ht="15.75" customHeight="1">
      <c r="A35" s="340" t="s">
        <v>809</v>
      </c>
      <c r="B35" s="341" t="s">
        <v>809</v>
      </c>
      <c r="C35" s="343">
        <f>SUM(C26:C34)</f>
        <v>452</v>
      </c>
      <c r="D35" s="343">
        <f>SUM(D26:D34)</f>
        <v>372</v>
      </c>
      <c r="E35" s="350">
        <f t="shared" si="1"/>
        <v>-17.699115044247787</v>
      </c>
      <c r="F35" s="343">
        <f>SUM(F26:F34)</f>
        <v>33</v>
      </c>
      <c r="G35" s="343">
        <f>SUM(G26:G34)</f>
        <v>54</v>
      </c>
      <c r="H35" s="350">
        <f t="shared" si="2"/>
        <v>63.636363636363633</v>
      </c>
      <c r="I35" s="343">
        <f>SUM(I26:I34)</f>
        <v>2539</v>
      </c>
      <c r="J35" s="353">
        <f>SUM(J26:J34)</f>
        <v>2005</v>
      </c>
      <c r="K35" s="350">
        <f t="shared" si="3"/>
        <v>-21.031902323749506</v>
      </c>
      <c r="L35" s="343">
        <f>SUM(L26:L34)</f>
        <v>1402</v>
      </c>
      <c r="M35" s="343">
        <f>SUM(M26:M34)</f>
        <v>1177</v>
      </c>
      <c r="N35" s="350">
        <f t="shared" si="4"/>
        <v>-16.048502139800284</v>
      </c>
      <c r="O35" s="343">
        <f>SUM(O26:O34)</f>
        <v>160</v>
      </c>
      <c r="P35" s="343">
        <f>SUM(P26:P34)</f>
        <v>121</v>
      </c>
      <c r="Q35" s="350">
        <f t="shared" si="5"/>
        <v>-24.375</v>
      </c>
      <c r="R35" s="343">
        <f>SUM(R26:R34)</f>
        <v>7104</v>
      </c>
      <c r="S35" s="343">
        <f>SUM(S26:S34)</f>
        <v>4898</v>
      </c>
      <c r="T35" s="350">
        <f t="shared" si="6"/>
        <v>-31.052927927927925</v>
      </c>
      <c r="U35" s="343">
        <f>SUM(U26:U34)</f>
        <v>0</v>
      </c>
      <c r="V35" s="343">
        <f>SUM(V26:V34)</f>
        <v>15</v>
      </c>
      <c r="W35" s="344"/>
      <c r="X35" s="353">
        <f>SUM(X26:X34)</f>
        <v>11690</v>
      </c>
      <c r="Y35" s="353">
        <f>SUM(Y26:Y34)</f>
        <v>8642</v>
      </c>
      <c r="Z35" s="350">
        <f t="shared" si="7"/>
        <v>-26.073567151411464</v>
      </c>
    </row>
    <row r="36" spans="1:27" ht="20.25" customHeight="1">
      <c r="A36" s="345" t="s">
        <v>625</v>
      </c>
      <c r="B36" s="346"/>
      <c r="C36" s="348">
        <f>+C20+C35</f>
        <v>773</v>
      </c>
      <c r="D36" s="348">
        <f>+D20+D35</f>
        <v>585</v>
      </c>
      <c r="E36" s="354">
        <f>(+D36-C36)/C36*100</f>
        <v>-24.320827943078914</v>
      </c>
      <c r="F36" s="347">
        <f>+F20+F35</f>
        <v>60</v>
      </c>
      <c r="G36" s="348">
        <f>+G20+G35</f>
        <v>85</v>
      </c>
      <c r="H36" s="354">
        <f>(+G36-F36)/F36*100</f>
        <v>41.666666666666671</v>
      </c>
      <c r="I36" s="357">
        <f>+I20+I35</f>
        <v>4333</v>
      </c>
      <c r="J36" s="357">
        <f>+J20+J35</f>
        <v>2965</v>
      </c>
      <c r="K36" s="354">
        <f>(+J36-I36)/I36*100</f>
        <v>-31.571659358412184</v>
      </c>
      <c r="L36" s="347">
        <f>+L20+L35</f>
        <v>2383</v>
      </c>
      <c r="M36" s="348">
        <f>+M20+M35</f>
        <v>1652</v>
      </c>
      <c r="N36" s="354">
        <f>(+M36-L36)/L36*100</f>
        <v>-30.67561896768779</v>
      </c>
      <c r="O36" s="348">
        <f>+O20+O35</f>
        <v>265</v>
      </c>
      <c r="P36" s="348">
        <f>+P20+P35</f>
        <v>167</v>
      </c>
      <c r="Q36" s="354">
        <f>(+P36-O36)/O36*100</f>
        <v>-36.981132075471699</v>
      </c>
      <c r="R36" s="357">
        <f>+R20+R35</f>
        <v>12104</v>
      </c>
      <c r="S36" s="357">
        <f>+S20+S35</f>
        <v>7640</v>
      </c>
      <c r="T36" s="354">
        <f>(+S36-R36)/R36*100</f>
        <v>-36.880370125578324</v>
      </c>
      <c r="U36" s="348">
        <f>+U20+U35</f>
        <v>3</v>
      </c>
      <c r="V36" s="348">
        <f>+V20+V35</f>
        <v>16</v>
      </c>
      <c r="W36" s="354">
        <f>(+V36-U36)/U36*100</f>
        <v>433.33333333333331</v>
      </c>
      <c r="X36" s="357">
        <f>+X20+X35</f>
        <v>19921</v>
      </c>
      <c r="Y36" s="357">
        <f>+Y20+Y35</f>
        <v>13110</v>
      </c>
      <c r="Z36" s="354">
        <f>(+Y36-X36)/X36*100</f>
        <v>-34.190050700266049</v>
      </c>
    </row>
    <row r="37" spans="1:27">
      <c r="A37" s="1045"/>
    </row>
    <row r="38" spans="1:27">
      <c r="C38" s="134"/>
      <c r="E38" s="134"/>
    </row>
    <row r="39" spans="1:27">
      <c r="C39" s="134"/>
    </row>
    <row r="40" spans="1:27">
      <c r="C40" s="134"/>
      <c r="E40" s="115"/>
    </row>
    <row r="41" spans="1:27">
      <c r="C41" s="134"/>
      <c r="E41" s="134"/>
    </row>
    <row r="42" spans="1:27">
      <c r="C42" s="134"/>
    </row>
    <row r="43" spans="1:27">
      <c r="C43" s="134"/>
      <c r="E43" s="115"/>
    </row>
    <row r="44" spans="1:27">
      <c r="C44" s="134"/>
    </row>
    <row r="45" spans="1:27">
      <c r="C45" s="134"/>
    </row>
    <row r="46" spans="1:27">
      <c r="C46" s="134"/>
    </row>
  </sheetData>
  <mergeCells count="11">
    <mergeCell ref="A1:Z1"/>
    <mergeCell ref="A2:Z2"/>
    <mergeCell ref="A3:Z3"/>
    <mergeCell ref="X8:Z8"/>
    <mergeCell ref="U8:W8"/>
    <mergeCell ref="R8:T8"/>
    <mergeCell ref="L8:N8"/>
    <mergeCell ref="I8:K8"/>
    <mergeCell ref="F8:H8"/>
    <mergeCell ref="C8:E8"/>
    <mergeCell ref="O8:Q8"/>
  </mergeCells>
  <phoneticPr fontId="19" type="noConversion"/>
  <pageMargins left="0.78740157480314965" right="0.19685039370078741" top="0.98425196850393704" bottom="0.98425196850393704" header="0" footer="0"/>
  <pageSetup paperSize="5" scale="87" orientation="landscape" horizontalDpi="300" verticalDpi="300" r:id="rId1"/>
  <headerFooter alignWithMargins="0"/>
  <ignoredErrors>
    <ignoredError sqref="E15 E20:E21 E19 H19 K19 N19 T19 R36:X36 E32 H32 K32 N32 T32 E17 E16 K16 N16 T16 E33 K33 N33 T33 E30 E27 K27 N27 T27 E24 E22 H22 K22 N22 T22 E18 H18 K18 N18 T18 E29 H29 K29 N29 T29 E26 E25 K25 N25 T25 E31 K31 N31 T31 E23 H23 K23 N23 T23 K17 N17 T17 K34 N34 T34 K30 N30 T30 K24 N24 T24 G15:H15 G20:H21 E35 G35:H35 G26:H26 J15:K15 J20:K21 K35 J26:K26 M15:N15 M20:N21 R35:V35 M26:N26 S15:T15 S20:T21 S26:T26 W19 W18 V29:W29 V25:W25 W17 V30:W30 V24:W24 V20:W21 V26 V32 M35:N35 E36:N36 V31:W31 V34 X35"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topLeftCell="A7" zoomScale="80" workbookViewId="0">
      <pane xSplit="2" ySplit="5" topLeftCell="E24" activePane="bottomRight" state="frozen"/>
      <selection activeCell="A7" sqref="A7"/>
      <selection pane="topRight" activeCell="C7" sqref="C7"/>
      <selection pane="bottomLeft" activeCell="A12" sqref="A12"/>
      <selection pane="bottomRight" activeCell="C12" sqref="C12"/>
    </sheetView>
  </sheetViews>
  <sheetFormatPr baseColWidth="10" defaultRowHeight="13.2"/>
  <cols>
    <col min="1" max="1" width="14.44140625" customWidth="1"/>
    <col min="2" max="2" width="20.77734375" customWidth="1"/>
    <col min="3" max="22" width="7" style="236" customWidth="1"/>
  </cols>
  <sheetData>
    <row r="1" spans="1:22">
      <c r="A1" s="1585" t="s">
        <v>825</v>
      </c>
      <c r="B1" s="1585"/>
      <c r="C1" s="1585"/>
      <c r="D1" s="1585"/>
      <c r="E1" s="1585"/>
      <c r="F1" s="1585"/>
      <c r="G1" s="1585"/>
      <c r="H1" s="1585"/>
      <c r="I1" s="1585"/>
      <c r="J1" s="1585"/>
      <c r="K1" s="1585"/>
      <c r="L1" s="1585"/>
      <c r="M1" s="1585"/>
      <c r="N1" s="1585"/>
      <c r="O1" s="1585"/>
      <c r="P1" s="1585"/>
      <c r="Q1" s="1585"/>
      <c r="R1" s="1585"/>
      <c r="S1" s="1585"/>
      <c r="T1" s="1585"/>
      <c r="U1" s="1585"/>
      <c r="V1" s="1585"/>
    </row>
    <row r="2" spans="1:22">
      <c r="A2" s="358"/>
      <c r="B2" s="358"/>
      <c r="C2" s="301"/>
      <c r="D2" s="301"/>
      <c r="E2" s="301"/>
      <c r="F2" s="301"/>
      <c r="G2" s="301"/>
      <c r="H2" s="301"/>
      <c r="I2" s="301"/>
      <c r="J2" s="301"/>
      <c r="K2" s="301"/>
      <c r="L2" s="301"/>
      <c r="M2" s="301"/>
      <c r="N2" s="301"/>
      <c r="O2" s="301"/>
      <c r="P2" s="301"/>
      <c r="Q2" s="301"/>
      <c r="R2" s="301"/>
      <c r="S2" s="301"/>
      <c r="T2" s="301"/>
      <c r="U2" s="301"/>
      <c r="V2" s="301"/>
    </row>
    <row r="3" spans="1:22">
      <c r="A3" s="1585" t="str">
        <f>+'35'!A3:Z3</f>
        <v>VARIACION     DICIEMBRE    2019    -     2020</v>
      </c>
      <c r="B3" s="1585"/>
      <c r="C3" s="1585"/>
      <c r="D3" s="1585"/>
      <c r="E3" s="1585"/>
      <c r="F3" s="1585"/>
      <c r="G3" s="1585"/>
      <c r="H3" s="1585"/>
      <c r="I3" s="1585"/>
      <c r="J3" s="1585"/>
      <c r="K3" s="1585"/>
      <c r="L3" s="1585"/>
      <c r="M3" s="1585"/>
      <c r="N3" s="1585"/>
      <c r="O3" s="1585"/>
      <c r="P3" s="1585"/>
      <c r="Q3" s="1585"/>
      <c r="R3" s="1585"/>
      <c r="S3" s="1585"/>
      <c r="T3" s="1585"/>
      <c r="U3" s="1585"/>
      <c r="V3" s="1585"/>
    </row>
    <row r="9" spans="1:22" ht="15.75" customHeight="1">
      <c r="A9" s="359"/>
      <c r="B9" s="359"/>
      <c r="C9" s="1611" t="s">
        <v>637</v>
      </c>
      <c r="D9" s="1612"/>
      <c r="E9" s="1612"/>
      <c r="F9" s="1613"/>
      <c r="G9" s="1612" t="s">
        <v>826</v>
      </c>
      <c r="H9" s="1612"/>
      <c r="I9" s="1612"/>
      <c r="J9" s="1612"/>
      <c r="K9" s="1611" t="s">
        <v>821</v>
      </c>
      <c r="L9" s="1612"/>
      <c r="M9" s="1612"/>
      <c r="N9" s="1613"/>
      <c r="O9" s="1612" t="s">
        <v>823</v>
      </c>
      <c r="P9" s="1612"/>
      <c r="Q9" s="1612"/>
      <c r="R9" s="1612"/>
      <c r="S9" s="1611" t="s">
        <v>827</v>
      </c>
      <c r="T9" s="1612"/>
      <c r="U9" s="1612"/>
      <c r="V9" s="1613"/>
    </row>
    <row r="10" spans="1:22" ht="15.75" customHeight="1">
      <c r="A10" s="360" t="s">
        <v>536</v>
      </c>
      <c r="B10" s="360"/>
      <c r="C10" s="1606">
        <f>+'35'!C10</f>
        <v>2019</v>
      </c>
      <c r="D10" s="1607"/>
      <c r="E10" s="1607">
        <f>+'35'!D10</f>
        <v>2020</v>
      </c>
      <c r="F10" s="1608"/>
      <c r="G10" s="1606">
        <f>+C10</f>
        <v>2019</v>
      </c>
      <c r="H10" s="1607"/>
      <c r="I10" s="1607">
        <f>+E10</f>
        <v>2020</v>
      </c>
      <c r="J10" s="1608"/>
      <c r="K10" s="1606">
        <f>+G10</f>
        <v>2019</v>
      </c>
      <c r="L10" s="1607"/>
      <c r="M10" s="1607">
        <f>+I10</f>
        <v>2020</v>
      </c>
      <c r="N10" s="1608"/>
      <c r="O10" s="1606">
        <f>+K10</f>
        <v>2019</v>
      </c>
      <c r="P10" s="1607"/>
      <c r="Q10" s="1607">
        <f>+M10</f>
        <v>2020</v>
      </c>
      <c r="R10" s="1608"/>
      <c r="S10" s="1606">
        <f>+O10</f>
        <v>2019</v>
      </c>
      <c r="T10" s="1607"/>
      <c r="U10" s="1607">
        <f>+Q10</f>
        <v>2020</v>
      </c>
      <c r="V10" s="1608"/>
    </row>
    <row r="11" spans="1:22" ht="15.75" customHeight="1">
      <c r="A11" s="361"/>
      <c r="B11" s="361"/>
      <c r="C11" s="347" t="s">
        <v>661</v>
      </c>
      <c r="D11" s="348" t="s">
        <v>511</v>
      </c>
      <c r="E11" s="348" t="s">
        <v>661</v>
      </c>
      <c r="F11" s="349" t="s">
        <v>511</v>
      </c>
      <c r="G11" s="348" t="s">
        <v>661</v>
      </c>
      <c r="H11" s="348" t="s">
        <v>511</v>
      </c>
      <c r="I11" s="348" t="s">
        <v>661</v>
      </c>
      <c r="J11" s="348" t="s">
        <v>511</v>
      </c>
      <c r="K11" s="347" t="s">
        <v>661</v>
      </c>
      <c r="L11" s="348" t="s">
        <v>511</v>
      </c>
      <c r="M11" s="348" t="s">
        <v>661</v>
      </c>
      <c r="N11" s="349" t="s">
        <v>511</v>
      </c>
      <c r="O11" s="348" t="s">
        <v>661</v>
      </c>
      <c r="P11" s="348" t="s">
        <v>511</v>
      </c>
      <c r="Q11" s="348" t="s">
        <v>661</v>
      </c>
      <c r="R11" s="348" t="s">
        <v>511</v>
      </c>
      <c r="S11" s="347" t="s">
        <v>661</v>
      </c>
      <c r="T11" s="348" t="s">
        <v>511</v>
      </c>
      <c r="U11" s="348" t="s">
        <v>661</v>
      </c>
      <c r="V11" s="349" t="s">
        <v>511</v>
      </c>
    </row>
    <row r="12" spans="1:22" ht="15.75" customHeight="1">
      <c r="A12" s="360" t="s">
        <v>616</v>
      </c>
      <c r="B12" s="293" t="s">
        <v>1322</v>
      </c>
      <c r="C12" s="342">
        <f>+G12+K12+O12+S12</f>
        <v>131</v>
      </c>
      <c r="D12" s="343">
        <f t="shared" ref="D12:F25" si="0">+H12+L12+P12+T12</f>
        <v>100</v>
      </c>
      <c r="E12" s="343">
        <f t="shared" si="0"/>
        <v>90</v>
      </c>
      <c r="F12" s="344">
        <f t="shared" si="0"/>
        <v>100</v>
      </c>
      <c r="G12" s="343">
        <v>45</v>
      </c>
      <c r="H12" s="351">
        <f>+G12/C12*100</f>
        <v>34.351145038167942</v>
      </c>
      <c r="I12" s="343">
        <v>26</v>
      </c>
      <c r="J12" s="1223">
        <f>+I12/E12*100</f>
        <v>28.888888888888886</v>
      </c>
      <c r="K12" s="343">
        <v>48</v>
      </c>
      <c r="L12" s="351">
        <f>+K12/C12*100</f>
        <v>36.641221374045799</v>
      </c>
      <c r="M12" s="343">
        <v>40</v>
      </c>
      <c r="N12" s="350">
        <f>+M12/E12*100</f>
        <v>44.444444444444443</v>
      </c>
      <c r="O12" s="343">
        <v>32</v>
      </c>
      <c r="P12" s="351">
        <f>+O12/C12*100</f>
        <v>24.427480916030532</v>
      </c>
      <c r="Q12" s="343">
        <v>23</v>
      </c>
      <c r="R12" s="1223">
        <f>+Q12/E12*100</f>
        <v>25.555555555555554</v>
      </c>
      <c r="S12" s="343">
        <v>6</v>
      </c>
      <c r="T12" s="351">
        <f>+S12/C12*100</f>
        <v>4.5801526717557248</v>
      </c>
      <c r="U12" s="343">
        <v>1</v>
      </c>
      <c r="V12" s="350">
        <f>+U12/E12*100</f>
        <v>1.1111111111111112</v>
      </c>
    </row>
    <row r="13" spans="1:22" ht="15.75" customHeight="1">
      <c r="A13" s="360"/>
      <c r="B13" s="293" t="s">
        <v>1326</v>
      </c>
      <c r="C13" s="342">
        <f>+G13+K13+O13+S13</f>
        <v>205</v>
      </c>
      <c r="D13" s="343">
        <f t="shared" si="0"/>
        <v>100</v>
      </c>
      <c r="E13" s="343">
        <f t="shared" si="0"/>
        <v>151</v>
      </c>
      <c r="F13" s="362">
        <f t="shared" si="0"/>
        <v>100</v>
      </c>
      <c r="G13" s="343">
        <v>70</v>
      </c>
      <c r="H13" s="351">
        <f>+G13/C13*100</f>
        <v>34.146341463414636</v>
      </c>
      <c r="I13" s="343">
        <v>53</v>
      </c>
      <c r="J13" s="350">
        <f>+I13/E13*100</f>
        <v>35.099337748344375</v>
      </c>
      <c r="K13" s="343">
        <v>60</v>
      </c>
      <c r="L13" s="351">
        <f>+K13/C13*100</f>
        <v>29.268292682926827</v>
      </c>
      <c r="M13" s="343">
        <v>43</v>
      </c>
      <c r="N13" s="350">
        <f>+M13/E13*100</f>
        <v>28.476821192052981</v>
      </c>
      <c r="O13" s="343">
        <v>70</v>
      </c>
      <c r="P13" s="351">
        <f>+O13/C13*100</f>
        <v>34.146341463414636</v>
      </c>
      <c r="Q13" s="343">
        <v>48</v>
      </c>
      <c r="R13" s="350">
        <f>+Q13/E13*100</f>
        <v>31.788079470198678</v>
      </c>
      <c r="S13" s="343">
        <v>5</v>
      </c>
      <c r="T13" s="351">
        <f>+S13/C13*100</f>
        <v>2.4390243902439024</v>
      </c>
      <c r="U13" s="343">
        <v>7</v>
      </c>
      <c r="V13" s="350">
        <f>+U13/E13*100</f>
        <v>4.6357615894039732</v>
      </c>
    </row>
    <row r="14" spans="1:22" ht="15.75" customHeight="1">
      <c r="A14" s="360"/>
      <c r="B14" s="334" t="s">
        <v>804</v>
      </c>
      <c r="C14" s="342">
        <f>+G14+K14+O14+S14</f>
        <v>16</v>
      </c>
      <c r="D14" s="343">
        <f>+H14+L14+P14+T14</f>
        <v>100</v>
      </c>
      <c r="E14" s="343">
        <f>+I14+M14+Q14+U14</f>
        <v>15</v>
      </c>
      <c r="F14" s="362">
        <f>+J14+N14+R14+V14</f>
        <v>100</v>
      </c>
      <c r="G14" s="343">
        <v>5</v>
      </c>
      <c r="H14" s="351">
        <f>+G14/C14*100</f>
        <v>31.25</v>
      </c>
      <c r="I14" s="343">
        <v>8</v>
      </c>
      <c r="J14" s="350">
        <f>+I14/E14*100</f>
        <v>53.333333333333336</v>
      </c>
      <c r="K14" s="343">
        <v>8</v>
      </c>
      <c r="L14" s="351">
        <f>+K14/C14*100</f>
        <v>50</v>
      </c>
      <c r="M14" s="343">
        <v>4</v>
      </c>
      <c r="N14" s="350">
        <f>+M14/E14*100</f>
        <v>26.666666666666668</v>
      </c>
      <c r="O14" s="343">
        <v>3</v>
      </c>
      <c r="P14" s="351">
        <f>+O14/C14*100</f>
        <v>18.75</v>
      </c>
      <c r="Q14" s="343">
        <v>3</v>
      </c>
      <c r="R14" s="350">
        <f>+Q14/E14*100</f>
        <v>20</v>
      </c>
      <c r="S14" s="343"/>
      <c r="T14" s="351">
        <f>+S14/C14*100</f>
        <v>0</v>
      </c>
      <c r="U14" s="343"/>
      <c r="V14" s="350">
        <f>+U14/E14*100</f>
        <v>0</v>
      </c>
    </row>
    <row r="15" spans="1:22" ht="15.75" customHeight="1">
      <c r="A15" s="360"/>
      <c r="B15" s="341" t="s">
        <v>740</v>
      </c>
      <c r="C15" s="342">
        <f>SUM(C12:C14)</f>
        <v>352</v>
      </c>
      <c r="D15" s="363">
        <f t="shared" si="0"/>
        <v>99.999999999999986</v>
      </c>
      <c r="E15" s="343">
        <f>SUM(E12:E14)</f>
        <v>256</v>
      </c>
      <c r="F15" s="362">
        <f t="shared" si="0"/>
        <v>100</v>
      </c>
      <c r="G15" s="343">
        <f>SUM(G12:G14)</f>
        <v>120</v>
      </c>
      <c r="H15" s="351">
        <f>+G15/C15*100</f>
        <v>34.090909090909086</v>
      </c>
      <c r="I15" s="343">
        <f>SUM(I12:I14)</f>
        <v>87</v>
      </c>
      <c r="J15" s="350">
        <f>+I15/E15*100</f>
        <v>33.984375</v>
      </c>
      <c r="K15" s="343">
        <f>SUM(K12:K14)</f>
        <v>116</v>
      </c>
      <c r="L15" s="351">
        <f>+K15/C15*100</f>
        <v>32.954545454545453</v>
      </c>
      <c r="M15" s="343">
        <f>SUM(M12:M14)</f>
        <v>87</v>
      </c>
      <c r="N15" s="350">
        <f>+M15/E15*100</f>
        <v>33.984375</v>
      </c>
      <c r="O15" s="343">
        <f>SUM(O12:O14)</f>
        <v>105</v>
      </c>
      <c r="P15" s="351">
        <f>+O15/C15*100</f>
        <v>29.829545454545453</v>
      </c>
      <c r="Q15" s="343">
        <f>SUM(Q12:Q14)</f>
        <v>74</v>
      </c>
      <c r="R15" s="350">
        <f>+Q15/E15*100</f>
        <v>28.90625</v>
      </c>
      <c r="S15" s="343">
        <f>SUM(S12:S14)</f>
        <v>11</v>
      </c>
      <c r="T15" s="351">
        <f>+S15/C15*100</f>
        <v>3.125</v>
      </c>
      <c r="U15" s="343">
        <f>SUM(U12:U14)</f>
        <v>8</v>
      </c>
      <c r="V15" s="350">
        <f>+U15/E15*100</f>
        <v>3.125</v>
      </c>
    </row>
    <row r="16" spans="1:22" ht="15.75" customHeight="1">
      <c r="A16" s="360" t="s">
        <v>617</v>
      </c>
      <c r="B16" s="293" t="s">
        <v>1456</v>
      </c>
      <c r="C16" s="342">
        <f>+G16+K16+O16+S16</f>
        <v>59</v>
      </c>
      <c r="D16" s="343">
        <f t="shared" si="0"/>
        <v>100</v>
      </c>
      <c r="E16" s="343">
        <f t="shared" si="0"/>
        <v>67</v>
      </c>
      <c r="F16" s="344">
        <f t="shared" si="0"/>
        <v>99.999999999999986</v>
      </c>
      <c r="G16" s="343">
        <v>23</v>
      </c>
      <c r="H16" s="351">
        <f t="shared" ref="H16:J36" si="1">+G16/C16*100</f>
        <v>38.983050847457626</v>
      </c>
      <c r="I16" s="343">
        <v>25</v>
      </c>
      <c r="J16" s="350">
        <f t="shared" si="1"/>
        <v>37.313432835820898</v>
      </c>
      <c r="K16" s="343">
        <v>14</v>
      </c>
      <c r="L16" s="351">
        <f t="shared" ref="L16:N36" si="2">+K16/C16*100</f>
        <v>23.728813559322035</v>
      </c>
      <c r="M16" s="343">
        <v>23</v>
      </c>
      <c r="N16" s="350">
        <f t="shared" si="2"/>
        <v>34.328358208955223</v>
      </c>
      <c r="O16" s="343">
        <v>20</v>
      </c>
      <c r="P16" s="351">
        <f t="shared" ref="P16:R36" si="3">+O16/C16*100</f>
        <v>33.898305084745758</v>
      </c>
      <c r="Q16" s="343">
        <v>18</v>
      </c>
      <c r="R16" s="350">
        <f t="shared" si="3"/>
        <v>26.865671641791046</v>
      </c>
      <c r="S16" s="343">
        <v>2</v>
      </c>
      <c r="T16" s="351">
        <f t="shared" ref="T16:V36" si="4">+S16/C16*100</f>
        <v>3.3898305084745761</v>
      </c>
      <c r="U16" s="343">
        <v>1</v>
      </c>
      <c r="V16" s="350">
        <f t="shared" si="4"/>
        <v>1.4925373134328357</v>
      </c>
    </row>
    <row r="17" spans="1:22" ht="15.75" customHeight="1">
      <c r="A17" s="360"/>
      <c r="B17" s="293" t="s">
        <v>1176</v>
      </c>
      <c r="C17" s="342">
        <f>+G17+K17+O17+S17</f>
        <v>9</v>
      </c>
      <c r="D17" s="363">
        <f>+H17+L17+P17+T17</f>
        <v>100</v>
      </c>
      <c r="E17" s="343">
        <f t="shared" si="0"/>
        <v>8</v>
      </c>
      <c r="F17" s="344">
        <f t="shared" si="0"/>
        <v>100</v>
      </c>
      <c r="G17" s="343">
        <v>5</v>
      </c>
      <c r="H17" s="351">
        <f t="shared" si="1"/>
        <v>55.555555555555557</v>
      </c>
      <c r="I17" s="343">
        <v>4</v>
      </c>
      <c r="J17" s="350">
        <f t="shared" si="1"/>
        <v>50</v>
      </c>
      <c r="K17" s="343">
        <v>3</v>
      </c>
      <c r="L17" s="351">
        <f t="shared" si="2"/>
        <v>33.333333333333329</v>
      </c>
      <c r="M17" s="343">
        <v>2</v>
      </c>
      <c r="N17" s="350">
        <f t="shared" si="2"/>
        <v>25</v>
      </c>
      <c r="O17" s="343">
        <v>1</v>
      </c>
      <c r="P17" s="351">
        <f t="shared" si="3"/>
        <v>11.111111111111111</v>
      </c>
      <c r="Q17" s="343">
        <v>2</v>
      </c>
      <c r="R17" s="350">
        <f t="shared" si="3"/>
        <v>25</v>
      </c>
      <c r="S17" s="343"/>
      <c r="T17" s="351">
        <f t="shared" si="4"/>
        <v>0</v>
      </c>
      <c r="U17" s="343"/>
      <c r="V17" s="350">
        <f t="shared" si="4"/>
        <v>0</v>
      </c>
    </row>
    <row r="18" spans="1:22" ht="15.75" customHeight="1">
      <c r="A18" s="360" t="s">
        <v>828</v>
      </c>
      <c r="B18" s="334" t="s">
        <v>807</v>
      </c>
      <c r="C18" s="342">
        <f>+G18+K18+O18+S18</f>
        <v>77</v>
      </c>
      <c r="D18" s="343">
        <f t="shared" si="0"/>
        <v>100</v>
      </c>
      <c r="E18" s="343">
        <f t="shared" si="0"/>
        <v>76</v>
      </c>
      <c r="F18" s="344">
        <f t="shared" si="0"/>
        <v>100</v>
      </c>
      <c r="G18" s="343">
        <v>28</v>
      </c>
      <c r="H18" s="351">
        <f t="shared" si="1"/>
        <v>36.363636363636367</v>
      </c>
      <c r="I18" s="343">
        <v>28</v>
      </c>
      <c r="J18" s="350">
        <f t="shared" si="1"/>
        <v>36.84210526315789</v>
      </c>
      <c r="K18" s="343">
        <v>23</v>
      </c>
      <c r="L18" s="351">
        <f t="shared" si="2"/>
        <v>29.870129870129869</v>
      </c>
      <c r="M18" s="343">
        <v>18</v>
      </c>
      <c r="N18" s="350">
        <f t="shared" si="2"/>
        <v>23.684210526315788</v>
      </c>
      <c r="O18" s="343">
        <v>26</v>
      </c>
      <c r="P18" s="351">
        <f t="shared" si="3"/>
        <v>33.766233766233768</v>
      </c>
      <c r="Q18" s="343">
        <v>27</v>
      </c>
      <c r="R18" s="350">
        <f t="shared" si="3"/>
        <v>35.526315789473685</v>
      </c>
      <c r="S18" s="343"/>
      <c r="T18" s="351">
        <f t="shared" si="4"/>
        <v>0</v>
      </c>
      <c r="U18" s="343">
        <v>3</v>
      </c>
      <c r="V18" s="350">
        <f t="shared" si="4"/>
        <v>3.9473684210526314</v>
      </c>
    </row>
    <row r="19" spans="1:22" ht="15.75" customHeight="1">
      <c r="A19" s="360" t="s">
        <v>618</v>
      </c>
      <c r="B19" s="334" t="s">
        <v>808</v>
      </c>
      <c r="C19" s="342">
        <f>+G19+K19+O19+S19</f>
        <v>70</v>
      </c>
      <c r="D19" s="343">
        <f t="shared" si="0"/>
        <v>100.00000000000001</v>
      </c>
      <c r="E19" s="343">
        <f t="shared" si="0"/>
        <v>46</v>
      </c>
      <c r="F19" s="344">
        <f t="shared" si="0"/>
        <v>100</v>
      </c>
      <c r="G19" s="343">
        <v>25</v>
      </c>
      <c r="H19" s="351">
        <f t="shared" si="1"/>
        <v>35.714285714285715</v>
      </c>
      <c r="I19" s="343">
        <v>19</v>
      </c>
      <c r="J19" s="350">
        <f t="shared" si="1"/>
        <v>41.304347826086953</v>
      </c>
      <c r="K19" s="343">
        <v>27</v>
      </c>
      <c r="L19" s="351">
        <f t="shared" si="2"/>
        <v>38.571428571428577</v>
      </c>
      <c r="M19" s="343">
        <v>15</v>
      </c>
      <c r="N19" s="350">
        <f t="shared" si="2"/>
        <v>32.608695652173914</v>
      </c>
      <c r="O19" s="343">
        <v>17</v>
      </c>
      <c r="P19" s="351">
        <f t="shared" si="3"/>
        <v>24.285714285714285</v>
      </c>
      <c r="Q19" s="343">
        <v>12</v>
      </c>
      <c r="R19" s="350">
        <f t="shared" si="3"/>
        <v>26.086956521739129</v>
      </c>
      <c r="S19" s="343">
        <v>1</v>
      </c>
      <c r="T19" s="351">
        <f t="shared" si="4"/>
        <v>1.4285714285714286</v>
      </c>
      <c r="U19" s="343"/>
      <c r="V19" s="350">
        <f t="shared" si="4"/>
        <v>0</v>
      </c>
    </row>
    <row r="20" spans="1:22" ht="15.75" customHeight="1">
      <c r="A20" s="360" t="s">
        <v>809</v>
      </c>
      <c r="B20" s="341" t="s">
        <v>809</v>
      </c>
      <c r="C20" s="342">
        <f>SUM(C15:C19)</f>
        <v>567</v>
      </c>
      <c r="D20" s="343">
        <f t="shared" si="0"/>
        <v>100</v>
      </c>
      <c r="E20" s="343">
        <f>SUM(E15:E19)</f>
        <v>453</v>
      </c>
      <c r="F20" s="344">
        <f t="shared" si="0"/>
        <v>100.00000000000001</v>
      </c>
      <c r="G20" s="343">
        <f>SUM(G15:G19)</f>
        <v>201</v>
      </c>
      <c r="H20" s="351">
        <f t="shared" si="1"/>
        <v>35.449735449735449</v>
      </c>
      <c r="I20" s="343">
        <f>SUM(I15:I19)</f>
        <v>163</v>
      </c>
      <c r="J20" s="350">
        <f t="shared" si="1"/>
        <v>35.982339955849888</v>
      </c>
      <c r="K20" s="343">
        <f>SUM(K15:K19)</f>
        <v>183</v>
      </c>
      <c r="L20" s="351">
        <f t="shared" si="2"/>
        <v>32.275132275132272</v>
      </c>
      <c r="M20" s="343">
        <f>SUM(M15:M19)</f>
        <v>145</v>
      </c>
      <c r="N20" s="350">
        <f t="shared" si="2"/>
        <v>32.00883002207506</v>
      </c>
      <c r="O20" s="343">
        <f>SUM(O15:O19)</f>
        <v>169</v>
      </c>
      <c r="P20" s="351">
        <f t="shared" si="3"/>
        <v>29.805996472663139</v>
      </c>
      <c r="Q20" s="343">
        <f>SUM(Q15:Q19)</f>
        <v>133</v>
      </c>
      <c r="R20" s="350">
        <f t="shared" si="3"/>
        <v>29.359823399558501</v>
      </c>
      <c r="S20" s="343">
        <f>SUM(S15:S19)</f>
        <v>14</v>
      </c>
      <c r="T20" s="351">
        <f t="shared" si="4"/>
        <v>2.4691358024691357</v>
      </c>
      <c r="U20" s="343">
        <f>SUM(U15:U19)</f>
        <v>12</v>
      </c>
      <c r="V20" s="350">
        <f t="shared" si="4"/>
        <v>2.6490066225165565</v>
      </c>
    </row>
    <row r="21" spans="1:22" ht="15.75" customHeight="1">
      <c r="A21" s="360"/>
      <c r="B21" s="341"/>
      <c r="C21" s="342"/>
      <c r="D21" s="343"/>
      <c r="E21" s="343"/>
      <c r="F21" s="344"/>
      <c r="G21" s="343"/>
      <c r="H21" s="351"/>
      <c r="I21" s="343"/>
      <c r="J21" s="350"/>
      <c r="K21" s="343"/>
      <c r="L21" s="351"/>
      <c r="M21" s="343"/>
      <c r="N21" s="350"/>
      <c r="O21" s="343"/>
      <c r="P21" s="351"/>
      <c r="Q21" s="343"/>
      <c r="R21" s="350"/>
      <c r="S21" s="343"/>
      <c r="T21" s="351"/>
      <c r="U21" s="343"/>
      <c r="V21" s="350"/>
    </row>
    <row r="22" spans="1:22" ht="15.75" customHeight="1">
      <c r="A22" s="360" t="s">
        <v>829</v>
      </c>
      <c r="B22" s="334" t="s">
        <v>810</v>
      </c>
      <c r="C22" s="342">
        <f t="shared" ref="C22:C33" si="5">+G22+K22+O22+S22</f>
        <v>152</v>
      </c>
      <c r="D22" s="343">
        <f t="shared" ref="C22:F36" si="6">+H22+L22+P22+T22</f>
        <v>100</v>
      </c>
      <c r="E22" s="343">
        <f t="shared" si="0"/>
        <v>134</v>
      </c>
      <c r="F22" s="344">
        <f t="shared" si="6"/>
        <v>100</v>
      </c>
      <c r="G22" s="343">
        <v>47</v>
      </c>
      <c r="H22" s="351">
        <f t="shared" si="1"/>
        <v>30.921052631578949</v>
      </c>
      <c r="I22" s="343">
        <v>47</v>
      </c>
      <c r="J22" s="350">
        <f t="shared" si="1"/>
        <v>35.074626865671647</v>
      </c>
      <c r="K22" s="343">
        <v>57</v>
      </c>
      <c r="L22" s="351">
        <f t="shared" si="2"/>
        <v>37.5</v>
      </c>
      <c r="M22" s="343">
        <v>45</v>
      </c>
      <c r="N22" s="350">
        <f t="shared" si="2"/>
        <v>33.582089552238806</v>
      </c>
      <c r="O22" s="343">
        <v>48</v>
      </c>
      <c r="P22" s="351">
        <f t="shared" si="3"/>
        <v>31.578947368421051</v>
      </c>
      <c r="Q22" s="343">
        <v>34</v>
      </c>
      <c r="R22" s="350">
        <f t="shared" si="3"/>
        <v>25.373134328358208</v>
      </c>
      <c r="S22" s="343"/>
      <c r="T22" s="351">
        <f t="shared" si="4"/>
        <v>0</v>
      </c>
      <c r="U22" s="343">
        <v>8</v>
      </c>
      <c r="V22" s="350">
        <f t="shared" si="4"/>
        <v>5.9701492537313428</v>
      </c>
    </row>
    <row r="23" spans="1:22" ht="15.75" customHeight="1">
      <c r="A23" s="360"/>
      <c r="B23" s="334" t="s">
        <v>811</v>
      </c>
      <c r="C23" s="342">
        <f t="shared" si="6"/>
        <v>249</v>
      </c>
      <c r="D23" s="343">
        <f t="shared" si="6"/>
        <v>99.999999999999986</v>
      </c>
      <c r="E23" s="343">
        <f t="shared" si="0"/>
        <v>177</v>
      </c>
      <c r="F23" s="344">
        <f t="shared" si="6"/>
        <v>100</v>
      </c>
      <c r="G23" s="343">
        <v>80</v>
      </c>
      <c r="H23" s="351">
        <f t="shared" si="1"/>
        <v>32.128514056224901</v>
      </c>
      <c r="I23" s="343">
        <v>70</v>
      </c>
      <c r="J23" s="350">
        <f t="shared" si="1"/>
        <v>39.548022598870055</v>
      </c>
      <c r="K23" s="343">
        <v>91</v>
      </c>
      <c r="L23" s="351">
        <f t="shared" si="2"/>
        <v>36.546184738955823</v>
      </c>
      <c r="M23" s="343">
        <v>64</v>
      </c>
      <c r="N23" s="350">
        <f t="shared" si="2"/>
        <v>36.158192090395481</v>
      </c>
      <c r="O23" s="343">
        <v>72</v>
      </c>
      <c r="P23" s="351">
        <f t="shared" si="3"/>
        <v>28.915662650602407</v>
      </c>
      <c r="Q23" s="343">
        <v>39</v>
      </c>
      <c r="R23" s="350">
        <f t="shared" si="3"/>
        <v>22.033898305084744</v>
      </c>
      <c r="S23" s="343">
        <v>6</v>
      </c>
      <c r="T23" s="351">
        <f t="shared" si="4"/>
        <v>2.4096385542168677</v>
      </c>
      <c r="U23" s="343">
        <v>4</v>
      </c>
      <c r="V23" s="350">
        <f t="shared" si="4"/>
        <v>2.2598870056497176</v>
      </c>
    </row>
    <row r="24" spans="1:22" ht="15.75" customHeight="1">
      <c r="A24" s="360"/>
      <c r="B24" s="334" t="s">
        <v>901</v>
      </c>
      <c r="C24" s="342">
        <f>+G24+K24+O24+S24</f>
        <v>19</v>
      </c>
      <c r="D24" s="343">
        <f>+H24+L24+P24+T24</f>
        <v>100</v>
      </c>
      <c r="E24" s="343">
        <f t="shared" si="0"/>
        <v>29</v>
      </c>
      <c r="F24" s="344">
        <f>+J24+N24+R24+V24</f>
        <v>100</v>
      </c>
      <c r="G24" s="343">
        <v>9</v>
      </c>
      <c r="H24" s="351">
        <f t="shared" si="1"/>
        <v>47.368421052631575</v>
      </c>
      <c r="I24" s="343">
        <v>9</v>
      </c>
      <c r="J24" s="350">
        <f t="shared" si="1"/>
        <v>31.03448275862069</v>
      </c>
      <c r="K24" s="343">
        <v>6</v>
      </c>
      <c r="L24" s="351">
        <f t="shared" si="2"/>
        <v>31.578947368421051</v>
      </c>
      <c r="M24" s="343">
        <v>15</v>
      </c>
      <c r="N24" s="350">
        <f t="shared" si="2"/>
        <v>51.724137931034484</v>
      </c>
      <c r="O24" s="343">
        <v>4</v>
      </c>
      <c r="P24" s="351">
        <f t="shared" si="3"/>
        <v>21.052631578947366</v>
      </c>
      <c r="Q24" s="343">
        <v>5</v>
      </c>
      <c r="R24" s="350">
        <f t="shared" si="3"/>
        <v>17.241379310344829</v>
      </c>
      <c r="S24" s="343"/>
      <c r="T24" s="351">
        <f t="shared" si="4"/>
        <v>0</v>
      </c>
      <c r="U24" s="343"/>
      <c r="V24" s="350">
        <f t="shared" si="4"/>
        <v>0</v>
      </c>
    </row>
    <row r="25" spans="1:22" ht="15.75" customHeight="1">
      <c r="A25" s="360"/>
      <c r="B25" s="334" t="s">
        <v>812</v>
      </c>
      <c r="C25" s="342">
        <f t="shared" si="5"/>
        <v>29</v>
      </c>
      <c r="D25" s="343">
        <f t="shared" si="6"/>
        <v>100</v>
      </c>
      <c r="E25" s="343">
        <f t="shared" si="0"/>
        <v>34</v>
      </c>
      <c r="F25" s="362">
        <f t="shared" si="6"/>
        <v>100</v>
      </c>
      <c r="G25" s="343">
        <v>12</v>
      </c>
      <c r="H25" s="351">
        <f t="shared" si="1"/>
        <v>41.379310344827587</v>
      </c>
      <c r="I25" s="343">
        <v>14</v>
      </c>
      <c r="J25" s="350">
        <f t="shared" si="1"/>
        <v>41.17647058823529</v>
      </c>
      <c r="K25" s="343">
        <v>9</v>
      </c>
      <c r="L25" s="351">
        <f t="shared" si="2"/>
        <v>31.03448275862069</v>
      </c>
      <c r="M25" s="343">
        <v>7</v>
      </c>
      <c r="N25" s="350">
        <f t="shared" si="2"/>
        <v>20.588235294117645</v>
      </c>
      <c r="O25" s="343">
        <v>8</v>
      </c>
      <c r="P25" s="351">
        <f t="shared" si="3"/>
        <v>27.586206896551722</v>
      </c>
      <c r="Q25" s="343">
        <v>12</v>
      </c>
      <c r="R25" s="350">
        <f t="shared" si="3"/>
        <v>35.294117647058826</v>
      </c>
      <c r="S25" s="343"/>
      <c r="T25" s="351">
        <f t="shared" si="4"/>
        <v>0</v>
      </c>
      <c r="U25" s="343">
        <v>1</v>
      </c>
      <c r="V25" s="350">
        <f t="shared" si="4"/>
        <v>2.9411764705882351</v>
      </c>
    </row>
    <row r="26" spans="1:22" ht="15.75" customHeight="1">
      <c r="A26" s="360"/>
      <c r="B26" s="341" t="s">
        <v>740</v>
      </c>
      <c r="C26" s="342">
        <f>SUM(C22:C25)</f>
        <v>449</v>
      </c>
      <c r="D26" s="363">
        <f t="shared" si="6"/>
        <v>100.00000000000001</v>
      </c>
      <c r="E26" s="343">
        <f>SUM(E22:E25)</f>
        <v>374</v>
      </c>
      <c r="F26" s="362">
        <f t="shared" si="6"/>
        <v>100</v>
      </c>
      <c r="G26" s="343">
        <f>SUM(G22:G25)</f>
        <v>148</v>
      </c>
      <c r="H26" s="351">
        <f t="shared" si="1"/>
        <v>32.962138084632514</v>
      </c>
      <c r="I26" s="343">
        <f>SUM(I22:I25)</f>
        <v>140</v>
      </c>
      <c r="J26" s="350">
        <f t="shared" si="1"/>
        <v>37.433155080213901</v>
      </c>
      <c r="K26" s="343">
        <f>SUM(K22:K25)</f>
        <v>163</v>
      </c>
      <c r="L26" s="351">
        <f t="shared" si="2"/>
        <v>36.302895322939868</v>
      </c>
      <c r="M26" s="343">
        <f>SUM(M22:M25)</f>
        <v>131</v>
      </c>
      <c r="N26" s="350">
        <f t="shared" si="2"/>
        <v>35.026737967914443</v>
      </c>
      <c r="O26" s="343">
        <f>SUM(O22:O25)</f>
        <v>132</v>
      </c>
      <c r="P26" s="351">
        <f t="shared" si="3"/>
        <v>29.398663697104677</v>
      </c>
      <c r="Q26" s="343">
        <f>SUM(Q22:Q25)</f>
        <v>90</v>
      </c>
      <c r="R26" s="350">
        <f t="shared" si="3"/>
        <v>24.064171122994651</v>
      </c>
      <c r="S26" s="343">
        <f>SUM(S22:S25)</f>
        <v>6</v>
      </c>
      <c r="T26" s="351">
        <f t="shared" si="4"/>
        <v>1.3363028953229399</v>
      </c>
      <c r="U26" s="343">
        <f>SUM(U22:U25)</f>
        <v>13</v>
      </c>
      <c r="V26" s="350">
        <f t="shared" si="4"/>
        <v>3.4759358288770055</v>
      </c>
    </row>
    <row r="27" spans="1:22" ht="15.75" customHeight="1">
      <c r="A27" s="360" t="s">
        <v>620</v>
      </c>
      <c r="B27" s="293" t="s">
        <v>813</v>
      </c>
      <c r="C27" s="342">
        <f t="shared" si="5"/>
        <v>92</v>
      </c>
      <c r="D27" s="343">
        <f t="shared" si="6"/>
        <v>100.00000000000001</v>
      </c>
      <c r="E27" s="343">
        <f t="shared" si="6"/>
        <v>66</v>
      </c>
      <c r="F27" s="344">
        <f t="shared" si="6"/>
        <v>99.999999999999986</v>
      </c>
      <c r="G27" s="343">
        <v>35</v>
      </c>
      <c r="H27" s="351">
        <f t="shared" si="1"/>
        <v>38.04347826086957</v>
      </c>
      <c r="I27" s="343">
        <v>28</v>
      </c>
      <c r="J27" s="350">
        <f t="shared" si="1"/>
        <v>42.424242424242422</v>
      </c>
      <c r="K27" s="343">
        <v>31</v>
      </c>
      <c r="L27" s="351">
        <f t="shared" si="2"/>
        <v>33.695652173913047</v>
      </c>
      <c r="M27" s="343">
        <v>21</v>
      </c>
      <c r="N27" s="350">
        <f t="shared" si="2"/>
        <v>31.818181818181817</v>
      </c>
      <c r="O27" s="343">
        <v>26</v>
      </c>
      <c r="P27" s="351">
        <f t="shared" si="3"/>
        <v>28.260869565217391</v>
      </c>
      <c r="Q27" s="343">
        <v>16</v>
      </c>
      <c r="R27" s="350">
        <f t="shared" si="3"/>
        <v>24.242424242424242</v>
      </c>
      <c r="S27" s="343"/>
      <c r="T27" s="351">
        <f t="shared" si="4"/>
        <v>0</v>
      </c>
      <c r="U27" s="343">
        <v>1</v>
      </c>
      <c r="V27" s="350">
        <f t="shared" si="4"/>
        <v>1.5151515151515151</v>
      </c>
    </row>
    <row r="28" spans="1:22" ht="15.75" customHeight="1">
      <c r="A28" s="360"/>
      <c r="B28" s="293" t="s">
        <v>1457</v>
      </c>
      <c r="C28" s="342">
        <f t="shared" si="5"/>
        <v>8</v>
      </c>
      <c r="D28" s="343">
        <f t="shared" si="6"/>
        <v>100</v>
      </c>
      <c r="E28" s="343">
        <f t="shared" ref="E28" si="7">+I28+M28+Q28+U28</f>
        <v>5</v>
      </c>
      <c r="F28" s="344">
        <f t="shared" ref="F28" si="8">+J28+N28+R28+V28</f>
        <v>100</v>
      </c>
      <c r="G28" s="343">
        <v>6</v>
      </c>
      <c r="H28" s="351">
        <f t="shared" si="1"/>
        <v>75</v>
      </c>
      <c r="I28" s="343">
        <v>4</v>
      </c>
      <c r="J28" s="350">
        <f t="shared" ref="J28" si="9">+I28/E28*100</f>
        <v>80</v>
      </c>
      <c r="K28" s="343"/>
      <c r="L28" s="351">
        <f t="shared" si="2"/>
        <v>0</v>
      </c>
      <c r="M28" s="343"/>
      <c r="N28" s="350">
        <f t="shared" ref="N28" si="10">+M28/E28*100</f>
        <v>0</v>
      </c>
      <c r="O28" s="343">
        <v>2</v>
      </c>
      <c r="P28" s="351">
        <f t="shared" si="3"/>
        <v>25</v>
      </c>
      <c r="Q28" s="343">
        <v>1</v>
      </c>
      <c r="R28" s="350">
        <f t="shared" ref="R28" si="11">+Q28/E28*100</f>
        <v>20</v>
      </c>
      <c r="S28" s="343"/>
      <c r="T28" s="351">
        <f t="shared" si="4"/>
        <v>0</v>
      </c>
      <c r="U28" s="343"/>
      <c r="V28" s="350">
        <f t="shared" ref="V28" si="12">+U28/E28*100</f>
        <v>0</v>
      </c>
    </row>
    <row r="29" spans="1:22" ht="15.75" customHeight="1">
      <c r="A29" s="360" t="s">
        <v>830</v>
      </c>
      <c r="B29" s="293" t="s">
        <v>629</v>
      </c>
      <c r="C29" s="342">
        <f t="shared" si="5"/>
        <v>62</v>
      </c>
      <c r="D29" s="343">
        <f t="shared" si="6"/>
        <v>99.999999999999986</v>
      </c>
      <c r="E29" s="343">
        <f t="shared" si="6"/>
        <v>89</v>
      </c>
      <c r="F29" s="344">
        <f t="shared" si="6"/>
        <v>99.999999999999986</v>
      </c>
      <c r="G29" s="343">
        <v>23</v>
      </c>
      <c r="H29" s="351">
        <f t="shared" si="1"/>
        <v>37.096774193548384</v>
      </c>
      <c r="I29" s="343">
        <v>42</v>
      </c>
      <c r="J29" s="350">
        <f t="shared" si="1"/>
        <v>47.191011235955052</v>
      </c>
      <c r="K29" s="343">
        <v>18</v>
      </c>
      <c r="L29" s="351">
        <f t="shared" si="2"/>
        <v>29.032258064516132</v>
      </c>
      <c r="M29" s="343">
        <v>33</v>
      </c>
      <c r="N29" s="350">
        <f t="shared" si="2"/>
        <v>37.078651685393261</v>
      </c>
      <c r="O29" s="343">
        <v>20</v>
      </c>
      <c r="P29" s="351">
        <f t="shared" si="3"/>
        <v>32.258064516129032</v>
      </c>
      <c r="Q29" s="343">
        <v>11</v>
      </c>
      <c r="R29" s="350">
        <f t="shared" si="3"/>
        <v>12.359550561797752</v>
      </c>
      <c r="S29" s="343">
        <v>1</v>
      </c>
      <c r="T29" s="351">
        <f t="shared" si="4"/>
        <v>1.6129032258064515</v>
      </c>
      <c r="U29" s="343">
        <v>3</v>
      </c>
      <c r="V29" s="350">
        <f t="shared" si="4"/>
        <v>3.3707865168539324</v>
      </c>
    </row>
    <row r="30" spans="1:22" ht="15.75" customHeight="1">
      <c r="A30" s="360"/>
      <c r="B30" s="334" t="s">
        <v>815</v>
      </c>
      <c r="C30" s="342">
        <f t="shared" si="6"/>
        <v>18</v>
      </c>
      <c r="D30" s="343">
        <f t="shared" si="6"/>
        <v>100</v>
      </c>
      <c r="E30" s="343">
        <f t="shared" si="6"/>
        <v>19</v>
      </c>
      <c r="F30" s="344">
        <f t="shared" si="6"/>
        <v>99.999999999999986</v>
      </c>
      <c r="G30" s="343">
        <v>5</v>
      </c>
      <c r="H30" s="351">
        <f t="shared" si="1"/>
        <v>27.777777777777779</v>
      </c>
      <c r="I30" s="343">
        <v>8</v>
      </c>
      <c r="J30" s="350">
        <f t="shared" si="1"/>
        <v>42.105263157894733</v>
      </c>
      <c r="K30" s="343">
        <v>7</v>
      </c>
      <c r="L30" s="351">
        <f t="shared" si="2"/>
        <v>38.888888888888893</v>
      </c>
      <c r="M30" s="343">
        <v>8</v>
      </c>
      <c r="N30" s="350">
        <f t="shared" si="2"/>
        <v>42.105263157894733</v>
      </c>
      <c r="O30" s="343">
        <v>6</v>
      </c>
      <c r="P30" s="351">
        <f t="shared" si="3"/>
        <v>33.333333333333329</v>
      </c>
      <c r="Q30" s="343">
        <v>3</v>
      </c>
      <c r="R30" s="350">
        <f t="shared" si="3"/>
        <v>15.789473684210526</v>
      </c>
      <c r="S30" s="343"/>
      <c r="T30" s="351">
        <f t="shared" si="4"/>
        <v>0</v>
      </c>
      <c r="U30" s="343"/>
      <c r="V30" s="350">
        <f t="shared" si="4"/>
        <v>0</v>
      </c>
    </row>
    <row r="31" spans="1:22" ht="15.75" customHeight="1">
      <c r="A31" s="360" t="s">
        <v>622</v>
      </c>
      <c r="B31" s="334" t="s">
        <v>816</v>
      </c>
      <c r="C31" s="342">
        <f t="shared" si="5"/>
        <v>30</v>
      </c>
      <c r="D31" s="343">
        <f t="shared" si="6"/>
        <v>99.999999999999986</v>
      </c>
      <c r="E31" s="343">
        <f t="shared" si="6"/>
        <v>31</v>
      </c>
      <c r="F31" s="344">
        <f t="shared" si="6"/>
        <v>100</v>
      </c>
      <c r="G31" s="343">
        <v>14</v>
      </c>
      <c r="H31" s="351">
        <f t="shared" si="1"/>
        <v>46.666666666666664</v>
      </c>
      <c r="I31" s="343">
        <v>15</v>
      </c>
      <c r="J31" s="350">
        <f t="shared" si="1"/>
        <v>48.387096774193552</v>
      </c>
      <c r="K31" s="343">
        <v>6</v>
      </c>
      <c r="L31" s="351">
        <f t="shared" si="2"/>
        <v>20</v>
      </c>
      <c r="M31" s="343">
        <v>14</v>
      </c>
      <c r="N31" s="350">
        <f t="shared" si="2"/>
        <v>45.161290322580641</v>
      </c>
      <c r="O31" s="343">
        <v>10</v>
      </c>
      <c r="P31" s="351">
        <f t="shared" si="3"/>
        <v>33.333333333333329</v>
      </c>
      <c r="Q31" s="343">
        <v>2</v>
      </c>
      <c r="R31" s="350">
        <f t="shared" si="3"/>
        <v>6.4516129032258061</v>
      </c>
      <c r="S31" s="343"/>
      <c r="T31" s="351">
        <f t="shared" si="4"/>
        <v>0</v>
      </c>
      <c r="U31" s="343"/>
      <c r="V31" s="350">
        <f t="shared" si="4"/>
        <v>0</v>
      </c>
    </row>
    <row r="32" spans="1:22" ht="15.75" customHeight="1">
      <c r="A32" s="360" t="s">
        <v>831</v>
      </c>
      <c r="B32" s="334" t="s">
        <v>817</v>
      </c>
      <c r="C32" s="342">
        <f t="shared" si="5"/>
        <v>187</v>
      </c>
      <c r="D32" s="343">
        <f t="shared" si="6"/>
        <v>100.00000000000001</v>
      </c>
      <c r="E32" s="343">
        <f t="shared" si="6"/>
        <v>144</v>
      </c>
      <c r="F32" s="344">
        <f t="shared" si="6"/>
        <v>99.999999999999986</v>
      </c>
      <c r="G32" s="343">
        <v>65</v>
      </c>
      <c r="H32" s="351">
        <f t="shared" si="1"/>
        <v>34.759358288770052</v>
      </c>
      <c r="I32" s="343">
        <v>61</v>
      </c>
      <c r="J32" s="350">
        <f t="shared" si="1"/>
        <v>42.361111111111107</v>
      </c>
      <c r="K32" s="343">
        <v>66</v>
      </c>
      <c r="L32" s="351">
        <f t="shared" si="2"/>
        <v>35.294117647058826</v>
      </c>
      <c r="M32" s="343">
        <v>44</v>
      </c>
      <c r="N32" s="350">
        <f t="shared" si="2"/>
        <v>30.555555555555557</v>
      </c>
      <c r="O32" s="343">
        <v>49</v>
      </c>
      <c r="P32" s="351">
        <f t="shared" si="3"/>
        <v>26.203208556149733</v>
      </c>
      <c r="Q32" s="343">
        <v>38</v>
      </c>
      <c r="R32" s="350">
        <f t="shared" si="3"/>
        <v>26.388888888888889</v>
      </c>
      <c r="S32" s="343">
        <v>7</v>
      </c>
      <c r="T32" s="351">
        <f t="shared" si="4"/>
        <v>3.7433155080213902</v>
      </c>
      <c r="U32" s="343">
        <v>1</v>
      </c>
      <c r="V32" s="350">
        <f t="shared" si="4"/>
        <v>0.69444444444444442</v>
      </c>
    </row>
    <row r="33" spans="1:22" ht="15.75" customHeight="1">
      <c r="A33" s="360" t="s">
        <v>624</v>
      </c>
      <c r="B33" s="334" t="s">
        <v>818</v>
      </c>
      <c r="C33" s="342">
        <f t="shared" si="5"/>
        <v>59</v>
      </c>
      <c r="D33" s="343">
        <f t="shared" si="6"/>
        <v>99.999999999999986</v>
      </c>
      <c r="E33" s="343">
        <f t="shared" si="6"/>
        <v>67</v>
      </c>
      <c r="F33" s="344">
        <f t="shared" si="6"/>
        <v>100</v>
      </c>
      <c r="G33" s="343">
        <v>19</v>
      </c>
      <c r="H33" s="351">
        <f t="shared" si="1"/>
        <v>32.20338983050847</v>
      </c>
      <c r="I33" s="343">
        <v>33</v>
      </c>
      <c r="J33" s="350">
        <f t="shared" si="1"/>
        <v>49.253731343283583</v>
      </c>
      <c r="K33" s="343">
        <v>22</v>
      </c>
      <c r="L33" s="351">
        <f t="shared" si="2"/>
        <v>37.288135593220339</v>
      </c>
      <c r="M33" s="343">
        <v>17</v>
      </c>
      <c r="N33" s="350">
        <f t="shared" si="2"/>
        <v>25.373134328358208</v>
      </c>
      <c r="O33" s="343">
        <v>17</v>
      </c>
      <c r="P33" s="351">
        <f t="shared" si="3"/>
        <v>28.8135593220339</v>
      </c>
      <c r="Q33" s="343">
        <v>16</v>
      </c>
      <c r="R33" s="350">
        <f t="shared" si="3"/>
        <v>23.880597014925371</v>
      </c>
      <c r="S33" s="343">
        <v>1</v>
      </c>
      <c r="T33" s="351">
        <f t="shared" si="4"/>
        <v>1.6949152542372881</v>
      </c>
      <c r="U33" s="343">
        <v>1</v>
      </c>
      <c r="V33" s="350">
        <f t="shared" si="4"/>
        <v>1.4925373134328357</v>
      </c>
    </row>
    <row r="34" spans="1:22" ht="15.75" customHeight="1">
      <c r="A34" s="360"/>
      <c r="B34" s="293" t="s">
        <v>1177</v>
      </c>
      <c r="C34" s="342">
        <f>+G34+K34+O34+S34</f>
        <v>11</v>
      </c>
      <c r="D34" s="343">
        <f>+H34+L34+P34+T34</f>
        <v>100</v>
      </c>
      <c r="E34" s="343">
        <f t="shared" si="6"/>
        <v>5</v>
      </c>
      <c r="F34" s="344">
        <f t="shared" si="6"/>
        <v>100</v>
      </c>
      <c r="G34" s="343">
        <v>6</v>
      </c>
      <c r="H34" s="351">
        <f t="shared" si="1"/>
        <v>54.54545454545454</v>
      </c>
      <c r="I34" s="343">
        <v>2</v>
      </c>
      <c r="J34" s="350">
        <f t="shared" si="1"/>
        <v>40</v>
      </c>
      <c r="K34" s="343">
        <v>2</v>
      </c>
      <c r="L34" s="351">
        <f t="shared" si="2"/>
        <v>18.181818181818183</v>
      </c>
      <c r="M34" s="343">
        <v>1</v>
      </c>
      <c r="N34" s="350">
        <f t="shared" si="2"/>
        <v>20</v>
      </c>
      <c r="O34" s="343">
        <v>2</v>
      </c>
      <c r="P34" s="351">
        <f t="shared" si="3"/>
        <v>18.181818181818183</v>
      </c>
      <c r="Q34" s="343">
        <v>2</v>
      </c>
      <c r="R34" s="350">
        <f t="shared" si="3"/>
        <v>40</v>
      </c>
      <c r="S34" s="343">
        <v>1</v>
      </c>
      <c r="T34" s="351">
        <f t="shared" si="4"/>
        <v>9.0909090909090917</v>
      </c>
      <c r="U34" s="343"/>
      <c r="V34" s="350">
        <f t="shared" si="4"/>
        <v>0</v>
      </c>
    </row>
    <row r="35" spans="1:22" ht="15.75" customHeight="1">
      <c r="A35" s="360" t="s">
        <v>809</v>
      </c>
      <c r="B35" s="341" t="s">
        <v>809</v>
      </c>
      <c r="C35" s="342">
        <f>SUM(C26:C34)</f>
        <v>916</v>
      </c>
      <c r="D35" s="343">
        <f t="shared" si="6"/>
        <v>100.00000000000001</v>
      </c>
      <c r="E35" s="353">
        <f>SUM(E26:E34)</f>
        <v>800</v>
      </c>
      <c r="F35" s="344">
        <f t="shared" si="6"/>
        <v>100</v>
      </c>
      <c r="G35" s="353">
        <f>SUM(G26:G34)</f>
        <v>321</v>
      </c>
      <c r="H35" s="351">
        <f t="shared" si="1"/>
        <v>35.043668122270745</v>
      </c>
      <c r="I35" s="353">
        <f>SUM(I26:I34)</f>
        <v>333</v>
      </c>
      <c r="J35" s="350">
        <f t="shared" si="1"/>
        <v>41.625</v>
      </c>
      <c r="K35" s="353">
        <f>SUM(K26:K34)</f>
        <v>315</v>
      </c>
      <c r="L35" s="351">
        <f t="shared" si="2"/>
        <v>34.388646288209607</v>
      </c>
      <c r="M35" s="353">
        <f>SUM(M26:M34)</f>
        <v>269</v>
      </c>
      <c r="N35" s="350">
        <f t="shared" si="2"/>
        <v>33.625</v>
      </c>
      <c r="O35" s="353">
        <f>SUM(O26:O34)</f>
        <v>264</v>
      </c>
      <c r="P35" s="351">
        <f t="shared" si="3"/>
        <v>28.820960698689959</v>
      </c>
      <c r="Q35" s="353">
        <f>SUM(Q26:Q34)</f>
        <v>179</v>
      </c>
      <c r="R35" s="350">
        <f t="shared" si="3"/>
        <v>22.375</v>
      </c>
      <c r="S35" s="353">
        <f>SUM(S26:S34)</f>
        <v>16</v>
      </c>
      <c r="T35" s="351">
        <f t="shared" si="4"/>
        <v>1.7467248908296942</v>
      </c>
      <c r="U35" s="353">
        <f>SUM(U26:U34)</f>
        <v>19</v>
      </c>
      <c r="V35" s="350">
        <f t="shared" si="4"/>
        <v>2.375</v>
      </c>
    </row>
    <row r="36" spans="1:22" ht="15.75" customHeight="1">
      <c r="A36" s="361" t="s">
        <v>832</v>
      </c>
      <c r="B36" s="538" t="s">
        <v>517</v>
      </c>
      <c r="C36" s="356">
        <f>+C35+C20</f>
        <v>1483</v>
      </c>
      <c r="D36" s="348">
        <f t="shared" si="6"/>
        <v>100</v>
      </c>
      <c r="E36" s="357">
        <f>+E35+E20</f>
        <v>1253</v>
      </c>
      <c r="F36" s="349">
        <f t="shared" si="6"/>
        <v>100</v>
      </c>
      <c r="G36" s="348">
        <f>+G35+G20</f>
        <v>522</v>
      </c>
      <c r="H36" s="355">
        <f t="shared" si="1"/>
        <v>35.198921105866489</v>
      </c>
      <c r="I36" s="348">
        <f>+I35+I20</f>
        <v>496</v>
      </c>
      <c r="J36" s="354">
        <f t="shared" si="1"/>
        <v>39.584996009577019</v>
      </c>
      <c r="K36" s="348">
        <f>+K35+K20</f>
        <v>498</v>
      </c>
      <c r="L36" s="355">
        <f t="shared" si="2"/>
        <v>33.580579905596764</v>
      </c>
      <c r="M36" s="348">
        <f>+M35+M20</f>
        <v>414</v>
      </c>
      <c r="N36" s="354">
        <f t="shared" si="2"/>
        <v>33.040702314445333</v>
      </c>
      <c r="O36" s="348">
        <f>+O35+O20</f>
        <v>433</v>
      </c>
      <c r="P36" s="355">
        <f t="shared" si="3"/>
        <v>29.197572488199597</v>
      </c>
      <c r="Q36" s="348">
        <f>+Q35+Q20</f>
        <v>312</v>
      </c>
      <c r="R36" s="354">
        <f t="shared" si="3"/>
        <v>24.900239425379091</v>
      </c>
      <c r="S36" s="348">
        <f>+S35+S20</f>
        <v>30</v>
      </c>
      <c r="T36" s="355">
        <f t="shared" si="4"/>
        <v>2.0229265003371544</v>
      </c>
      <c r="U36" s="348">
        <f>+U35+U20</f>
        <v>31</v>
      </c>
      <c r="V36" s="354">
        <f t="shared" si="4"/>
        <v>2.4740622505985637</v>
      </c>
    </row>
  </sheetData>
  <mergeCells count="17">
    <mergeCell ref="M10:N10"/>
    <mergeCell ref="O10:P10"/>
    <mergeCell ref="Q10:R10"/>
    <mergeCell ref="S10:T10"/>
    <mergeCell ref="U10:V10"/>
    <mergeCell ref="C10:D10"/>
    <mergeCell ref="E10:F10"/>
    <mergeCell ref="G10:H10"/>
    <mergeCell ref="I10:J10"/>
    <mergeCell ref="K10:L10"/>
    <mergeCell ref="A1:V1"/>
    <mergeCell ref="A3:V3"/>
    <mergeCell ref="C9:F9"/>
    <mergeCell ref="G9:J9"/>
    <mergeCell ref="K9:N9"/>
    <mergeCell ref="O9:R9"/>
    <mergeCell ref="S9:V9"/>
  </mergeCells>
  <phoneticPr fontId="19" type="noConversion"/>
  <pageMargins left="0.59055118110236227" right="0.39370078740157483" top="0.98425196850393704" bottom="0.98425196850393704" header="0" footer="0"/>
  <pageSetup paperSize="5" scale="90" orientation="landscape" horizontalDpi="300" verticalDpi="300" r:id="rId1"/>
  <headerFooter alignWithMargins="0"/>
  <ignoredErrors>
    <ignoredError sqref="V29:V36 F12:F14 J12:J14 N12:N14 R12:R14 H12:H14 L12:L14 P12:P14 T12:T14 V12:V27" evalError="1"/>
    <ignoredError sqref="F15 F35:F36 F32 J32 N32 R32 F20:F21 F19 J19 N19 R19 F17 F16 J16 N16 R16 F33 J33 N33 R33 F30 F27 J27 N27 R27 F24 F22 J22 N22 R22 F18 J18 N18 R18 F29 J29 N29 R29 F26 F25 J25 N25 R25 F31 J31 N31 R31 F23 J23 N23 R23 J17 N17 R17 F34 J34 N34 R34 J30 N30 R30 J24 N24 R24 H19 H17 H16 H18 L19 L16 L18 L17 P19 P16 P18 P17 T19 T16 T18 T17 H24 H22 H25 H23 L22 L25 L23 L24 P22 P25 P23 P24 T22 T25 T23 T24 H32 H33 H30 H27 H29 H31 H34 L32 L33 L27 L29 L31 L34 L30 P32 P33 P27 P29 P31 P34 P30 T32 T33 T27 T29 T31 T34 T30 H15:J15 H35:J36 H21:J21 H26:J26 L15:N15 L35:N36 L20:N21 L26:N26 P15:R15 P35:R36 P20:R21 P26:R26 T15:U15 T35:U36 T20:U21 T26:U26 H20 J20" evalError="1" formula="1"/>
    <ignoredError sqref="C29:E36 C15:E21 C26:E27 C22:D25"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7"/>
  <sheetViews>
    <sheetView topLeftCell="A79" workbookViewId="0">
      <selection activeCell="C97" sqref="C97:K97"/>
    </sheetView>
  </sheetViews>
  <sheetFormatPr baseColWidth="10" defaultRowHeight="13.2"/>
  <cols>
    <col min="1" max="1" width="10.77734375" customWidth="1"/>
    <col min="2" max="2" width="9" customWidth="1"/>
    <col min="3" max="11" width="7.77734375" customWidth="1"/>
    <col min="12" max="12" width="6.77734375" customWidth="1"/>
  </cols>
  <sheetData>
    <row r="1" spans="1:12">
      <c r="A1" s="1585" t="s">
        <v>833</v>
      </c>
      <c r="B1" s="1585"/>
      <c r="C1" s="1585"/>
      <c r="D1" s="1585"/>
      <c r="E1" s="1585"/>
      <c r="F1" s="1585"/>
      <c r="G1" s="1585"/>
      <c r="H1" s="1585"/>
      <c r="I1" s="1585"/>
      <c r="J1" s="1585"/>
      <c r="K1" s="1585"/>
      <c r="L1" s="1585"/>
    </row>
    <row r="2" spans="1:12">
      <c r="A2" s="1585" t="s">
        <v>834</v>
      </c>
      <c r="B2" s="1585"/>
      <c r="C2" s="1585"/>
      <c r="D2" s="1585"/>
      <c r="E2" s="1585"/>
      <c r="F2" s="1585"/>
      <c r="G2" s="1585"/>
      <c r="H2" s="1585"/>
      <c r="I2" s="1585"/>
      <c r="J2" s="1585"/>
      <c r="K2" s="1585"/>
      <c r="L2" s="1585"/>
    </row>
    <row r="3" spans="1:12">
      <c r="A3" s="1585" t="s">
        <v>1645</v>
      </c>
      <c r="B3" s="1585"/>
      <c r="C3" s="1585"/>
      <c r="D3" s="1585"/>
      <c r="E3" s="1585"/>
      <c r="F3" s="1585"/>
      <c r="G3" s="1585"/>
      <c r="H3" s="1585"/>
      <c r="I3" s="1585"/>
      <c r="J3" s="1585"/>
      <c r="K3" s="1585"/>
      <c r="L3" s="1585"/>
    </row>
    <row r="4" spans="1:12">
      <c r="A4" s="301"/>
      <c r="B4" s="301"/>
      <c r="C4" s="301"/>
      <c r="D4" s="301"/>
      <c r="E4" s="301"/>
      <c r="F4" s="301"/>
      <c r="G4" s="301"/>
      <c r="H4" s="301"/>
      <c r="I4" s="301"/>
      <c r="J4" s="301"/>
      <c r="K4" s="301"/>
      <c r="L4" s="301"/>
    </row>
    <row r="5" spans="1:12">
      <c r="A5" s="301"/>
      <c r="B5" s="301"/>
      <c r="C5" s="301"/>
      <c r="D5" s="301"/>
      <c r="E5" s="301"/>
      <c r="F5" s="301"/>
      <c r="G5" s="301"/>
      <c r="H5" s="301"/>
      <c r="I5" s="301"/>
      <c r="J5" s="301"/>
      <c r="K5" s="301"/>
      <c r="L5" s="301"/>
    </row>
    <row r="8" spans="1:12">
      <c r="A8" s="178"/>
      <c r="B8" s="304"/>
      <c r="C8" s="1614" t="s">
        <v>835</v>
      </c>
      <c r="D8" s="1615"/>
      <c r="E8" s="1615"/>
      <c r="F8" s="1615"/>
      <c r="G8" s="1615"/>
      <c r="H8" s="1615"/>
      <c r="I8" s="1615"/>
      <c r="J8" s="1615"/>
      <c r="K8" s="1615"/>
      <c r="L8" s="364"/>
    </row>
    <row r="9" spans="1:12">
      <c r="A9" s="1617" t="s">
        <v>836</v>
      </c>
      <c r="B9" s="1618"/>
      <c r="C9" s="1621" t="s">
        <v>837</v>
      </c>
      <c r="D9" s="1622"/>
      <c r="E9" s="1621" t="s">
        <v>838</v>
      </c>
      <c r="F9" s="1622"/>
      <c r="G9" s="1621" t="s">
        <v>839</v>
      </c>
      <c r="H9" s="1622"/>
      <c r="I9" s="1621" t="s">
        <v>840</v>
      </c>
      <c r="J9" s="1622"/>
      <c r="K9" s="1621" t="s">
        <v>517</v>
      </c>
      <c r="L9" s="1622"/>
    </row>
    <row r="10" spans="1:12">
      <c r="A10" s="1619" t="s">
        <v>841</v>
      </c>
      <c r="B10" s="1620"/>
      <c r="C10" s="366" t="s">
        <v>842</v>
      </c>
      <c r="D10" s="368" t="s">
        <v>843</v>
      </c>
      <c r="E10" s="366" t="s">
        <v>842</v>
      </c>
      <c r="F10" s="367" t="s">
        <v>843</v>
      </c>
      <c r="G10" s="368" t="s">
        <v>842</v>
      </c>
      <c r="H10" s="368" t="s">
        <v>843</v>
      </c>
      <c r="I10" s="366" t="s">
        <v>842</v>
      </c>
      <c r="J10" s="368" t="s">
        <v>843</v>
      </c>
      <c r="K10" s="366" t="s">
        <v>842</v>
      </c>
      <c r="L10" s="367" t="s">
        <v>843</v>
      </c>
    </row>
    <row r="11" spans="1:12">
      <c r="A11" s="369" t="s">
        <v>844</v>
      </c>
      <c r="B11" s="370"/>
      <c r="C11" s="371">
        <f>+[3]Consolidado!$D$121</f>
        <v>12</v>
      </c>
      <c r="D11" s="372">
        <f>+[3]Consolidado!$E$121</f>
        <v>5</v>
      </c>
      <c r="E11" s="371">
        <f>+[3]Consolidado!$D$216</f>
        <v>0</v>
      </c>
      <c r="F11" s="372">
        <f>+[3]Consolidado!$E$216</f>
        <v>1</v>
      </c>
      <c r="G11" s="371">
        <f>+[3]Consolidado!$D$311</f>
        <v>0</v>
      </c>
      <c r="H11" s="372">
        <f>+[3]Consolidado!$E$311</f>
        <v>0</v>
      </c>
      <c r="I11" s="371">
        <f>+[3]Consolidado!$D$406</f>
        <v>0</v>
      </c>
      <c r="J11" s="372">
        <f>+[3]Consolidado!$E$406</f>
        <v>0</v>
      </c>
      <c r="K11" s="371">
        <f>+C11+E11+G11+I11</f>
        <v>12</v>
      </c>
      <c r="L11" s="365">
        <f>+D11+F11+H11+J11</f>
        <v>6</v>
      </c>
    </row>
    <row r="12" spans="1:12">
      <c r="A12" s="369" t="s">
        <v>845</v>
      </c>
      <c r="B12" s="370"/>
      <c r="C12" s="371">
        <f>+[3]Consolidado!$F$121</f>
        <v>22</v>
      </c>
      <c r="D12" s="372">
        <f>+[3]Consolidado!$G$121</f>
        <v>1</v>
      </c>
      <c r="E12" s="371">
        <f>+[3]Consolidado!$F$216</f>
        <v>0</v>
      </c>
      <c r="F12" s="372">
        <f>+[3]Consolidado!$G$216</f>
        <v>0</v>
      </c>
      <c r="G12" s="371">
        <f>+[3]Consolidado!$F$311</f>
        <v>0</v>
      </c>
      <c r="H12" s="372">
        <f>+[3]Consolidado!$G$311</f>
        <v>0</v>
      </c>
      <c r="I12" s="371">
        <f>+[3]Consolidado!$F$406</f>
        <v>0</v>
      </c>
      <c r="J12" s="372">
        <f>+[3]Consolidado!$G$406</f>
        <v>0</v>
      </c>
      <c r="K12" s="371">
        <f t="shared" ref="K12:L19" si="0">+C12+E12+G12+I12</f>
        <v>22</v>
      </c>
      <c r="L12" s="365">
        <f t="shared" si="0"/>
        <v>1</v>
      </c>
    </row>
    <row r="13" spans="1:12">
      <c r="A13" s="369" t="s">
        <v>846</v>
      </c>
      <c r="B13" s="370"/>
      <c r="C13" s="371">
        <f>+[3]Consolidado!$H$121</f>
        <v>29</v>
      </c>
      <c r="D13" s="372">
        <f>+[3]Consolidado!$I$121</f>
        <v>2</v>
      </c>
      <c r="E13" s="371">
        <f>+[3]Consolidado!$H$216</f>
        <v>4</v>
      </c>
      <c r="F13" s="372">
        <f>+[3]Consolidado!$I$216</f>
        <v>0</v>
      </c>
      <c r="G13" s="371">
        <f>+[3]Consolidado!$H$311</f>
        <v>0</v>
      </c>
      <c r="H13" s="372">
        <f>+[3]Consolidado!$I$311</f>
        <v>0</v>
      </c>
      <c r="I13" s="371">
        <f>+[3]Consolidado!$H$406</f>
        <v>0</v>
      </c>
      <c r="J13" s="372">
        <f>+[3]Consolidado!$I$406</f>
        <v>0</v>
      </c>
      <c r="K13" s="371">
        <f t="shared" si="0"/>
        <v>33</v>
      </c>
      <c r="L13" s="365">
        <f t="shared" si="0"/>
        <v>2</v>
      </c>
    </row>
    <row r="14" spans="1:12">
      <c r="A14" s="369" t="s">
        <v>847</v>
      </c>
      <c r="B14" s="370"/>
      <c r="C14" s="371">
        <f>+[3]Consolidado!$J$121</f>
        <v>76</v>
      </c>
      <c r="D14" s="372">
        <f>+[3]Consolidado!$K$121</f>
        <v>3</v>
      </c>
      <c r="E14" s="371">
        <f>+[3]Consolidado!$J$216</f>
        <v>46</v>
      </c>
      <c r="F14" s="372">
        <f>+[3]Consolidado!$K$216</f>
        <v>1</v>
      </c>
      <c r="G14" s="371">
        <f>+[3]Consolidado!$J$311</f>
        <v>0</v>
      </c>
      <c r="H14" s="372">
        <f>+[3]Consolidado!$K$311</f>
        <v>0</v>
      </c>
      <c r="I14" s="371">
        <f>+[3]Consolidado!$J$406</f>
        <v>0</v>
      </c>
      <c r="J14" s="372">
        <f>+[3]Consolidado!$K$406</f>
        <v>0</v>
      </c>
      <c r="K14" s="371">
        <f t="shared" si="0"/>
        <v>122</v>
      </c>
      <c r="L14" s="365">
        <f t="shared" si="0"/>
        <v>4</v>
      </c>
    </row>
    <row r="15" spans="1:12">
      <c r="A15" s="369" t="s">
        <v>848</v>
      </c>
      <c r="B15" s="370"/>
      <c r="C15" s="371">
        <f>+[3]Consolidado!$L$121</f>
        <v>330</v>
      </c>
      <c r="D15" s="372">
        <f>+[3]Consolidado!$M$121</f>
        <v>0</v>
      </c>
      <c r="E15" s="371">
        <f>+[3]Consolidado!$L$216</f>
        <v>175</v>
      </c>
      <c r="F15" s="372">
        <f>+[3]Consolidado!$M$216</f>
        <v>1</v>
      </c>
      <c r="G15" s="371">
        <f>+[3]Consolidado!$L$311</f>
        <v>1</v>
      </c>
      <c r="H15" s="372">
        <f>+[3]Consolidado!$M$311</f>
        <v>0</v>
      </c>
      <c r="I15" s="371">
        <f>+[3]Consolidado!$L$406</f>
        <v>0</v>
      </c>
      <c r="J15" s="372">
        <f>+[3]Consolidado!$M$406</f>
        <v>0</v>
      </c>
      <c r="K15" s="371">
        <f t="shared" si="0"/>
        <v>506</v>
      </c>
      <c r="L15" s="365">
        <f t="shared" si="0"/>
        <v>1</v>
      </c>
    </row>
    <row r="16" spans="1:12">
      <c r="A16" s="369" t="s">
        <v>849</v>
      </c>
      <c r="B16" s="370"/>
      <c r="C16" s="371">
        <f>+[3]Consolidado!$N$121</f>
        <v>752</v>
      </c>
      <c r="D16" s="372">
        <f>+[3]Consolidado!$O$121</f>
        <v>1</v>
      </c>
      <c r="E16" s="371">
        <f>+[3]Consolidado!$N$216</f>
        <v>372</v>
      </c>
      <c r="F16" s="372">
        <f>+[3]Consolidado!$O$216</f>
        <v>0</v>
      </c>
      <c r="G16" s="371">
        <f>+[3]Consolidado!$N$311</f>
        <v>2</v>
      </c>
      <c r="H16" s="372">
        <f>+[3]Consolidado!$O$311</f>
        <v>0</v>
      </c>
      <c r="I16" s="371">
        <f>+[3]Consolidado!$N$406</f>
        <v>0</v>
      </c>
      <c r="J16" s="372">
        <f>+[3]Consolidado!$O$406</f>
        <v>0</v>
      </c>
      <c r="K16" s="371">
        <f t="shared" si="0"/>
        <v>1126</v>
      </c>
      <c r="L16" s="365">
        <f t="shared" si="0"/>
        <v>1</v>
      </c>
    </row>
    <row r="17" spans="1:14">
      <c r="A17" s="369" t="s">
        <v>850</v>
      </c>
      <c r="B17" s="370"/>
      <c r="C17" s="371">
        <f>+[3]Consolidado!$P$121</f>
        <v>454</v>
      </c>
      <c r="D17" s="372">
        <f>+[3]Consolidado!$Q$121</f>
        <v>1</v>
      </c>
      <c r="E17" s="371">
        <f>+[3]Consolidado!$P$216</f>
        <v>211</v>
      </c>
      <c r="F17" s="372">
        <f>+[3]Consolidado!$Q$216</f>
        <v>0</v>
      </c>
      <c r="G17" s="371">
        <f>+[3]Consolidado!$P$311</f>
        <v>0</v>
      </c>
      <c r="H17" s="372">
        <f>+[3]Consolidado!$Q$311</f>
        <v>0</v>
      </c>
      <c r="I17" s="371">
        <f>+[3]Consolidado!$P$406</f>
        <v>0</v>
      </c>
      <c r="J17" s="372">
        <f>+[3]Consolidado!$Q$406</f>
        <v>0</v>
      </c>
      <c r="K17" s="371">
        <f t="shared" si="0"/>
        <v>665</v>
      </c>
      <c r="L17" s="365">
        <f t="shared" si="0"/>
        <v>1</v>
      </c>
    </row>
    <row r="18" spans="1:14">
      <c r="A18" s="369" t="s">
        <v>851</v>
      </c>
      <c r="B18" s="370"/>
      <c r="C18" s="371">
        <f>+[3]Consolidado!$R$121</f>
        <v>105</v>
      </c>
      <c r="D18" s="372">
        <f>+[3]Consolidado!$S$121</f>
        <v>0</v>
      </c>
      <c r="E18" s="371">
        <f>+[3]Consolidado!$R$216</f>
        <v>39</v>
      </c>
      <c r="F18" s="372">
        <f>+[3]Consolidado!$S$216</f>
        <v>0</v>
      </c>
      <c r="G18" s="371">
        <f>+[3]Consolidado!$R$311</f>
        <v>0</v>
      </c>
      <c r="H18" s="372">
        <f>+[3]Consolidado!$S$311</f>
        <v>0</v>
      </c>
      <c r="I18" s="371">
        <f>+[3]Consolidado!$R$406</f>
        <v>0</v>
      </c>
      <c r="J18" s="372">
        <f>+[3]Consolidado!$S$406</f>
        <v>0</v>
      </c>
      <c r="K18" s="371">
        <f t="shared" si="0"/>
        <v>144</v>
      </c>
      <c r="L18" s="365">
        <f t="shared" si="0"/>
        <v>0</v>
      </c>
    </row>
    <row r="19" spans="1:14">
      <c r="A19" s="369" t="s">
        <v>852</v>
      </c>
      <c r="B19" s="370"/>
      <c r="C19" s="371">
        <f>+[3]Consolidado!$T$121</f>
        <v>9</v>
      </c>
      <c r="D19" s="372">
        <f>+[3]Consolidado!$U$121</f>
        <v>0</v>
      </c>
      <c r="E19" s="371">
        <f>+[3]Consolidado!$T$216</f>
        <v>12</v>
      </c>
      <c r="F19" s="372">
        <f>+[3]Consolidado!$U$216</f>
        <v>0</v>
      </c>
      <c r="G19" s="371">
        <f>+[3]Consolidado!$T$311</f>
        <v>0</v>
      </c>
      <c r="H19" s="372">
        <f>+[3]Consolidado!$U$311</f>
        <v>0</v>
      </c>
      <c r="I19" s="371">
        <f>+[3]Consolidado!$T$406</f>
        <v>0</v>
      </c>
      <c r="J19" s="372">
        <f>+[3]Consolidado!$U$406</f>
        <v>0</v>
      </c>
      <c r="K19" s="371">
        <f t="shared" si="0"/>
        <v>21</v>
      </c>
      <c r="L19" s="365">
        <f t="shared" si="0"/>
        <v>0</v>
      </c>
    </row>
    <row r="20" spans="1:14">
      <c r="A20" s="373" t="s">
        <v>832</v>
      </c>
      <c r="B20" s="374"/>
      <c r="C20" s="375">
        <f>SUM(C11:C19)</f>
        <v>1789</v>
      </c>
      <c r="D20" s="376">
        <f>SUM(D11:D19)</f>
        <v>13</v>
      </c>
      <c r="E20" s="375">
        <f t="shared" ref="E20:L20" si="1">SUM(E11:E19)</f>
        <v>859</v>
      </c>
      <c r="F20" s="377">
        <f t="shared" si="1"/>
        <v>3</v>
      </c>
      <c r="G20" s="376">
        <f t="shared" si="1"/>
        <v>3</v>
      </c>
      <c r="H20" s="376">
        <f t="shared" si="1"/>
        <v>0</v>
      </c>
      <c r="I20" s="375">
        <f t="shared" si="1"/>
        <v>0</v>
      </c>
      <c r="J20" s="376">
        <f t="shared" si="1"/>
        <v>0</v>
      </c>
      <c r="K20" s="375">
        <f t="shared" si="1"/>
        <v>2651</v>
      </c>
      <c r="L20" s="367">
        <f t="shared" si="1"/>
        <v>16</v>
      </c>
    </row>
    <row r="21" spans="1:14">
      <c r="A21" s="378"/>
      <c r="B21" s="378"/>
      <c r="C21" s="378"/>
      <c r="D21" s="378"/>
      <c r="E21" s="378"/>
      <c r="F21" s="378"/>
      <c r="G21" s="378"/>
      <c r="H21" s="378"/>
      <c r="I21" s="378"/>
      <c r="J21" s="378"/>
      <c r="K21" s="378"/>
      <c r="L21" s="378"/>
    </row>
    <row r="22" spans="1:14">
      <c r="A22" s="378"/>
      <c r="B22" s="378"/>
      <c r="C22" s="378"/>
      <c r="D22" s="378"/>
      <c r="E22" s="378"/>
      <c r="F22" s="378"/>
      <c r="G22" s="378"/>
      <c r="H22" s="378"/>
      <c r="I22" s="378"/>
      <c r="J22" s="378"/>
      <c r="K22" s="378"/>
      <c r="L22" s="378"/>
    </row>
    <row r="23" spans="1:14">
      <c r="A23" s="379" t="s">
        <v>853</v>
      </c>
      <c r="B23" s="378"/>
      <c r="C23" s="378"/>
      <c r="D23" s="378"/>
      <c r="E23" s="378"/>
      <c r="F23" s="378"/>
      <c r="G23" s="378"/>
      <c r="H23" s="378"/>
      <c r="I23" s="378"/>
      <c r="J23" s="378"/>
      <c r="K23" s="378"/>
      <c r="L23" s="378"/>
    </row>
    <row r="24" spans="1:14">
      <c r="A24" s="378"/>
      <c r="B24" s="378"/>
      <c r="C24" s="378"/>
      <c r="D24" s="378"/>
      <c r="E24" s="378"/>
      <c r="F24" s="378"/>
      <c r="G24" s="378"/>
      <c r="H24" s="378"/>
      <c r="I24" s="378"/>
      <c r="J24" s="378"/>
      <c r="K24" s="378"/>
      <c r="L24" s="378"/>
    </row>
    <row r="25" spans="1:14">
      <c r="A25" s="380" t="s">
        <v>854</v>
      </c>
      <c r="B25" s="381"/>
      <c r="C25" s="382">
        <f>SUM(C26:C29)</f>
        <v>1784</v>
      </c>
      <c r="D25" s="383"/>
      <c r="E25" s="382">
        <f>SUM(E26:E29)</f>
        <v>857</v>
      </c>
      <c r="F25" s="383"/>
      <c r="G25" s="384">
        <f>SUM(G26:G29)</f>
        <v>3</v>
      </c>
      <c r="H25" s="384"/>
      <c r="I25" s="382">
        <f>SUM(I26:I29)</f>
        <v>0</v>
      </c>
      <c r="J25" s="383"/>
      <c r="K25" s="384">
        <f>SUM(K26:K29)</f>
        <v>2644</v>
      </c>
      <c r="L25" s="385"/>
      <c r="N25" s="115"/>
    </row>
    <row r="26" spans="1:14">
      <c r="A26" s="369" t="s">
        <v>127</v>
      </c>
      <c r="B26" s="386" t="s">
        <v>128</v>
      </c>
      <c r="C26" s="1232">
        <f>+[3]Consolidado!$B$128-+[3]Consolidado!$L$128</f>
        <v>683</v>
      </c>
      <c r="D26" s="387"/>
      <c r="E26" s="1231">
        <f>+[3]Consolidado!$B$223-+[3]Consolidado!$L$223</f>
        <v>381</v>
      </c>
      <c r="F26" s="387"/>
      <c r="G26" s="1231">
        <f>+[3]Consolidado!$B$318-+[3]Consolidado!$L$318</f>
        <v>3</v>
      </c>
      <c r="H26" s="388"/>
      <c r="I26" s="1231">
        <f>+[3]Consolidado!$B$413-+[3]Consolidado!$L$413</f>
        <v>0</v>
      </c>
      <c r="J26" s="387"/>
      <c r="K26" s="388">
        <f>SUM(C26:I26)</f>
        <v>1067</v>
      </c>
      <c r="L26" s="370"/>
    </row>
    <row r="27" spans="1:14">
      <c r="A27" s="389" t="s">
        <v>855</v>
      </c>
      <c r="B27" s="390" t="s">
        <v>856</v>
      </c>
      <c r="C27" s="1232">
        <f>+[3]Consolidado!$B$130+[3]Consolidado!$B$129-[3]Consolidado!$L$129-[3]Consolidado!$L$130</f>
        <v>1083</v>
      </c>
      <c r="D27" s="387"/>
      <c r="E27" s="1231">
        <f>+[3]Consolidado!$B$224+[3]Consolidado!$B$225-[3]Consolidado!$L$224-[3]Consolidado!$L$225</f>
        <v>471</v>
      </c>
      <c r="F27" s="387"/>
      <c r="G27" s="1231">
        <f>+[3]Consolidado!$B$319+[3]Consolidado!$B$320-[3]Consolidado!$L$319-[3]Consolidado!$L$320</f>
        <v>0</v>
      </c>
      <c r="H27" s="388"/>
      <c r="I27" s="1231">
        <f>+[3]Consolidado!$B$414+[3]Consolidado!$B$415-[3]Consolidado!$L$414-[3]Consolidado!$L$415</f>
        <v>0</v>
      </c>
      <c r="J27" s="387"/>
      <c r="K27" s="388">
        <f>SUM(C27:I27)</f>
        <v>1554</v>
      </c>
      <c r="L27" s="370"/>
    </row>
    <row r="28" spans="1:14">
      <c r="A28" s="369" t="s">
        <v>857</v>
      </c>
      <c r="B28" s="391" t="s">
        <v>858</v>
      </c>
      <c r="C28" s="1232">
        <f>+[3]Consolidado!$L$128</f>
        <v>2</v>
      </c>
      <c r="D28" s="387"/>
      <c r="E28" s="1231">
        <f>+[3]Consolidado!$L$223</f>
        <v>0</v>
      </c>
      <c r="F28" s="387"/>
      <c r="G28" s="1231">
        <f>+[3]Consolidado!$L$318</f>
        <v>0</v>
      </c>
      <c r="H28" s="388"/>
      <c r="I28" s="1231">
        <f>+[3]Consolidado!$L$413</f>
        <v>0</v>
      </c>
      <c r="J28" s="387"/>
      <c r="K28" s="388">
        <f>SUM(C28:I28)</f>
        <v>2</v>
      </c>
      <c r="L28" s="370"/>
    </row>
    <row r="29" spans="1:14">
      <c r="A29" s="389" t="s">
        <v>859</v>
      </c>
      <c r="B29" s="390" t="s">
        <v>856</v>
      </c>
      <c r="C29" s="1232">
        <f>+[3]Consolidado!$L$129+[3]Consolidado!$L$130</f>
        <v>16</v>
      </c>
      <c r="D29" s="392"/>
      <c r="E29" s="1232">
        <f>+[3]Consolidado!$L$224+[3]Consolidado!$L$225</f>
        <v>5</v>
      </c>
      <c r="F29" s="392"/>
      <c r="G29" s="1232">
        <f>+[3]Consolidado!$L$319+[3]Consolidado!$L$320</f>
        <v>0</v>
      </c>
      <c r="H29" s="393"/>
      <c r="I29" s="1232">
        <f>+[3]Consolidado!$L$414+[3]Consolidado!$L$415</f>
        <v>0</v>
      </c>
      <c r="J29" s="392"/>
      <c r="K29" s="393">
        <f>SUM(C29:I29)</f>
        <v>21</v>
      </c>
      <c r="L29" s="374"/>
    </row>
    <row r="30" spans="1:14">
      <c r="A30" s="380" t="s">
        <v>860</v>
      </c>
      <c r="B30" s="385"/>
      <c r="C30" s="1233">
        <f>SUM(C31:C32)</f>
        <v>1784</v>
      </c>
      <c r="D30" s="383"/>
      <c r="E30" s="384">
        <f>SUM(E31:E32)</f>
        <v>857</v>
      </c>
      <c r="F30" s="383"/>
      <c r="G30" s="382">
        <f>SUM(G31:G32)</f>
        <v>3</v>
      </c>
      <c r="H30" s="383"/>
      <c r="I30" s="384">
        <f>SUM(I31:I32)</f>
        <v>0</v>
      </c>
      <c r="J30" s="383"/>
      <c r="K30" s="384">
        <f>SUM(K31:K32)</f>
        <v>2644</v>
      </c>
      <c r="L30" s="385"/>
    </row>
    <row r="31" spans="1:14">
      <c r="A31" s="369" t="s">
        <v>861</v>
      </c>
      <c r="B31" s="370"/>
      <c r="C31" s="1231">
        <f>+[3]Consolidado!$F$127</f>
        <v>1614</v>
      </c>
      <c r="D31" s="387"/>
      <c r="E31" s="1231">
        <f>+[3]Consolidado!$F$222</f>
        <v>806</v>
      </c>
      <c r="F31" s="387"/>
      <c r="G31" s="1231">
        <f>+[3]Consolidado!$F$317</f>
        <v>3</v>
      </c>
      <c r="H31" s="387"/>
      <c r="I31" s="1231">
        <f>+[3]Consolidado!$F$412</f>
        <v>0</v>
      </c>
      <c r="J31" s="387"/>
      <c r="K31" s="388">
        <f>SUM(C31:I31)</f>
        <v>2423</v>
      </c>
      <c r="L31" s="370"/>
    </row>
    <row r="32" spans="1:14">
      <c r="A32" s="373" t="s">
        <v>862</v>
      </c>
      <c r="B32" s="374"/>
      <c r="C32" s="1231">
        <f>+[3]Consolidado!$D$127</f>
        <v>170</v>
      </c>
      <c r="D32" s="392"/>
      <c r="E32" s="1231">
        <f>+[3]Consolidado!$D$222</f>
        <v>51</v>
      </c>
      <c r="F32" s="392"/>
      <c r="G32" s="1231">
        <f>+[3]Consolidado!$D$317</f>
        <v>0</v>
      </c>
      <c r="H32" s="392"/>
      <c r="I32" s="1231">
        <f>+[3]Consolidado!$D$412</f>
        <v>0</v>
      </c>
      <c r="J32" s="392"/>
      <c r="K32" s="393">
        <f>SUM(C32:I32)</f>
        <v>221</v>
      </c>
      <c r="L32" s="374"/>
    </row>
    <row r="33" spans="1:12">
      <c r="A33" s="380" t="s">
        <v>863</v>
      </c>
      <c r="B33" s="385"/>
      <c r="C33" s="1234">
        <f>SUM(C34:C36)</f>
        <v>1784</v>
      </c>
      <c r="D33" s="384"/>
      <c r="E33" s="382">
        <f>SUM(E34:E36)</f>
        <v>857</v>
      </c>
      <c r="F33" s="383"/>
      <c r="G33" s="384">
        <f>SUM(G34:G36)</f>
        <v>3</v>
      </c>
      <c r="H33" s="384"/>
      <c r="I33" s="382">
        <f>SUM(I34:I36)</f>
        <v>0</v>
      </c>
      <c r="J33" s="383"/>
      <c r="K33" s="384">
        <f>SUM(K34:K36)</f>
        <v>2644</v>
      </c>
      <c r="L33" s="385"/>
    </row>
    <row r="34" spans="1:12">
      <c r="A34" s="369" t="s">
        <v>864</v>
      </c>
      <c r="B34" s="370"/>
      <c r="C34" s="1231">
        <f>+[3]Consolidado!$F$137</f>
        <v>1237</v>
      </c>
      <c r="D34" s="388"/>
      <c r="E34" s="1231">
        <f>+[3]Consolidado!$F$232</f>
        <v>507</v>
      </c>
      <c r="F34" s="387"/>
      <c r="G34" s="1231">
        <f>+[3]Consolidado!$F$327</f>
        <v>0</v>
      </c>
      <c r="H34" s="388"/>
      <c r="I34" s="1231">
        <f>+[3]Consolidado!$F$422</f>
        <v>0</v>
      </c>
      <c r="J34" s="387"/>
      <c r="K34" s="388">
        <f>SUM(C34:I34)</f>
        <v>1744</v>
      </c>
      <c r="L34" s="370"/>
    </row>
    <row r="35" spans="1:12">
      <c r="A35" s="369" t="s">
        <v>865</v>
      </c>
      <c r="B35" s="370"/>
      <c r="C35" s="1231">
        <f>+[3]Consolidado!$G$137</f>
        <v>547</v>
      </c>
      <c r="D35" s="388"/>
      <c r="E35" s="1231">
        <f>+[3]Consolidado!$G$232</f>
        <v>348</v>
      </c>
      <c r="F35" s="387"/>
      <c r="G35" s="1231">
        <f>+[3]Consolidado!$G$327</f>
        <v>3</v>
      </c>
      <c r="H35" s="388"/>
      <c r="I35" s="1231">
        <f>+[3]Consolidado!$G$422</f>
        <v>0</v>
      </c>
      <c r="J35" s="387"/>
      <c r="K35" s="388">
        <f>SUM(C35:I35)</f>
        <v>898</v>
      </c>
      <c r="L35" s="370"/>
    </row>
    <row r="36" spans="1:12">
      <c r="A36" s="394" t="s">
        <v>129</v>
      </c>
      <c r="B36" s="374"/>
      <c r="C36" s="1235">
        <f>+[3]Consolidado!$H$137</f>
        <v>0</v>
      </c>
      <c r="D36" s="393"/>
      <c r="E36" s="1235">
        <f>+[3]Consolidado!$H$232</f>
        <v>2</v>
      </c>
      <c r="F36" s="392"/>
      <c r="G36" s="1235">
        <f>+[3]Consolidado!$H$327</f>
        <v>0</v>
      </c>
      <c r="H36" s="393"/>
      <c r="I36" s="1235">
        <f>+[3]Consolidado!$H$422</f>
        <v>0</v>
      </c>
      <c r="J36" s="392"/>
      <c r="K36" s="393">
        <f>SUM(C36:I36)</f>
        <v>2</v>
      </c>
      <c r="L36" s="374"/>
    </row>
    <row r="37" spans="1:12">
      <c r="A37" s="369" t="s">
        <v>866</v>
      </c>
      <c r="B37" s="370"/>
      <c r="C37" s="1231">
        <f>SUM(C38:C40)</f>
        <v>1784</v>
      </c>
      <c r="D37" s="384"/>
      <c r="E37" s="382">
        <f>SUM(E38:E40)</f>
        <v>857</v>
      </c>
      <c r="F37" s="383"/>
      <c r="G37" s="384">
        <f>SUM(G38:G40)</f>
        <v>3</v>
      </c>
      <c r="H37" s="384"/>
      <c r="I37" s="382">
        <f>SUM(I38:I40)</f>
        <v>0</v>
      </c>
      <c r="J37" s="383"/>
      <c r="K37" s="388">
        <f>SUM(K38:K40)</f>
        <v>2644</v>
      </c>
      <c r="L37" s="370"/>
    </row>
    <row r="38" spans="1:12">
      <c r="A38" s="369" t="s">
        <v>867</v>
      </c>
      <c r="B38" s="370"/>
      <c r="C38" s="1231">
        <f>+[3]Consolidado!$B$128</f>
        <v>685</v>
      </c>
      <c r="D38" s="388"/>
      <c r="E38" s="1231">
        <f>+[3]Consolidado!$B$223</f>
        <v>381</v>
      </c>
      <c r="F38" s="387"/>
      <c r="G38" s="1231">
        <f>+[3]Consolidado!$B$318</f>
        <v>3</v>
      </c>
      <c r="H38" s="388"/>
      <c r="I38" s="1231">
        <f>+[3]Consolidado!$B$413</f>
        <v>0</v>
      </c>
      <c r="J38" s="387"/>
      <c r="K38" s="388">
        <f>SUM(C38:I38)</f>
        <v>1069</v>
      </c>
      <c r="L38" s="370"/>
    </row>
    <row r="39" spans="1:12">
      <c r="A39" s="369" t="s">
        <v>868</v>
      </c>
      <c r="B39" s="370"/>
      <c r="C39" s="1231">
        <f>+[3]Consolidado!$B$129</f>
        <v>15</v>
      </c>
      <c r="D39" s="388"/>
      <c r="E39" s="1231">
        <f>+[3]Consolidado!$B$224</f>
        <v>10</v>
      </c>
      <c r="F39" s="387"/>
      <c r="G39" s="1231">
        <f>+[3]Consolidado!$B$319</f>
        <v>0</v>
      </c>
      <c r="H39" s="388"/>
      <c r="I39" s="1231">
        <f>+[3]Consolidado!$B$414</f>
        <v>0</v>
      </c>
      <c r="J39" s="387"/>
      <c r="K39" s="388">
        <f>SUM(C39:I39)</f>
        <v>25</v>
      </c>
      <c r="L39" s="370"/>
    </row>
    <row r="40" spans="1:12">
      <c r="A40" s="373" t="s">
        <v>869</v>
      </c>
      <c r="B40" s="374"/>
      <c r="C40" s="1235">
        <f>+[3]Consolidado!$B$130</f>
        <v>1084</v>
      </c>
      <c r="D40" s="393"/>
      <c r="E40" s="1235">
        <f>+[3]Consolidado!$B$225</f>
        <v>466</v>
      </c>
      <c r="F40" s="392"/>
      <c r="G40" s="1235">
        <f>+[3]Consolidado!$B$320</f>
        <v>0</v>
      </c>
      <c r="H40" s="393"/>
      <c r="I40" s="1235">
        <f>+[3]Consolidado!$B$415</f>
        <v>0</v>
      </c>
      <c r="J40" s="392"/>
      <c r="K40" s="393">
        <f>SUM(C40:I40)</f>
        <v>1550</v>
      </c>
      <c r="L40" s="374"/>
    </row>
    <row r="41" spans="1:12">
      <c r="A41" s="378"/>
      <c r="B41" s="378"/>
      <c r="C41" s="378"/>
      <c r="D41" s="378"/>
      <c r="E41" s="378"/>
      <c r="F41" s="378"/>
      <c r="G41" s="378"/>
      <c r="H41" s="378"/>
      <c r="I41" s="378"/>
      <c r="J41" s="378"/>
      <c r="K41" s="378"/>
      <c r="L41" s="378"/>
    </row>
    <row r="42" spans="1:12">
      <c r="A42" s="378"/>
      <c r="B42" s="378"/>
      <c r="C42" s="378"/>
      <c r="D42" s="378"/>
      <c r="E42" s="378"/>
      <c r="F42" s="378"/>
      <c r="G42" s="378"/>
      <c r="H42" s="378"/>
      <c r="I42" s="378"/>
      <c r="J42" s="378"/>
      <c r="K42" s="378"/>
      <c r="L42" s="378"/>
    </row>
    <row r="43" spans="1:12">
      <c r="A43" s="379" t="s">
        <v>870</v>
      </c>
      <c r="B43" s="378"/>
      <c r="C43" s="378"/>
      <c r="D43" s="378"/>
      <c r="E43" s="378"/>
      <c r="F43" s="378"/>
      <c r="G43" s="378"/>
      <c r="H43" s="378"/>
      <c r="I43" s="378"/>
      <c r="J43" s="378"/>
      <c r="K43" s="378"/>
      <c r="L43" s="378"/>
    </row>
    <row r="44" spans="1:12">
      <c r="A44" s="378"/>
      <c r="B44" s="378"/>
      <c r="C44" s="378"/>
      <c r="D44" s="378"/>
      <c r="E44" s="378"/>
      <c r="F44" s="378"/>
      <c r="G44" s="378"/>
      <c r="H44" s="378"/>
      <c r="I44" s="378"/>
      <c r="J44" s="378"/>
      <c r="K44" s="378"/>
      <c r="L44" s="378"/>
    </row>
    <row r="45" spans="1:12">
      <c r="A45" s="395" t="s">
        <v>835</v>
      </c>
      <c r="B45" s="395"/>
      <c r="C45" s="396">
        <v>-15</v>
      </c>
      <c r="D45" s="396" t="s">
        <v>748</v>
      </c>
      <c r="E45" s="396" t="s">
        <v>749</v>
      </c>
      <c r="F45" s="396" t="s">
        <v>750</v>
      </c>
      <c r="G45" s="396" t="s">
        <v>751</v>
      </c>
      <c r="H45" s="396" t="s">
        <v>752</v>
      </c>
      <c r="I45" s="396" t="s">
        <v>753</v>
      </c>
      <c r="J45" s="396" t="s">
        <v>871</v>
      </c>
      <c r="K45" s="396" t="s">
        <v>517</v>
      </c>
      <c r="L45" s="378"/>
    </row>
    <row r="46" spans="1:12">
      <c r="A46" s="395" t="s">
        <v>872</v>
      </c>
      <c r="B46" s="395"/>
      <c r="C46" s="397">
        <f>+[3]Consolidado!C$102</f>
        <v>1</v>
      </c>
      <c r="D46" s="397">
        <f>+[3]Consolidado!D$102</f>
        <v>91</v>
      </c>
      <c r="E46" s="397">
        <f>+[3]Consolidado!E$102</f>
        <v>301</v>
      </c>
      <c r="F46" s="397">
        <f>+[3]Consolidado!F$102</f>
        <v>456</v>
      </c>
      <c r="G46" s="397">
        <f>+[3]Consolidado!G$102</f>
        <v>483</v>
      </c>
      <c r="H46" s="397">
        <f>+[3]Consolidado!H$102</f>
        <v>311</v>
      </c>
      <c r="I46" s="397">
        <f>+[3]Consolidado!I$102</f>
        <v>117</v>
      </c>
      <c r="J46" s="397">
        <f>+[3]Consolidado!J$102</f>
        <v>24</v>
      </c>
      <c r="K46" s="397">
        <f>SUM(C46:J46)</f>
        <v>1784</v>
      </c>
      <c r="L46" s="378"/>
    </row>
    <row r="47" spans="1:12">
      <c r="A47" s="395" t="s">
        <v>873</v>
      </c>
      <c r="B47" s="395"/>
      <c r="C47" s="397">
        <f>+[3]Consolidado!C$197</f>
        <v>1</v>
      </c>
      <c r="D47" s="397">
        <f>+[3]Consolidado!D$197</f>
        <v>60</v>
      </c>
      <c r="E47" s="397">
        <f>+[3]Consolidado!E$197</f>
        <v>179</v>
      </c>
      <c r="F47" s="397">
        <f>+[3]Consolidado!F$197</f>
        <v>265</v>
      </c>
      <c r="G47" s="397">
        <f>+[3]Consolidado!G$197</f>
        <v>205</v>
      </c>
      <c r="H47" s="397">
        <f>+[3]Consolidado!H$197</f>
        <v>107</v>
      </c>
      <c r="I47" s="397">
        <f>+[3]Consolidado!I$197</f>
        <v>39</v>
      </c>
      <c r="J47" s="397">
        <f>+[3]Consolidado!J$197</f>
        <v>1</v>
      </c>
      <c r="K47" s="397">
        <f>SUM(C47:J47)</f>
        <v>857</v>
      </c>
      <c r="L47" s="378"/>
    </row>
    <row r="48" spans="1:12">
      <c r="A48" s="395" t="s">
        <v>874</v>
      </c>
      <c r="B48" s="395"/>
      <c r="C48" s="397">
        <f>+[3]Consolidado!C$292</f>
        <v>0</v>
      </c>
      <c r="D48" s="397">
        <f>+[3]Consolidado!D$292</f>
        <v>0</v>
      </c>
      <c r="E48" s="397">
        <f>+[3]Consolidado!E$292</f>
        <v>0</v>
      </c>
      <c r="F48" s="397">
        <f>+[3]Consolidado!F$292</f>
        <v>2</v>
      </c>
      <c r="G48" s="397">
        <f>+[3]Consolidado!G$292</f>
        <v>1</v>
      </c>
      <c r="H48" s="397">
        <f>+[3]Consolidado!H$292</f>
        <v>0</v>
      </c>
      <c r="I48" s="397">
        <f>+[3]Consolidado!I$292</f>
        <v>0</v>
      </c>
      <c r="J48" s="397">
        <f>+[3]Consolidado!J$292</f>
        <v>0</v>
      </c>
      <c r="K48" s="397">
        <f>SUM(C48:J48)</f>
        <v>3</v>
      </c>
      <c r="L48" s="378"/>
    </row>
    <row r="49" spans="1:12">
      <c r="A49" s="395" t="s">
        <v>875</v>
      </c>
      <c r="B49" s="395"/>
      <c r="C49" s="397">
        <f>+[3]Consolidado!C$387</f>
        <v>0</v>
      </c>
      <c r="D49" s="397">
        <f>+[3]Consolidado!D$387</f>
        <v>0</v>
      </c>
      <c r="E49" s="397">
        <f>+[3]Consolidado!E$387</f>
        <v>0</v>
      </c>
      <c r="F49" s="397">
        <f>+[3]Consolidado!F$387</f>
        <v>0</v>
      </c>
      <c r="G49" s="397">
        <f>+[3]Consolidado!G$387</f>
        <v>0</v>
      </c>
      <c r="H49" s="397">
        <f>+[3]Consolidado!H$387</f>
        <v>0</v>
      </c>
      <c r="I49" s="397">
        <f>+[3]Consolidado!I$387</f>
        <v>0</v>
      </c>
      <c r="J49" s="397">
        <f>+[3]Consolidado!J$387</f>
        <v>0</v>
      </c>
      <c r="K49" s="397">
        <f>SUM(C49:J49)</f>
        <v>0</v>
      </c>
      <c r="L49" s="378"/>
    </row>
    <row r="50" spans="1:12">
      <c r="A50" s="395" t="s">
        <v>517</v>
      </c>
      <c r="B50" s="395"/>
      <c r="C50" s="396">
        <f>SUM(C46:C49)</f>
        <v>2</v>
      </c>
      <c r="D50" s="396">
        <f t="shared" ref="D50:K50" si="2">SUM(D46:D49)</f>
        <v>151</v>
      </c>
      <c r="E50" s="396">
        <f t="shared" si="2"/>
        <v>480</v>
      </c>
      <c r="F50" s="396">
        <f t="shared" si="2"/>
        <v>723</v>
      </c>
      <c r="G50" s="396">
        <f t="shared" si="2"/>
        <v>689</v>
      </c>
      <c r="H50" s="396">
        <f t="shared" si="2"/>
        <v>418</v>
      </c>
      <c r="I50" s="396">
        <f t="shared" si="2"/>
        <v>156</v>
      </c>
      <c r="J50" s="396">
        <f t="shared" si="2"/>
        <v>25</v>
      </c>
      <c r="K50" s="397">
        <f t="shared" si="2"/>
        <v>2644</v>
      </c>
      <c r="L50" s="378"/>
    </row>
    <row r="51" spans="1:12">
      <c r="A51" s="378"/>
      <c r="B51" s="378"/>
      <c r="C51" s="378"/>
      <c r="D51" s="378"/>
      <c r="E51" s="378"/>
      <c r="F51" s="378"/>
      <c r="G51" s="378"/>
      <c r="H51" s="378"/>
      <c r="I51" s="378"/>
      <c r="J51" s="378"/>
      <c r="K51" s="378"/>
      <c r="L51" s="378"/>
    </row>
    <row r="52" spans="1:12">
      <c r="A52" s="378"/>
      <c r="B52" s="378"/>
      <c r="C52" s="378"/>
      <c r="D52" s="378"/>
      <c r="E52" s="378"/>
      <c r="F52" s="378"/>
      <c r="G52" s="378"/>
      <c r="H52" s="378"/>
      <c r="I52" s="378"/>
      <c r="J52" s="378"/>
      <c r="K52" s="378"/>
      <c r="L52" s="378"/>
    </row>
    <row r="53" spans="1:12">
      <c r="A53" s="379" t="s">
        <v>876</v>
      </c>
      <c r="B53" s="378"/>
      <c r="C53" s="378"/>
      <c r="D53" s="378"/>
      <c r="E53" s="378"/>
      <c r="F53" s="378"/>
      <c r="G53" s="378"/>
      <c r="H53" s="378"/>
      <c r="I53" s="378"/>
      <c r="J53" s="378"/>
      <c r="K53" s="378"/>
      <c r="L53" s="378"/>
    </row>
    <row r="54" spans="1:12">
      <c r="A54" s="378"/>
      <c r="B54" s="378"/>
      <c r="C54" s="378"/>
      <c r="D54" s="378"/>
      <c r="E54" s="378"/>
      <c r="F54" s="378"/>
      <c r="G54" s="378"/>
      <c r="H54" s="378"/>
      <c r="I54" s="378"/>
      <c r="J54" s="378"/>
      <c r="K54" s="378"/>
      <c r="L54" s="378"/>
    </row>
    <row r="55" spans="1:12">
      <c r="A55" s="395" t="s">
        <v>835</v>
      </c>
      <c r="B55" s="395"/>
      <c r="C55" s="396">
        <v>-15</v>
      </c>
      <c r="D55" s="396" t="s">
        <v>748</v>
      </c>
      <c r="E55" s="396" t="s">
        <v>749</v>
      </c>
      <c r="F55" s="396" t="s">
        <v>750</v>
      </c>
      <c r="G55" s="396" t="s">
        <v>751</v>
      </c>
      <c r="H55" s="396" t="s">
        <v>752</v>
      </c>
      <c r="I55" s="396" t="s">
        <v>753</v>
      </c>
      <c r="J55" s="396" t="s">
        <v>871</v>
      </c>
      <c r="K55" s="396" t="s">
        <v>517</v>
      </c>
      <c r="L55" s="378"/>
    </row>
    <row r="56" spans="1:12">
      <c r="A56" s="395" t="s">
        <v>877</v>
      </c>
      <c r="B56" s="395"/>
      <c r="C56" s="397">
        <f>+[3]Consolidado!C$103</f>
        <v>0</v>
      </c>
      <c r="D56" s="397">
        <f>+[3]Consolidado!D$103</f>
        <v>3</v>
      </c>
      <c r="E56" s="397">
        <f>+[3]Consolidado!E$103</f>
        <v>8</v>
      </c>
      <c r="F56" s="397">
        <f>+[3]Consolidado!F$103</f>
        <v>14</v>
      </c>
      <c r="G56" s="397">
        <f>+[3]Consolidado!G$103</f>
        <v>15</v>
      </c>
      <c r="H56" s="397">
        <f>+[3]Consolidado!H$103</f>
        <v>7</v>
      </c>
      <c r="I56" s="397">
        <f>+[3]Consolidado!I$103</f>
        <v>3</v>
      </c>
      <c r="J56" s="397">
        <f>+[3]Consolidado!J$103</f>
        <v>1</v>
      </c>
      <c r="K56" s="396">
        <f>SUM(C56:J56)</f>
        <v>51</v>
      </c>
      <c r="L56" s="378"/>
    </row>
    <row r="57" spans="1:12">
      <c r="A57" s="395" t="s">
        <v>873</v>
      </c>
      <c r="B57" s="395"/>
      <c r="C57" s="397">
        <f>+[3]Consolidado!C$198</f>
        <v>1</v>
      </c>
      <c r="D57" s="397">
        <f>+[3]Consolidado!D$198</f>
        <v>5</v>
      </c>
      <c r="E57" s="397">
        <f>+[3]Consolidado!E$198</f>
        <v>17</v>
      </c>
      <c r="F57" s="397">
        <f>+[3]Consolidado!F$198</f>
        <v>12</v>
      </c>
      <c r="G57" s="397">
        <f>+[3]Consolidado!G$198</f>
        <v>22</v>
      </c>
      <c r="H57" s="397">
        <f>+[3]Consolidado!H$198</f>
        <v>25</v>
      </c>
      <c r="I57" s="397">
        <f>+[3]Consolidado!I$198</f>
        <v>7</v>
      </c>
      <c r="J57" s="397">
        <f>+[3]Consolidado!J$198</f>
        <v>3</v>
      </c>
      <c r="K57" s="396">
        <f>SUM(C57:J57)</f>
        <v>92</v>
      </c>
      <c r="L57" s="378"/>
    </row>
    <row r="58" spans="1:12">
      <c r="A58" s="395" t="s">
        <v>874</v>
      </c>
      <c r="B58" s="395"/>
      <c r="C58" s="397">
        <f>+[3]Consolidado!C$293</f>
        <v>0</v>
      </c>
      <c r="D58" s="397">
        <f>+[3]Consolidado!D$293</f>
        <v>0</v>
      </c>
      <c r="E58" s="397">
        <f>+[3]Consolidado!E$293</f>
        <v>0</v>
      </c>
      <c r="F58" s="397">
        <f>+[3]Consolidado!F$293</f>
        <v>1</v>
      </c>
      <c r="G58" s="397">
        <f>+[3]Consolidado!G$293</f>
        <v>0</v>
      </c>
      <c r="H58" s="397">
        <f>+[3]Consolidado!H$293</f>
        <v>0</v>
      </c>
      <c r="I58" s="397">
        <f>+[3]Consolidado!I$293</f>
        <v>0</v>
      </c>
      <c r="J58" s="397">
        <f>+[3]Consolidado!J$293</f>
        <v>0</v>
      </c>
      <c r="K58" s="396">
        <f>SUM(C58:J58)</f>
        <v>1</v>
      </c>
      <c r="L58" s="378"/>
    </row>
    <row r="59" spans="1:12">
      <c r="A59" s="398" t="s">
        <v>875</v>
      </c>
      <c r="B59" s="398"/>
      <c r="C59" s="397">
        <f>+[3]Consolidado!C$388</f>
        <v>0</v>
      </c>
      <c r="D59" s="397">
        <f>+[3]Consolidado!D$388</f>
        <v>0</v>
      </c>
      <c r="E59" s="397">
        <f>+[3]Consolidado!E$388</f>
        <v>0</v>
      </c>
      <c r="F59" s="397">
        <f>+[3]Consolidado!F$388</f>
        <v>0</v>
      </c>
      <c r="G59" s="397">
        <f>+[3]Consolidado!G$388</f>
        <v>0</v>
      </c>
      <c r="H59" s="397">
        <f>+[3]Consolidado!H$388</f>
        <v>0</v>
      </c>
      <c r="I59" s="397">
        <f>+[3]Consolidado!I$388</f>
        <v>0</v>
      </c>
      <c r="J59" s="397">
        <f>+[3]Consolidado!J$388</f>
        <v>0</v>
      </c>
      <c r="K59" s="396">
        <f>SUM(C59:J59)</f>
        <v>0</v>
      </c>
      <c r="L59" s="378"/>
    </row>
    <row r="60" spans="1:12">
      <c r="A60" s="399" t="s">
        <v>517</v>
      </c>
      <c r="B60" s="400"/>
      <c r="C60" s="396">
        <f>SUM(C56:C59)</f>
        <v>1</v>
      </c>
      <c r="D60" s="396">
        <f t="shared" ref="D60:K60" si="3">SUM(D56:D59)</f>
        <v>8</v>
      </c>
      <c r="E60" s="396">
        <f t="shared" si="3"/>
        <v>25</v>
      </c>
      <c r="F60" s="396">
        <f t="shared" si="3"/>
        <v>27</v>
      </c>
      <c r="G60" s="396">
        <f t="shared" si="3"/>
        <v>37</v>
      </c>
      <c r="H60" s="396">
        <f t="shared" si="3"/>
        <v>32</v>
      </c>
      <c r="I60" s="396">
        <f t="shared" si="3"/>
        <v>10</v>
      </c>
      <c r="J60" s="396">
        <f t="shared" si="3"/>
        <v>4</v>
      </c>
      <c r="K60" s="396">
        <f t="shared" si="3"/>
        <v>144</v>
      </c>
      <c r="L60" s="378"/>
    </row>
    <row r="61" spans="1:12">
      <c r="A61" s="378"/>
      <c r="B61" s="378"/>
      <c r="C61" s="378"/>
      <c r="D61" s="378"/>
      <c r="E61" s="378"/>
      <c r="F61" s="378"/>
      <c r="G61" s="378"/>
      <c r="H61" s="378"/>
      <c r="I61" s="378"/>
      <c r="J61" s="378"/>
      <c r="K61" s="378"/>
      <c r="L61" s="378"/>
    </row>
    <row r="62" spans="1:12">
      <c r="A62" s="378"/>
      <c r="B62" s="378"/>
      <c r="C62" s="378"/>
      <c r="D62" s="378"/>
      <c r="E62" s="378"/>
      <c r="F62" s="378"/>
      <c r="G62" s="378"/>
      <c r="H62" s="378"/>
      <c r="I62" s="378"/>
      <c r="J62" s="378"/>
      <c r="K62" s="378"/>
      <c r="L62" s="378"/>
    </row>
    <row r="63" spans="1:12">
      <c r="A63" s="378"/>
      <c r="B63" s="378"/>
      <c r="C63" s="378"/>
      <c r="D63" s="378"/>
      <c r="E63" s="378"/>
      <c r="F63" s="378"/>
      <c r="G63" s="378"/>
      <c r="H63" s="378"/>
      <c r="I63" s="378"/>
      <c r="J63" s="378"/>
      <c r="K63" s="378"/>
      <c r="L63" s="378"/>
    </row>
    <row r="64" spans="1:12">
      <c r="A64" s="378"/>
      <c r="B64" s="378"/>
      <c r="C64" s="378"/>
      <c r="D64" s="378"/>
      <c r="E64" s="378"/>
      <c r="F64" s="378"/>
      <c r="G64" s="378"/>
      <c r="H64" s="378"/>
      <c r="I64" s="378"/>
      <c r="J64" s="378"/>
      <c r="K64" s="378"/>
      <c r="L64" s="378"/>
    </row>
    <row r="65" spans="1:12">
      <c r="A65" s="378"/>
      <c r="B65" s="378"/>
      <c r="C65" s="378"/>
      <c r="D65" s="378"/>
      <c r="E65" s="378"/>
      <c r="F65" s="378"/>
      <c r="G65" s="378"/>
      <c r="H65" s="378"/>
      <c r="I65" s="378"/>
      <c r="J65" s="378"/>
      <c r="K65" s="378"/>
      <c r="L65" s="378"/>
    </row>
    <row r="66" spans="1:12">
      <c r="A66" s="378"/>
      <c r="B66" s="378"/>
      <c r="C66" s="378"/>
      <c r="D66" s="378"/>
      <c r="E66" s="378"/>
      <c r="F66" s="378"/>
      <c r="G66" s="378"/>
      <c r="H66" s="378"/>
      <c r="I66" s="378"/>
      <c r="J66" s="378"/>
      <c r="K66" s="378"/>
      <c r="L66" s="378"/>
    </row>
    <row r="67" spans="1:12">
      <c r="A67" s="378"/>
      <c r="B67" s="378"/>
      <c r="C67" s="378"/>
      <c r="D67" s="378"/>
      <c r="E67" s="378"/>
      <c r="F67" s="378"/>
      <c r="G67" s="378"/>
      <c r="H67" s="378"/>
      <c r="I67" s="378"/>
      <c r="J67" s="378"/>
      <c r="K67" s="378"/>
      <c r="L67" s="378"/>
    </row>
    <row r="68" spans="1:12">
      <c r="A68" s="378"/>
      <c r="B68" s="378"/>
      <c r="C68" s="378"/>
      <c r="D68" s="378"/>
      <c r="E68" s="378"/>
      <c r="F68" s="378"/>
      <c r="G68" s="378"/>
      <c r="H68" s="378"/>
      <c r="I68" s="378"/>
      <c r="J68" s="378"/>
      <c r="K68" s="378"/>
      <c r="L68" s="378"/>
    </row>
    <row r="69" spans="1:12">
      <c r="A69" s="378"/>
      <c r="B69" s="378"/>
      <c r="C69" s="378"/>
      <c r="D69" s="378"/>
      <c r="E69" s="378"/>
      <c r="F69" s="378"/>
      <c r="G69" s="378"/>
      <c r="H69" s="378"/>
      <c r="I69" s="378"/>
      <c r="J69" s="378"/>
      <c r="K69" s="378"/>
      <c r="L69" s="378"/>
    </row>
    <row r="70" spans="1:12">
      <c r="A70" s="378"/>
      <c r="B70" s="378"/>
      <c r="C70" s="378"/>
      <c r="D70" s="378"/>
      <c r="E70" s="378"/>
      <c r="F70" s="378"/>
      <c r="G70" s="378"/>
      <c r="H70" s="378"/>
      <c r="I70" s="378"/>
      <c r="J70" s="378"/>
      <c r="K70" s="378"/>
      <c r="L70" s="378"/>
    </row>
    <row r="71" spans="1:12">
      <c r="A71" s="378"/>
      <c r="B71" s="378"/>
      <c r="C71" s="378"/>
      <c r="D71" s="378"/>
      <c r="E71" s="378"/>
      <c r="F71" s="378"/>
      <c r="G71" s="378"/>
      <c r="H71" s="378"/>
      <c r="I71" s="378"/>
      <c r="J71" s="378"/>
      <c r="K71" s="378"/>
      <c r="L71" s="378"/>
    </row>
    <row r="72" spans="1:12">
      <c r="A72" s="378"/>
      <c r="B72" s="378"/>
      <c r="C72" s="378"/>
      <c r="D72" s="378"/>
      <c r="E72" s="378"/>
      <c r="F72" s="378"/>
      <c r="G72" s="378"/>
      <c r="H72" s="378"/>
      <c r="I72" s="378"/>
      <c r="J72" s="378"/>
      <c r="K72" s="378"/>
      <c r="L72" s="378"/>
    </row>
    <row r="73" spans="1:12">
      <c r="A73" s="378"/>
      <c r="B73" s="1616" t="s">
        <v>878</v>
      </c>
      <c r="C73" s="1616"/>
      <c r="D73" s="1616"/>
      <c r="E73" s="1616"/>
      <c r="F73" s="1616"/>
      <c r="G73" s="1616"/>
      <c r="H73" s="1616"/>
      <c r="I73" s="1616"/>
      <c r="J73" s="1616"/>
      <c r="K73" s="1616"/>
      <c r="L73" s="378"/>
    </row>
    <row r="74" spans="1:12">
      <c r="A74" s="378"/>
      <c r="B74" s="1616" t="s">
        <v>879</v>
      </c>
      <c r="C74" s="1616"/>
      <c r="D74" s="1616"/>
      <c r="E74" s="1616"/>
      <c r="F74" s="1616"/>
      <c r="G74" s="1616"/>
      <c r="H74" s="1616"/>
      <c r="I74" s="1616"/>
      <c r="J74" s="1616"/>
      <c r="K74" s="1616"/>
      <c r="L74" s="378"/>
    </row>
    <row r="75" spans="1:12">
      <c r="A75" s="378"/>
      <c r="B75" s="1616" t="s">
        <v>1646</v>
      </c>
      <c r="C75" s="1616"/>
      <c r="D75" s="1616"/>
      <c r="E75" s="1616"/>
      <c r="F75" s="1616"/>
      <c r="G75" s="1616"/>
      <c r="H75" s="1616"/>
      <c r="I75" s="1616"/>
      <c r="J75" s="1616"/>
      <c r="K75" s="1616"/>
      <c r="L75" s="378"/>
    </row>
    <row r="76" spans="1:12">
      <c r="A76" s="378"/>
      <c r="B76" s="401"/>
      <c r="C76" s="401"/>
      <c r="D76" s="401"/>
      <c r="E76" s="401"/>
      <c r="F76" s="401"/>
      <c r="G76" s="401"/>
      <c r="H76" s="401"/>
      <c r="I76" s="401"/>
      <c r="J76" s="401"/>
      <c r="K76" s="401"/>
      <c r="L76" s="378"/>
    </row>
    <row r="77" spans="1:12">
      <c r="A77" s="378"/>
      <c r="B77" s="378"/>
      <c r="C77" s="378"/>
      <c r="D77" s="378"/>
      <c r="E77" s="378"/>
      <c r="F77" s="378"/>
      <c r="G77" s="378"/>
      <c r="H77" s="378"/>
      <c r="I77" s="378"/>
      <c r="J77" s="378"/>
      <c r="K77" s="378"/>
      <c r="L77" s="378"/>
    </row>
    <row r="78" spans="1:12">
      <c r="A78" s="378"/>
      <c r="B78" s="378"/>
      <c r="C78" s="378"/>
      <c r="D78" s="378"/>
      <c r="E78" s="378"/>
      <c r="F78" s="378"/>
      <c r="G78" s="378"/>
      <c r="H78" s="378"/>
      <c r="I78" s="378"/>
      <c r="J78" s="378"/>
      <c r="K78" s="378"/>
      <c r="L78" s="378"/>
    </row>
    <row r="79" spans="1:12">
      <c r="A79" s="378"/>
      <c r="B79" s="378"/>
      <c r="C79" s="378"/>
      <c r="D79" s="378"/>
      <c r="E79" s="378"/>
      <c r="F79" s="378"/>
      <c r="G79" s="378"/>
      <c r="H79" s="378"/>
      <c r="I79" s="378"/>
      <c r="J79" s="378"/>
      <c r="K79" s="378"/>
      <c r="L79" s="378"/>
    </row>
    <row r="80" spans="1:12">
      <c r="A80" s="378"/>
      <c r="B80" s="379" t="s">
        <v>880</v>
      </c>
      <c r="C80" s="378"/>
      <c r="D80" s="378"/>
      <c r="E80" s="378"/>
      <c r="F80" s="378"/>
      <c r="G80" s="378"/>
      <c r="H80" s="378"/>
      <c r="I80" s="378"/>
      <c r="J80" s="378"/>
      <c r="K80" s="378"/>
      <c r="L80" s="378"/>
    </row>
    <row r="81" spans="1:12">
      <c r="A81" s="378"/>
      <c r="B81" s="378"/>
      <c r="C81" s="378"/>
      <c r="D81" s="378"/>
      <c r="E81" s="378"/>
      <c r="F81" s="378"/>
      <c r="G81" s="378"/>
      <c r="H81" s="378"/>
      <c r="I81" s="378"/>
      <c r="J81" s="378"/>
      <c r="K81" s="378"/>
      <c r="L81" s="378"/>
    </row>
    <row r="82" spans="1:12">
      <c r="A82" s="378"/>
      <c r="B82" s="396" t="s">
        <v>640</v>
      </c>
      <c r="C82" s="402">
        <v>-15</v>
      </c>
      <c r="D82" s="396" t="s">
        <v>748</v>
      </c>
      <c r="E82" s="396" t="s">
        <v>749</v>
      </c>
      <c r="F82" s="396" t="s">
        <v>750</v>
      </c>
      <c r="G82" s="396" t="s">
        <v>751</v>
      </c>
      <c r="H82" s="396" t="s">
        <v>752</v>
      </c>
      <c r="I82" s="396" t="s">
        <v>753</v>
      </c>
      <c r="J82" s="396" t="s">
        <v>871</v>
      </c>
      <c r="K82" s="396" t="s">
        <v>517</v>
      </c>
      <c r="L82" s="378"/>
    </row>
    <row r="83" spans="1:12">
      <c r="A83" s="378"/>
      <c r="B83" s="403">
        <v>2015</v>
      </c>
      <c r="C83" s="404">
        <v>0.63325991189427311</v>
      </c>
      <c r="D83" s="404">
        <v>13.518722466960353</v>
      </c>
      <c r="E83" s="404">
        <v>25.908590308370044</v>
      </c>
      <c r="F83" s="404">
        <v>24.972466960352424</v>
      </c>
      <c r="G83" s="404">
        <v>21.255506607929515</v>
      </c>
      <c r="H83" s="404">
        <v>10.572687224669604</v>
      </c>
      <c r="I83" s="404">
        <v>2.9735682819383258</v>
      </c>
      <c r="J83" s="404">
        <v>0.16519823788546256</v>
      </c>
      <c r="K83" s="1042">
        <v>100.00000000000001</v>
      </c>
      <c r="L83" s="378"/>
    </row>
    <row r="84" spans="1:12">
      <c r="A84" s="378"/>
      <c r="B84" s="403">
        <v>2016</v>
      </c>
      <c r="C84" s="404">
        <v>0.26962252846015577</v>
      </c>
      <c r="D84" s="404">
        <v>11.503894547633314</v>
      </c>
      <c r="E84" s="404">
        <v>23.397243858597964</v>
      </c>
      <c r="F84" s="404">
        <v>27.801078490113838</v>
      </c>
      <c r="G84" s="404">
        <v>22.228879568603954</v>
      </c>
      <c r="H84" s="404">
        <v>11.054523666866386</v>
      </c>
      <c r="I84" s="404">
        <v>3.6249251048532058</v>
      </c>
      <c r="J84" s="404">
        <v>0.11983223487118035</v>
      </c>
      <c r="K84" s="405">
        <v>100.00000000000001</v>
      </c>
      <c r="L84" s="378"/>
    </row>
    <row r="85" spans="1:12">
      <c r="A85" s="378"/>
      <c r="B85" s="403">
        <v>2017</v>
      </c>
      <c r="C85" s="404">
        <v>0.29722589167767499</v>
      </c>
      <c r="D85" s="404">
        <v>8.7846763540290631</v>
      </c>
      <c r="E85" s="404">
        <v>23.414795244385733</v>
      </c>
      <c r="F85" s="404">
        <v>29.491413474240424</v>
      </c>
      <c r="G85" s="404">
        <v>21.664464993394979</v>
      </c>
      <c r="H85" s="404">
        <v>13.276089828269486</v>
      </c>
      <c r="I85" s="404">
        <v>2.7741083223249667</v>
      </c>
      <c r="J85" s="404">
        <v>0.29722589167767499</v>
      </c>
      <c r="K85" s="405">
        <v>100.00000000000001</v>
      </c>
      <c r="L85" s="378"/>
    </row>
    <row r="86" spans="1:12">
      <c r="A86" s="378"/>
      <c r="B86" s="403">
        <v>2018</v>
      </c>
      <c r="C86" s="1557">
        <v>0.15878056525881232</v>
      </c>
      <c r="D86" s="1557">
        <v>7.780247697681804</v>
      </c>
      <c r="E86" s="1557">
        <v>22.610352492854872</v>
      </c>
      <c r="F86" s="1557">
        <v>29.977770720863766</v>
      </c>
      <c r="G86" s="1557">
        <v>23.658304223563036</v>
      </c>
      <c r="H86" s="1557">
        <v>12.099079072721498</v>
      </c>
      <c r="I86" s="1557">
        <v>3.3979040965385834</v>
      </c>
      <c r="J86" s="1557">
        <v>0.31756113051762463</v>
      </c>
      <c r="K86" s="1558">
        <v>99.999999999999986</v>
      </c>
      <c r="L86" s="378"/>
    </row>
    <row r="87" spans="1:12">
      <c r="A87" s="378"/>
      <c r="B87" s="403">
        <v>2019</v>
      </c>
      <c r="C87" s="404">
        <v>0.23964395754878468</v>
      </c>
      <c r="D87" s="404">
        <v>7.2920232796987339</v>
      </c>
      <c r="E87" s="404">
        <v>20.061622731941117</v>
      </c>
      <c r="F87" s="404">
        <v>31.598767545361177</v>
      </c>
      <c r="G87" s="404">
        <v>23.416638137624101</v>
      </c>
      <c r="H87" s="404">
        <v>13.762410133515921</v>
      </c>
      <c r="I87" s="404">
        <v>3.4234851078397806</v>
      </c>
      <c r="J87" s="404">
        <v>0.20540910647038688</v>
      </c>
      <c r="K87" s="405">
        <v>100.00000000000001</v>
      </c>
      <c r="L87" s="378"/>
    </row>
    <row r="88" spans="1:12">
      <c r="A88" s="378"/>
      <c r="B88" s="406">
        <v>2020</v>
      </c>
      <c r="C88" s="407">
        <f t="shared" ref="C88:J88" si="4">+C50/$K50*100</f>
        <v>7.564296520423601E-2</v>
      </c>
      <c r="D88" s="407">
        <f t="shared" si="4"/>
        <v>5.7110438729198183</v>
      </c>
      <c r="E88" s="407">
        <f t="shared" si="4"/>
        <v>18.154311649016641</v>
      </c>
      <c r="F88" s="407">
        <f t="shared" si="4"/>
        <v>27.344931921331316</v>
      </c>
      <c r="G88" s="407">
        <f t="shared" si="4"/>
        <v>26.059001512859304</v>
      </c>
      <c r="H88" s="407">
        <f t="shared" si="4"/>
        <v>15.809379727685325</v>
      </c>
      <c r="I88" s="407">
        <f t="shared" si="4"/>
        <v>5.9001512859304084</v>
      </c>
      <c r="J88" s="407">
        <f t="shared" si="4"/>
        <v>0.9455370650529501</v>
      </c>
      <c r="K88" s="367">
        <f>SUM(C88:J88)</f>
        <v>100</v>
      </c>
      <c r="L88" s="378"/>
    </row>
    <row r="89" spans="1:12">
      <c r="A89" s="378"/>
      <c r="B89" s="378"/>
      <c r="C89" s="378"/>
      <c r="D89" s="378"/>
      <c r="E89" s="378"/>
      <c r="F89" s="378"/>
      <c r="G89" s="378"/>
      <c r="H89" s="378"/>
      <c r="I89" s="378"/>
      <c r="J89" s="378"/>
      <c r="K89" s="378"/>
      <c r="L89" s="378"/>
    </row>
    <row r="90" spans="1:12">
      <c r="A90" s="378"/>
      <c r="B90" s="378"/>
      <c r="C90" s="378"/>
      <c r="D90" s="378"/>
      <c r="E90" s="378"/>
      <c r="F90" s="378"/>
      <c r="G90" s="378"/>
      <c r="H90" s="378"/>
      <c r="I90" s="378"/>
      <c r="J90" s="378"/>
      <c r="K90" s="378"/>
      <c r="L90" s="378"/>
    </row>
    <row r="91" spans="1:12">
      <c r="A91" s="378"/>
      <c r="B91" s="379" t="s">
        <v>881</v>
      </c>
      <c r="C91" s="378"/>
      <c r="D91" s="378"/>
      <c r="E91" s="378"/>
      <c r="F91" s="378"/>
      <c r="G91" s="378"/>
      <c r="H91" s="378"/>
      <c r="I91" s="378"/>
      <c r="J91" s="378"/>
      <c r="K91" s="378"/>
      <c r="L91" s="378"/>
    </row>
    <row r="92" spans="1:12">
      <c r="A92" s="378"/>
      <c r="B92" s="378"/>
      <c r="C92" s="378"/>
      <c r="D92" s="378"/>
      <c r="E92" s="378"/>
      <c r="F92" s="378"/>
      <c r="G92" s="378"/>
      <c r="H92" s="378"/>
      <c r="I92" s="378"/>
      <c r="J92" s="378"/>
      <c r="K92" s="378"/>
      <c r="L92" s="378"/>
    </row>
    <row r="93" spans="1:12">
      <c r="A93" s="378"/>
      <c r="B93" s="396" t="s">
        <v>640</v>
      </c>
      <c r="C93" s="396">
        <v>-15</v>
      </c>
      <c r="D93" s="396" t="s">
        <v>748</v>
      </c>
      <c r="E93" s="396" t="s">
        <v>749</v>
      </c>
      <c r="F93" s="396" t="s">
        <v>750</v>
      </c>
      <c r="G93" s="396" t="s">
        <v>751</v>
      </c>
      <c r="H93" s="396" t="s">
        <v>752</v>
      </c>
      <c r="I93" s="396" t="s">
        <v>753</v>
      </c>
      <c r="J93" s="396" t="s">
        <v>871</v>
      </c>
      <c r="K93" s="396" t="s">
        <v>517</v>
      </c>
      <c r="L93" s="378"/>
    </row>
    <row r="94" spans="1:12">
      <c r="A94" s="378"/>
      <c r="B94" s="403">
        <f t="shared" ref="B94:B99" si="5">+B83</f>
        <v>2015</v>
      </c>
      <c r="C94" s="404">
        <v>0.28901734104046239</v>
      </c>
      <c r="D94" s="404">
        <v>9.2485549132947966</v>
      </c>
      <c r="E94" s="404">
        <v>20.23121387283237</v>
      </c>
      <c r="F94" s="404">
        <v>22.254335260115607</v>
      </c>
      <c r="G94" s="404">
        <v>23.410404624277454</v>
      </c>
      <c r="H94" s="404">
        <v>14.450867052023122</v>
      </c>
      <c r="I94" s="404">
        <v>8.6705202312138727</v>
      </c>
      <c r="J94" s="404">
        <v>1.4450867052023122</v>
      </c>
      <c r="K94" s="1042">
        <v>100</v>
      </c>
      <c r="L94" s="378"/>
    </row>
    <row r="95" spans="1:12">
      <c r="A95" s="378"/>
      <c r="B95" s="403">
        <f t="shared" si="5"/>
        <v>2016</v>
      </c>
      <c r="C95" s="404">
        <v>0.5988023952095809</v>
      </c>
      <c r="D95" s="404">
        <v>6.88622754491018</v>
      </c>
      <c r="E95" s="404">
        <v>20.958083832335326</v>
      </c>
      <c r="F95" s="404">
        <v>24.850299401197603</v>
      </c>
      <c r="G95" s="404">
        <v>20.059880239520957</v>
      </c>
      <c r="H95" s="404">
        <v>15.269461077844312</v>
      </c>
      <c r="I95" s="404">
        <v>10.179640718562874</v>
      </c>
      <c r="J95" s="404">
        <v>1.1976047904191618</v>
      </c>
      <c r="K95" s="405">
        <v>100</v>
      </c>
      <c r="L95" s="378"/>
    </row>
    <row r="96" spans="1:12">
      <c r="A96" s="378"/>
      <c r="B96" s="403">
        <f t="shared" si="5"/>
        <v>2017</v>
      </c>
      <c r="C96" s="404">
        <v>0.29722589167767499</v>
      </c>
      <c r="D96" s="404">
        <v>8.7846763540290631</v>
      </c>
      <c r="E96" s="404">
        <v>23.414795244385733</v>
      </c>
      <c r="F96" s="404">
        <v>29.491413474240424</v>
      </c>
      <c r="G96" s="404">
        <v>21.664464993394979</v>
      </c>
      <c r="H96" s="404">
        <v>13.276089828269486</v>
      </c>
      <c r="I96" s="404">
        <v>2.7741083223249667</v>
      </c>
      <c r="J96" s="404">
        <v>0.29722589167767499</v>
      </c>
      <c r="K96" s="405">
        <v>99.999999999999986</v>
      </c>
      <c r="L96" s="378"/>
    </row>
    <row r="97" spans="1:12">
      <c r="A97" s="378"/>
      <c r="B97" s="403">
        <f t="shared" si="5"/>
        <v>2018</v>
      </c>
      <c r="C97" s="1557">
        <v>0</v>
      </c>
      <c r="D97" s="1557">
        <v>7.2289156626506017</v>
      </c>
      <c r="E97" s="1557">
        <v>20.080321285140563</v>
      </c>
      <c r="F97" s="1557">
        <v>28.112449799196789</v>
      </c>
      <c r="G97" s="1557">
        <v>19.678714859437751</v>
      </c>
      <c r="H97" s="1557">
        <v>17.269076305220885</v>
      </c>
      <c r="I97" s="1557">
        <v>7.2289156626506017</v>
      </c>
      <c r="J97" s="1557">
        <v>0.40160642570281119</v>
      </c>
      <c r="K97" s="1558">
        <v>100</v>
      </c>
      <c r="L97" s="378"/>
    </row>
    <row r="98" spans="1:12">
      <c r="A98" s="378"/>
      <c r="B98" s="403">
        <f t="shared" si="5"/>
        <v>2019</v>
      </c>
      <c r="C98" s="1557">
        <v>1.6260162601626018</v>
      </c>
      <c r="D98" s="1557">
        <v>5.6910569105691051</v>
      </c>
      <c r="E98" s="1557">
        <v>16.260162601626014</v>
      </c>
      <c r="F98" s="1557">
        <v>26.016260162601629</v>
      </c>
      <c r="G98" s="1557">
        <v>25.203252032520325</v>
      </c>
      <c r="H98" s="1557">
        <v>15.447154471544716</v>
      </c>
      <c r="I98" s="1557">
        <v>8.9430894308943092</v>
      </c>
      <c r="J98" s="1557">
        <v>0.81300813008130091</v>
      </c>
      <c r="K98" s="1558">
        <v>100</v>
      </c>
      <c r="L98" s="378"/>
    </row>
    <row r="99" spans="1:12">
      <c r="A99" s="378"/>
      <c r="B99" s="406">
        <f t="shared" si="5"/>
        <v>2020</v>
      </c>
      <c r="C99" s="407">
        <f t="shared" ref="C99:J99" si="6">+C60/$K60*100</f>
        <v>0.69444444444444442</v>
      </c>
      <c r="D99" s="407">
        <f t="shared" si="6"/>
        <v>5.5555555555555554</v>
      </c>
      <c r="E99" s="407">
        <f t="shared" si="6"/>
        <v>17.361111111111111</v>
      </c>
      <c r="F99" s="407">
        <f t="shared" si="6"/>
        <v>18.75</v>
      </c>
      <c r="G99" s="407">
        <f t="shared" si="6"/>
        <v>25.694444444444443</v>
      </c>
      <c r="H99" s="407">
        <f t="shared" si="6"/>
        <v>22.222222222222221</v>
      </c>
      <c r="I99" s="407">
        <f t="shared" si="6"/>
        <v>6.9444444444444446</v>
      </c>
      <c r="J99" s="407">
        <f t="shared" si="6"/>
        <v>2.7777777777777777</v>
      </c>
      <c r="K99" s="367">
        <f>SUM(C99:J99)</f>
        <v>99.999999999999986</v>
      </c>
      <c r="L99" s="378"/>
    </row>
    <row r="100" spans="1:12">
      <c r="A100" s="378"/>
      <c r="B100" s="408"/>
      <c r="C100" s="404"/>
      <c r="D100" s="404"/>
      <c r="E100" s="404"/>
      <c r="F100" s="404"/>
      <c r="G100" s="404"/>
      <c r="H100" s="404"/>
      <c r="I100" s="404"/>
      <c r="J100" s="404"/>
      <c r="K100" s="408"/>
      <c r="L100" s="378"/>
    </row>
    <row r="101" spans="1:12">
      <c r="A101" s="378"/>
      <c r="B101" s="378"/>
      <c r="C101" s="378"/>
      <c r="D101" s="378"/>
      <c r="E101" s="378"/>
      <c r="F101" s="378"/>
      <c r="G101" s="378"/>
      <c r="H101" s="378"/>
      <c r="I101" s="378"/>
      <c r="J101" s="378"/>
      <c r="K101" s="378"/>
      <c r="L101" s="378"/>
    </row>
    <row r="102" spans="1:12">
      <c r="A102" s="378"/>
      <c r="B102" s="378"/>
      <c r="C102" s="378"/>
      <c r="D102" s="378"/>
      <c r="E102" s="378"/>
      <c r="F102" s="378"/>
      <c r="G102" s="378"/>
      <c r="H102" s="378"/>
      <c r="I102" s="378"/>
      <c r="J102" s="378"/>
      <c r="K102" s="378"/>
      <c r="L102" s="378"/>
    </row>
    <row r="103" spans="1:12">
      <c r="A103" s="378"/>
      <c r="B103" s="378"/>
      <c r="C103" s="378"/>
      <c r="D103" s="378"/>
      <c r="E103" s="378"/>
      <c r="F103" s="378"/>
      <c r="G103" s="378"/>
      <c r="H103" s="378"/>
      <c r="I103" s="378"/>
      <c r="J103" s="378"/>
      <c r="K103" s="378"/>
      <c r="L103" s="378"/>
    </row>
    <row r="104" spans="1:12">
      <c r="A104" s="378"/>
      <c r="B104" s="378"/>
      <c r="C104" s="378"/>
      <c r="D104" s="378"/>
      <c r="E104" s="378"/>
      <c r="F104" s="378"/>
      <c r="G104" s="378"/>
      <c r="H104" s="378"/>
      <c r="I104" s="378"/>
      <c r="J104" s="378"/>
      <c r="K104" s="378"/>
      <c r="L104" s="378"/>
    </row>
    <row r="105" spans="1:12">
      <c r="A105" s="378"/>
      <c r="B105" s="378"/>
      <c r="C105" s="378"/>
      <c r="D105" s="378"/>
      <c r="E105" s="378"/>
      <c r="F105" s="378"/>
      <c r="G105" s="378"/>
      <c r="H105" s="378"/>
      <c r="I105" s="378"/>
      <c r="J105" s="378"/>
      <c r="K105" s="378"/>
      <c r="L105" s="378"/>
    </row>
    <row r="106" spans="1:12">
      <c r="A106" s="378"/>
      <c r="B106" s="378"/>
      <c r="C106" s="378"/>
      <c r="D106" s="378"/>
      <c r="E106" s="378"/>
      <c r="F106" s="378"/>
      <c r="G106" s="378"/>
      <c r="H106" s="378"/>
      <c r="I106" s="378"/>
      <c r="J106" s="378"/>
      <c r="K106" s="378"/>
      <c r="L106" s="378"/>
    </row>
    <row r="107" spans="1:12">
      <c r="A107" s="378"/>
      <c r="B107" s="378"/>
      <c r="C107" s="378"/>
      <c r="D107" s="378"/>
      <c r="E107" s="378"/>
      <c r="F107" s="378"/>
      <c r="G107" s="378"/>
      <c r="H107" s="378"/>
      <c r="I107" s="378"/>
      <c r="J107" s="378"/>
      <c r="K107" s="378"/>
      <c r="L107" s="378"/>
    </row>
    <row r="108" spans="1:12">
      <c r="A108" s="378"/>
      <c r="B108" s="378"/>
      <c r="C108" s="378"/>
      <c r="D108" s="378"/>
      <c r="E108" s="378"/>
      <c r="F108" s="378"/>
      <c r="G108" s="378"/>
      <c r="H108" s="378"/>
      <c r="I108" s="378"/>
      <c r="J108" s="378"/>
      <c r="K108" s="378"/>
      <c r="L108" s="378"/>
    </row>
    <row r="109" spans="1:12">
      <c r="A109" s="378"/>
      <c r="B109" s="378"/>
      <c r="C109" s="378"/>
      <c r="D109" s="378"/>
      <c r="E109" s="378"/>
      <c r="F109" s="378"/>
      <c r="G109" s="378"/>
      <c r="H109" s="378"/>
      <c r="I109" s="378"/>
      <c r="J109" s="378"/>
      <c r="K109" s="378"/>
      <c r="L109" s="378"/>
    </row>
    <row r="110" spans="1:12">
      <c r="A110" s="378"/>
      <c r="B110" s="378"/>
      <c r="C110" s="378"/>
      <c r="D110" s="378"/>
      <c r="E110" s="378"/>
      <c r="F110" s="378"/>
      <c r="G110" s="378"/>
      <c r="H110" s="378"/>
      <c r="I110" s="378"/>
      <c r="J110" s="378"/>
      <c r="K110" s="378"/>
      <c r="L110" s="378"/>
    </row>
    <row r="111" spans="1:12">
      <c r="A111" s="378"/>
      <c r="B111" s="378"/>
      <c r="C111" s="378"/>
      <c r="D111" s="378"/>
      <c r="E111" s="378"/>
      <c r="F111" s="378"/>
      <c r="G111" s="378"/>
      <c r="H111" s="378"/>
      <c r="I111" s="378"/>
      <c r="J111" s="378"/>
      <c r="K111" s="378"/>
      <c r="L111" s="378"/>
    </row>
    <row r="112" spans="1:12">
      <c r="A112" s="378"/>
      <c r="B112" s="378"/>
      <c r="C112" s="378"/>
      <c r="D112" s="378"/>
      <c r="E112" s="378"/>
      <c r="F112" s="378"/>
      <c r="G112" s="378"/>
      <c r="H112" s="378"/>
      <c r="I112" s="378"/>
      <c r="J112" s="378"/>
      <c r="K112" s="378"/>
      <c r="L112" s="378"/>
    </row>
    <row r="113" spans="1:12">
      <c r="A113" s="378"/>
      <c r="B113" s="378"/>
      <c r="C113" s="378"/>
      <c r="D113" s="378"/>
      <c r="E113" s="378"/>
      <c r="F113" s="378"/>
      <c r="G113" s="378"/>
      <c r="H113" s="378"/>
      <c r="I113" s="378"/>
      <c r="J113" s="378"/>
      <c r="K113" s="378"/>
      <c r="L113" s="378"/>
    </row>
    <row r="114" spans="1:12">
      <c r="A114" s="378"/>
      <c r="B114" s="378"/>
      <c r="C114" s="378"/>
      <c r="D114" s="378"/>
      <c r="E114" s="378"/>
      <c r="F114" s="378"/>
      <c r="G114" s="378"/>
      <c r="H114" s="378"/>
      <c r="I114" s="378"/>
      <c r="J114" s="378"/>
      <c r="K114" s="378"/>
      <c r="L114" s="378"/>
    </row>
    <row r="115" spans="1:12">
      <c r="A115" s="378"/>
      <c r="B115" s="378"/>
      <c r="C115" s="378"/>
      <c r="D115" s="378"/>
      <c r="E115" s="378"/>
      <c r="F115" s="378"/>
      <c r="G115" s="378"/>
      <c r="H115" s="378"/>
      <c r="I115" s="378"/>
      <c r="J115" s="378"/>
      <c r="K115" s="378"/>
      <c r="L115" s="378"/>
    </row>
    <row r="116" spans="1:12">
      <c r="A116" s="378"/>
      <c r="B116" s="378"/>
      <c r="C116" s="378"/>
      <c r="D116" s="378"/>
      <c r="E116" s="378"/>
      <c r="F116" s="378"/>
      <c r="G116" s="378"/>
      <c r="H116" s="378"/>
      <c r="I116" s="378"/>
      <c r="J116" s="378"/>
      <c r="K116" s="378"/>
      <c r="L116" s="378"/>
    </row>
    <row r="117" spans="1:12">
      <c r="A117" s="378"/>
      <c r="B117" s="378"/>
      <c r="C117" s="378"/>
      <c r="D117" s="378"/>
      <c r="E117" s="378"/>
      <c r="F117" s="378"/>
      <c r="G117" s="378"/>
      <c r="H117" s="378"/>
      <c r="I117" s="378"/>
      <c r="J117" s="378"/>
      <c r="K117" s="378"/>
      <c r="L117" s="378"/>
    </row>
    <row r="118" spans="1:12">
      <c r="A118" s="378"/>
      <c r="B118" s="378"/>
      <c r="C118" s="378"/>
      <c r="D118" s="378"/>
      <c r="E118" s="378"/>
      <c r="F118" s="378"/>
      <c r="G118" s="378"/>
      <c r="H118" s="378"/>
      <c r="I118" s="378"/>
      <c r="J118" s="378"/>
      <c r="K118" s="378"/>
      <c r="L118" s="378"/>
    </row>
    <row r="119" spans="1:12">
      <c r="A119" s="378"/>
      <c r="B119" s="378"/>
      <c r="C119" s="378"/>
      <c r="D119" s="378"/>
      <c r="E119" s="378"/>
      <c r="F119" s="378"/>
      <c r="G119" s="378"/>
      <c r="H119" s="378"/>
      <c r="I119" s="378"/>
      <c r="J119" s="378"/>
      <c r="K119" s="378"/>
      <c r="L119" s="378"/>
    </row>
    <row r="120" spans="1:12">
      <c r="A120" s="378"/>
      <c r="B120" s="378"/>
      <c r="C120" s="378"/>
      <c r="D120" s="378"/>
      <c r="E120" s="378"/>
      <c r="F120" s="378"/>
      <c r="G120" s="378"/>
      <c r="H120" s="378"/>
      <c r="I120" s="378"/>
      <c r="J120" s="378"/>
      <c r="K120" s="378"/>
      <c r="L120" s="378"/>
    </row>
    <row r="121" spans="1:12">
      <c r="A121" s="378"/>
      <c r="B121" s="378"/>
      <c r="C121" s="378"/>
      <c r="D121" s="378"/>
      <c r="E121" s="378"/>
      <c r="F121" s="378"/>
      <c r="G121" s="378"/>
      <c r="H121" s="378"/>
      <c r="I121" s="378"/>
      <c r="J121" s="378"/>
      <c r="K121" s="378"/>
      <c r="L121" s="378"/>
    </row>
    <row r="122" spans="1:12">
      <c r="A122" s="378"/>
      <c r="B122" s="378"/>
      <c r="C122" s="378"/>
      <c r="D122" s="378"/>
      <c r="E122" s="378"/>
      <c r="F122" s="378"/>
      <c r="G122" s="378"/>
      <c r="H122" s="378"/>
      <c r="I122" s="378"/>
      <c r="J122" s="378"/>
      <c r="K122" s="378"/>
      <c r="L122" s="378"/>
    </row>
    <row r="123" spans="1:12">
      <c r="A123" s="378"/>
      <c r="B123" s="378"/>
      <c r="C123" s="378"/>
      <c r="D123" s="378"/>
      <c r="E123" s="378"/>
      <c r="F123" s="378"/>
      <c r="G123" s="378"/>
      <c r="H123" s="378"/>
      <c r="I123" s="378"/>
      <c r="J123" s="378"/>
      <c r="K123" s="378"/>
      <c r="L123" s="378"/>
    </row>
    <row r="124" spans="1:12">
      <c r="A124" s="378"/>
      <c r="B124" s="378"/>
      <c r="C124" s="378"/>
      <c r="D124" s="378"/>
      <c r="E124" s="378"/>
      <c r="F124" s="378"/>
      <c r="G124" s="378"/>
      <c r="H124" s="378"/>
      <c r="I124" s="378"/>
      <c r="J124" s="378"/>
      <c r="K124" s="378"/>
      <c r="L124" s="378"/>
    </row>
    <row r="125" spans="1:12">
      <c r="A125" s="378"/>
      <c r="B125" s="378"/>
      <c r="C125" s="378"/>
      <c r="D125" s="378"/>
      <c r="E125" s="378"/>
      <c r="F125" s="378"/>
      <c r="G125" s="378"/>
      <c r="H125" s="378"/>
      <c r="I125" s="378"/>
      <c r="J125" s="378"/>
      <c r="K125" s="378"/>
      <c r="L125" s="378"/>
    </row>
    <row r="126" spans="1:12">
      <c r="A126" s="378"/>
      <c r="B126" s="378"/>
      <c r="C126" s="378"/>
      <c r="D126" s="378"/>
      <c r="E126" s="378"/>
      <c r="F126" s="378"/>
      <c r="G126" s="378"/>
      <c r="H126" s="378"/>
      <c r="I126" s="378"/>
      <c r="J126" s="378"/>
      <c r="K126" s="378"/>
      <c r="L126" s="378"/>
    </row>
    <row r="127" spans="1:12">
      <c r="A127" s="378"/>
      <c r="B127" s="378"/>
      <c r="C127" s="378"/>
      <c r="D127" s="378"/>
      <c r="E127" s="378"/>
      <c r="F127" s="378"/>
      <c r="G127" s="378"/>
      <c r="H127" s="378"/>
      <c r="I127" s="378"/>
      <c r="J127" s="378"/>
      <c r="K127" s="378"/>
      <c r="L127" s="378"/>
    </row>
    <row r="128" spans="1:12">
      <c r="A128" s="378"/>
      <c r="B128" s="378"/>
      <c r="C128" s="378"/>
      <c r="D128" s="378"/>
      <c r="E128" s="378"/>
      <c r="F128" s="378"/>
      <c r="G128" s="378"/>
      <c r="H128" s="378"/>
      <c r="I128" s="378"/>
      <c r="J128" s="378"/>
      <c r="K128" s="378"/>
      <c r="L128" s="378"/>
    </row>
    <row r="129" spans="1:12">
      <c r="A129" s="378"/>
      <c r="B129" s="378"/>
      <c r="C129" s="378"/>
      <c r="D129" s="378"/>
      <c r="E129" s="378"/>
      <c r="F129" s="378"/>
      <c r="G129" s="378"/>
      <c r="H129" s="378"/>
      <c r="I129" s="378"/>
      <c r="J129" s="378"/>
      <c r="K129" s="378"/>
      <c r="L129" s="378"/>
    </row>
    <row r="130" spans="1:12">
      <c r="A130" s="378"/>
      <c r="B130" s="378"/>
      <c r="C130" s="378"/>
      <c r="D130" s="378"/>
      <c r="E130" s="378"/>
      <c r="F130" s="378"/>
      <c r="G130" s="378"/>
      <c r="H130" s="378"/>
      <c r="I130" s="378"/>
      <c r="J130" s="378"/>
      <c r="K130" s="378"/>
      <c r="L130" s="378"/>
    </row>
    <row r="131" spans="1:12">
      <c r="A131" s="378"/>
      <c r="B131" s="378"/>
      <c r="C131" s="378"/>
      <c r="D131" s="378"/>
      <c r="E131" s="378"/>
      <c r="F131" s="378"/>
      <c r="G131" s="378"/>
      <c r="H131" s="378"/>
      <c r="I131" s="378"/>
      <c r="J131" s="378"/>
      <c r="K131" s="378"/>
      <c r="L131" s="378"/>
    </row>
    <row r="132" spans="1:12">
      <c r="A132" s="378"/>
      <c r="B132" s="378"/>
      <c r="C132" s="378"/>
      <c r="D132" s="378"/>
      <c r="E132" s="378"/>
      <c r="F132" s="378"/>
      <c r="G132" s="378"/>
      <c r="H132" s="378"/>
      <c r="I132" s="378"/>
      <c r="J132" s="378"/>
      <c r="K132" s="378"/>
      <c r="L132" s="378"/>
    </row>
    <row r="133" spans="1:12">
      <c r="A133" s="378"/>
      <c r="B133" s="378"/>
      <c r="C133" s="378"/>
      <c r="D133" s="378"/>
      <c r="E133" s="378"/>
      <c r="F133" s="378"/>
      <c r="G133" s="378"/>
      <c r="H133" s="378"/>
      <c r="I133" s="378"/>
      <c r="J133" s="378"/>
      <c r="K133" s="378"/>
      <c r="L133" s="378"/>
    </row>
    <row r="134" spans="1:12">
      <c r="A134" s="378"/>
      <c r="B134" s="378"/>
      <c r="C134" s="378"/>
      <c r="D134" s="378"/>
      <c r="E134" s="378"/>
      <c r="F134" s="378"/>
      <c r="G134" s="378"/>
      <c r="H134" s="378"/>
      <c r="I134" s="378"/>
      <c r="J134" s="378"/>
      <c r="K134" s="378"/>
      <c r="L134" s="378"/>
    </row>
    <row r="135" spans="1:12">
      <c r="A135" s="378"/>
      <c r="B135" s="378"/>
      <c r="C135" s="378"/>
      <c r="D135" s="378"/>
      <c r="E135" s="378"/>
      <c r="F135" s="378"/>
      <c r="G135" s="378"/>
      <c r="H135" s="378"/>
      <c r="I135" s="378"/>
      <c r="J135" s="378"/>
      <c r="K135" s="378"/>
      <c r="L135" s="378"/>
    </row>
    <row r="136" spans="1:12">
      <c r="A136" s="378"/>
      <c r="B136" s="378"/>
      <c r="C136" s="378"/>
      <c r="D136" s="378"/>
      <c r="E136" s="378"/>
      <c r="F136" s="378"/>
      <c r="G136" s="378"/>
      <c r="H136" s="378"/>
      <c r="I136" s="378"/>
      <c r="J136" s="378"/>
      <c r="K136" s="378"/>
      <c r="L136" s="378"/>
    </row>
    <row r="137" spans="1:12">
      <c r="A137" s="378"/>
      <c r="B137" s="378"/>
      <c r="C137" s="378"/>
      <c r="D137" s="378"/>
      <c r="E137" s="378"/>
      <c r="F137" s="378"/>
      <c r="G137" s="378"/>
      <c r="H137" s="378"/>
      <c r="I137" s="378"/>
      <c r="J137" s="378"/>
      <c r="K137" s="378"/>
      <c r="L137" s="378"/>
    </row>
    <row r="138" spans="1:12">
      <c r="A138" s="378"/>
      <c r="B138" s="378"/>
      <c r="C138" s="378"/>
      <c r="D138" s="378"/>
      <c r="E138" s="378"/>
      <c r="F138" s="378"/>
      <c r="G138" s="378"/>
      <c r="H138" s="378"/>
      <c r="I138" s="378"/>
      <c r="J138" s="378"/>
      <c r="K138" s="378"/>
      <c r="L138" s="378"/>
    </row>
    <row r="139" spans="1:12">
      <c r="A139" s="378"/>
      <c r="B139" s="378"/>
      <c r="C139" s="378"/>
      <c r="D139" s="378"/>
      <c r="E139" s="378"/>
      <c r="F139" s="378"/>
      <c r="G139" s="378"/>
      <c r="H139" s="378"/>
      <c r="I139" s="378"/>
      <c r="J139" s="378"/>
      <c r="K139" s="378"/>
      <c r="L139" s="378"/>
    </row>
    <row r="140" spans="1:12">
      <c r="A140" s="378"/>
      <c r="B140" s="378"/>
      <c r="C140" s="378"/>
      <c r="D140" s="378"/>
      <c r="E140" s="378"/>
      <c r="F140" s="378"/>
      <c r="G140" s="378"/>
      <c r="H140" s="378"/>
      <c r="I140" s="378"/>
      <c r="J140" s="378"/>
      <c r="K140" s="378"/>
      <c r="L140" s="378"/>
    </row>
    <row r="141" spans="1:12">
      <c r="A141" s="378"/>
      <c r="B141" s="378"/>
      <c r="C141" s="378"/>
      <c r="D141" s="378"/>
      <c r="E141" s="378"/>
      <c r="F141" s="378"/>
      <c r="G141" s="378"/>
      <c r="H141" s="378"/>
      <c r="I141" s="378"/>
      <c r="J141" s="378"/>
      <c r="K141" s="378"/>
      <c r="L141" s="378"/>
    </row>
    <row r="142" spans="1:12">
      <c r="A142" s="378"/>
      <c r="B142" s="378"/>
      <c r="C142" s="378"/>
      <c r="D142" s="378"/>
      <c r="E142" s="378"/>
      <c r="F142" s="378"/>
      <c r="G142" s="378"/>
      <c r="H142" s="378"/>
      <c r="I142" s="378"/>
      <c r="J142" s="378"/>
      <c r="K142" s="378"/>
      <c r="L142" s="378"/>
    </row>
    <row r="143" spans="1:12">
      <c r="A143" s="378"/>
      <c r="B143" s="378"/>
      <c r="C143" s="378"/>
      <c r="D143" s="378"/>
      <c r="E143" s="378"/>
      <c r="F143" s="378"/>
      <c r="G143" s="378"/>
      <c r="H143" s="378"/>
      <c r="I143" s="378"/>
      <c r="J143" s="378"/>
      <c r="K143" s="378"/>
      <c r="L143" s="378"/>
    </row>
    <row r="144" spans="1:12">
      <c r="A144" s="378"/>
      <c r="B144" s="378"/>
      <c r="C144" s="378"/>
      <c r="D144" s="378"/>
      <c r="E144" s="378"/>
      <c r="F144" s="378"/>
      <c r="G144" s="378"/>
      <c r="H144" s="378"/>
      <c r="I144" s="378"/>
      <c r="J144" s="378"/>
      <c r="K144" s="378"/>
      <c r="L144" s="378"/>
    </row>
    <row r="145" spans="1:12">
      <c r="A145" s="378"/>
      <c r="B145" s="378"/>
      <c r="C145" s="378"/>
      <c r="D145" s="378"/>
      <c r="E145" s="378"/>
      <c r="F145" s="378"/>
      <c r="G145" s="378"/>
      <c r="H145" s="378"/>
      <c r="I145" s="378"/>
      <c r="J145" s="378"/>
      <c r="K145" s="378"/>
      <c r="L145" s="378"/>
    </row>
    <row r="146" spans="1:12">
      <c r="A146" s="378"/>
      <c r="B146" s="378"/>
      <c r="C146" s="378"/>
      <c r="D146" s="378"/>
      <c r="E146" s="378"/>
      <c r="F146" s="378"/>
      <c r="G146" s="378"/>
      <c r="H146" s="378"/>
      <c r="I146" s="378"/>
      <c r="J146" s="378"/>
      <c r="K146" s="378"/>
      <c r="L146" s="378"/>
    </row>
    <row r="147" spans="1:12">
      <c r="A147" s="378"/>
      <c r="B147" s="378"/>
      <c r="C147" s="378"/>
      <c r="D147" s="378"/>
      <c r="E147" s="378"/>
      <c r="F147" s="378"/>
      <c r="G147" s="378"/>
      <c r="H147" s="378"/>
      <c r="I147" s="378"/>
      <c r="J147" s="378"/>
      <c r="K147" s="378"/>
      <c r="L147" s="378"/>
    </row>
  </sheetData>
  <mergeCells count="14">
    <mergeCell ref="A1:L1"/>
    <mergeCell ref="A2:L2"/>
    <mergeCell ref="A3:L3"/>
    <mergeCell ref="C8:K8"/>
    <mergeCell ref="B75:K75"/>
    <mergeCell ref="A9:B9"/>
    <mergeCell ref="A10:B10"/>
    <mergeCell ref="B73:K73"/>
    <mergeCell ref="B74:K74"/>
    <mergeCell ref="K9:L9"/>
    <mergeCell ref="I9:J9"/>
    <mergeCell ref="G9:H9"/>
    <mergeCell ref="E9:F9"/>
    <mergeCell ref="C9:D9"/>
  </mergeCells>
  <phoneticPr fontId="19" type="noConversion"/>
  <pageMargins left="0.59055118110236227" right="0.59055118110236227" top="1.1811023622047245" bottom="0.98425196850393704" header="0.51181102362204722" footer="0"/>
  <pageSetup paperSize="5" scale="95" orientation="portrait" horizontalDpi="300" verticalDpi="300" r:id="rId1"/>
  <headerFooter alignWithMargins="0">
    <oddHeader xml:space="preserve">&amp;R
</oddHeader>
  </headerFooter>
  <ignoredErrors>
    <ignoredError sqref="K30:K3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topLeftCell="A7" workbookViewId="0">
      <selection activeCell="M7" sqref="M7"/>
    </sheetView>
  </sheetViews>
  <sheetFormatPr baseColWidth="10" defaultRowHeight="13.2"/>
  <cols>
    <col min="1" max="1" width="19.77734375" customWidth="1"/>
    <col min="2" max="9" width="6.5546875" style="236" customWidth="1"/>
    <col min="10" max="10" width="8.44140625" style="236" customWidth="1"/>
    <col min="11" max="11" width="6.5546875" style="236" customWidth="1"/>
    <col min="12" max="12" width="3.5546875" customWidth="1"/>
    <col min="13" max="13" width="17.77734375" customWidth="1"/>
    <col min="14" max="18" width="7.77734375" customWidth="1"/>
  </cols>
  <sheetData>
    <row r="1" spans="1:18" ht="24" customHeight="1">
      <c r="A1" s="1625" t="s">
        <v>882</v>
      </c>
      <c r="B1" s="1585"/>
      <c r="C1" s="1585"/>
      <c r="D1" s="1585"/>
      <c r="E1" s="1585"/>
      <c r="F1" s="1585"/>
      <c r="G1" s="1585"/>
      <c r="H1" s="1585"/>
      <c r="I1" s="1585"/>
      <c r="J1" s="1585"/>
      <c r="K1" s="1585"/>
    </row>
    <row r="2" spans="1:18">
      <c r="A2" s="1585" t="s">
        <v>879</v>
      </c>
      <c r="B2" s="1585"/>
      <c r="C2" s="1585"/>
      <c r="D2" s="1585"/>
      <c r="E2" s="1585"/>
      <c r="F2" s="1585"/>
      <c r="G2" s="1585"/>
      <c r="H2" s="1585"/>
      <c r="I2" s="1585"/>
      <c r="J2" s="1585"/>
      <c r="K2" s="1585"/>
      <c r="M2" s="409" t="s">
        <v>883</v>
      </c>
    </row>
    <row r="3" spans="1:18">
      <c r="M3" s="1176" t="s">
        <v>835</v>
      </c>
      <c r="N3" s="1177">
        <v>2016</v>
      </c>
      <c r="O3" s="1177">
        <v>2017</v>
      </c>
      <c r="P3" s="1177">
        <v>2018</v>
      </c>
      <c r="Q3" s="1177">
        <v>2019</v>
      </c>
      <c r="R3" s="1177">
        <v>2020</v>
      </c>
    </row>
    <row r="4" spans="1:18">
      <c r="M4" s="409" t="s">
        <v>884</v>
      </c>
      <c r="N4">
        <v>1194</v>
      </c>
      <c r="O4">
        <v>1160</v>
      </c>
      <c r="P4">
        <v>1334</v>
      </c>
      <c r="Q4">
        <v>1216</v>
      </c>
      <c r="R4">
        <f>+[3]Consolidado!$E$135</f>
        <v>1049</v>
      </c>
    </row>
    <row r="5" spans="1:18">
      <c r="M5" s="409" t="s">
        <v>885</v>
      </c>
      <c r="N5">
        <v>773</v>
      </c>
      <c r="O5">
        <v>673</v>
      </c>
      <c r="P5">
        <v>649</v>
      </c>
      <c r="Q5">
        <v>637</v>
      </c>
      <c r="R5">
        <f>+[3]Consolidado!$E$230</f>
        <v>629</v>
      </c>
    </row>
    <row r="6" spans="1:18">
      <c r="M6" s="409" t="s">
        <v>886</v>
      </c>
      <c r="N6">
        <v>4</v>
      </c>
      <c r="O6">
        <v>5</v>
      </c>
      <c r="P6">
        <v>2</v>
      </c>
      <c r="Q6">
        <v>1</v>
      </c>
      <c r="R6">
        <f>+[3]Consolidado!$E$327</f>
        <v>3</v>
      </c>
    </row>
    <row r="7" spans="1:18">
      <c r="M7" s="409" t="s">
        <v>517</v>
      </c>
      <c r="N7">
        <v>1971</v>
      </c>
      <c r="O7">
        <v>1838</v>
      </c>
      <c r="P7">
        <v>1985</v>
      </c>
      <c r="Q7">
        <v>1854</v>
      </c>
      <c r="R7">
        <f>SUM(R4:R6)</f>
        <v>1681</v>
      </c>
    </row>
    <row r="8" spans="1:18" ht="25.5" customHeight="1">
      <c r="A8" s="1178" t="s">
        <v>835</v>
      </c>
      <c r="B8" s="1623">
        <v>2016</v>
      </c>
      <c r="C8" s="1624"/>
      <c r="D8" s="1623">
        <v>2017</v>
      </c>
      <c r="E8" s="1624"/>
      <c r="F8" s="1623">
        <v>2018</v>
      </c>
      <c r="G8" s="1624"/>
      <c r="H8" s="1623">
        <v>2019</v>
      </c>
      <c r="I8" s="1624"/>
      <c r="J8" s="1623">
        <v>2020</v>
      </c>
      <c r="K8" s="1624"/>
      <c r="M8" s="409"/>
    </row>
    <row r="9" spans="1:18" ht="21" customHeight="1">
      <c r="A9" s="1179"/>
      <c r="B9" s="1538" t="s">
        <v>491</v>
      </c>
      <c r="C9" s="1182" t="s">
        <v>887</v>
      </c>
      <c r="D9" s="1180" t="s">
        <v>491</v>
      </c>
      <c r="E9" s="1181" t="s">
        <v>887</v>
      </c>
      <c r="F9" s="1180" t="s">
        <v>491</v>
      </c>
      <c r="G9" s="1181" t="s">
        <v>887</v>
      </c>
      <c r="H9" s="1180" t="s">
        <v>491</v>
      </c>
      <c r="I9" s="1181" t="s">
        <v>887</v>
      </c>
      <c r="J9" s="1180" t="s">
        <v>491</v>
      </c>
      <c r="K9" s="1181" t="s">
        <v>887</v>
      </c>
      <c r="M9" s="409" t="s">
        <v>888</v>
      </c>
    </row>
    <row r="10" spans="1:18" ht="21" customHeight="1">
      <c r="A10" s="360" t="s">
        <v>889</v>
      </c>
      <c r="B10" s="411">
        <v>56.64509706321553</v>
      </c>
      <c r="C10" s="351">
        <v>40.284757118927971</v>
      </c>
      <c r="D10" s="411">
        <v>56.114346214928531</v>
      </c>
      <c r="E10" s="350">
        <v>38.879310344827587</v>
      </c>
      <c r="F10" s="411">
        <v>51.833498513379581</v>
      </c>
      <c r="G10" s="350">
        <v>36.95652173913043</v>
      </c>
      <c r="H10" s="411">
        <v>53.714591127739176</v>
      </c>
      <c r="I10" s="350">
        <v>37.828947368421048</v>
      </c>
      <c r="J10" s="411">
        <f>+'37'!C40/'37'!C37*100</f>
        <v>60.762331838565018</v>
      </c>
      <c r="K10" s="350">
        <f>+R21</f>
        <v>47.664442326024783</v>
      </c>
      <c r="M10" s="1176" t="s">
        <v>835</v>
      </c>
      <c r="N10" s="1177">
        <v>2016</v>
      </c>
      <c r="O10" s="1177">
        <v>2017</v>
      </c>
      <c r="P10" s="1177">
        <v>2018</v>
      </c>
      <c r="Q10" s="1177">
        <v>2019</v>
      </c>
      <c r="R10" s="1177">
        <f>+R3</f>
        <v>2020</v>
      </c>
    </row>
    <row r="11" spans="1:18" ht="21" customHeight="1">
      <c r="A11" s="360" t="s">
        <v>885</v>
      </c>
      <c r="B11" s="411">
        <v>58.238420652999245</v>
      </c>
      <c r="C11" s="351">
        <v>42.302716688227683</v>
      </c>
      <c r="D11" s="411">
        <v>57.067137809187273</v>
      </c>
      <c r="E11" s="350">
        <v>43.982169390787519</v>
      </c>
      <c r="F11" s="411">
        <v>57.750221434898144</v>
      </c>
      <c r="G11" s="350">
        <v>42.681047765793529</v>
      </c>
      <c r="H11" s="411">
        <v>55.576739752144903</v>
      </c>
      <c r="I11" s="350">
        <v>39.246467817896388</v>
      </c>
      <c r="J11" s="411">
        <f>+'37'!E40/'37'!E37*100</f>
        <v>54.3757292882147</v>
      </c>
      <c r="K11" s="350">
        <f>+R22</f>
        <v>43.72019077901431</v>
      </c>
      <c r="M11" s="409" t="s">
        <v>884</v>
      </c>
      <c r="N11">
        <v>481</v>
      </c>
      <c r="O11">
        <v>451</v>
      </c>
      <c r="P11">
        <v>493</v>
      </c>
      <c r="Q11">
        <v>460</v>
      </c>
      <c r="R11">
        <f>+[3]Consolidado!$D$135</f>
        <v>500</v>
      </c>
    </row>
    <row r="12" spans="1:18" ht="21" customHeight="1">
      <c r="A12" s="360" t="s">
        <v>886</v>
      </c>
      <c r="B12" s="411">
        <v>0</v>
      </c>
      <c r="C12" s="351">
        <v>0</v>
      </c>
      <c r="D12" s="411">
        <v>0</v>
      </c>
      <c r="E12" s="350">
        <v>0</v>
      </c>
      <c r="F12" s="411">
        <v>0</v>
      </c>
      <c r="G12" s="350">
        <v>0</v>
      </c>
      <c r="H12" s="411">
        <v>0</v>
      </c>
      <c r="I12" s="350">
        <v>0</v>
      </c>
      <c r="J12" s="411">
        <f>+'37'!G40/'37'!G37*100</f>
        <v>0</v>
      </c>
      <c r="K12" s="350">
        <f>+R2</f>
        <v>0</v>
      </c>
      <c r="M12" s="409" t="s">
        <v>885</v>
      </c>
      <c r="N12">
        <v>327</v>
      </c>
      <c r="O12">
        <v>296</v>
      </c>
      <c r="P12">
        <v>277</v>
      </c>
      <c r="Q12">
        <v>250</v>
      </c>
      <c r="R12">
        <f>+[3]Consolidado!$D$230</f>
        <v>275</v>
      </c>
    </row>
    <row r="13" spans="1:18" ht="21" customHeight="1">
      <c r="A13" s="360" t="s">
        <v>890</v>
      </c>
      <c r="B13" s="411">
        <v>75</v>
      </c>
      <c r="C13" s="351"/>
      <c r="D13" s="411">
        <v>100</v>
      </c>
      <c r="E13" s="350"/>
      <c r="F13" s="411"/>
      <c r="G13" s="350"/>
      <c r="H13" s="411"/>
      <c r="I13" s="350"/>
      <c r="J13" s="411"/>
      <c r="K13" s="350"/>
      <c r="M13" s="409" t="s">
        <v>886</v>
      </c>
      <c r="N13">
        <v>0</v>
      </c>
      <c r="O13">
        <v>0</v>
      </c>
      <c r="P13">
        <v>0</v>
      </c>
      <c r="Q13">
        <v>0</v>
      </c>
      <c r="R13">
        <f>+[3]Consolidado!$D$325</f>
        <v>0</v>
      </c>
    </row>
    <row r="14" spans="1:18" ht="21" customHeight="1">
      <c r="A14" s="361" t="s">
        <v>517</v>
      </c>
      <c r="B14" s="412">
        <v>57.249850209706409</v>
      </c>
      <c r="C14" s="355">
        <v>40.994419076610853</v>
      </c>
      <c r="D14" s="412">
        <v>56.406869220607661</v>
      </c>
      <c r="E14" s="354">
        <v>40.642002176278567</v>
      </c>
      <c r="F14" s="412">
        <v>53.921879961892657</v>
      </c>
      <c r="G14" s="354">
        <v>38.790931989924431</v>
      </c>
      <c r="H14" s="412">
        <v>54.364943512495721</v>
      </c>
      <c r="I14" s="354">
        <v>38.295577130528585</v>
      </c>
      <c r="J14" s="412">
        <f>+'37'!K40/'37'!K37*100</f>
        <v>58.6232980332829</v>
      </c>
      <c r="K14" s="354">
        <f>+R24</f>
        <v>46.103509815585966</v>
      </c>
      <c r="M14" s="409" t="s">
        <v>517</v>
      </c>
      <c r="N14">
        <v>808</v>
      </c>
      <c r="O14">
        <v>747</v>
      </c>
      <c r="P14">
        <v>770</v>
      </c>
      <c r="Q14">
        <v>710</v>
      </c>
      <c r="R14">
        <f>SUM(R11:R13)</f>
        <v>775</v>
      </c>
    </row>
    <row r="15" spans="1:18">
      <c r="M15" s="409"/>
    </row>
    <row r="16" spans="1:18">
      <c r="M16" s="409"/>
    </row>
    <row r="17" spans="13:18">
      <c r="M17" s="409"/>
    </row>
    <row r="18" spans="13:18">
      <c r="M18" s="409"/>
    </row>
    <row r="19" spans="13:18">
      <c r="M19" s="409" t="s">
        <v>891</v>
      </c>
    </row>
    <row r="20" spans="13:18">
      <c r="M20" s="409" t="s">
        <v>835</v>
      </c>
      <c r="N20">
        <f>+N10</f>
        <v>2016</v>
      </c>
      <c r="O20">
        <f>+O10</f>
        <v>2017</v>
      </c>
      <c r="P20">
        <f>+P10</f>
        <v>2018</v>
      </c>
      <c r="Q20">
        <f>+Q10</f>
        <v>2019</v>
      </c>
      <c r="R20">
        <f>+R10</f>
        <v>2020</v>
      </c>
    </row>
    <row r="21" spans="13:18">
      <c r="M21" s="409" t="s">
        <v>884</v>
      </c>
      <c r="N21" s="152">
        <f t="shared" ref="N21:R24" si="0">+N11/N4*100</f>
        <v>40.284757118927971</v>
      </c>
      <c r="O21" s="152">
        <f t="shared" si="0"/>
        <v>38.879310344827587</v>
      </c>
      <c r="P21" s="152">
        <f t="shared" si="0"/>
        <v>36.95652173913043</v>
      </c>
      <c r="Q21" s="152">
        <f t="shared" si="0"/>
        <v>37.828947368421048</v>
      </c>
      <c r="R21" s="152">
        <f t="shared" si="0"/>
        <v>47.664442326024783</v>
      </c>
    </row>
    <row r="22" spans="13:18">
      <c r="M22" s="409" t="s">
        <v>885</v>
      </c>
      <c r="N22" s="152">
        <f t="shared" si="0"/>
        <v>42.302716688227683</v>
      </c>
      <c r="O22" s="152">
        <f t="shared" si="0"/>
        <v>43.982169390787519</v>
      </c>
      <c r="P22" s="152">
        <f t="shared" si="0"/>
        <v>42.681047765793529</v>
      </c>
      <c r="Q22" s="152">
        <f t="shared" si="0"/>
        <v>39.246467817896388</v>
      </c>
      <c r="R22" s="152">
        <f t="shared" si="0"/>
        <v>43.72019077901431</v>
      </c>
    </row>
    <row r="23" spans="13:18">
      <c r="M23" s="409" t="s">
        <v>886</v>
      </c>
      <c r="N23" s="152">
        <f t="shared" si="0"/>
        <v>0</v>
      </c>
      <c r="O23" s="152">
        <f t="shared" si="0"/>
        <v>0</v>
      </c>
      <c r="P23" s="152">
        <f t="shared" si="0"/>
        <v>0</v>
      </c>
      <c r="Q23" s="152">
        <f t="shared" si="0"/>
        <v>0</v>
      </c>
      <c r="R23" s="152">
        <f t="shared" si="0"/>
        <v>0</v>
      </c>
    </row>
    <row r="24" spans="13:18">
      <c r="M24" s="409" t="s">
        <v>517</v>
      </c>
      <c r="N24" s="152">
        <f t="shared" si="0"/>
        <v>40.994419076610853</v>
      </c>
      <c r="O24" s="152">
        <f t="shared" si="0"/>
        <v>40.642002176278567</v>
      </c>
      <c r="P24" s="152">
        <f t="shared" si="0"/>
        <v>38.790931989924431</v>
      </c>
      <c r="Q24" s="152">
        <f t="shared" si="0"/>
        <v>38.295577130528585</v>
      </c>
      <c r="R24" s="152">
        <f t="shared" si="0"/>
        <v>46.103509815585966</v>
      </c>
    </row>
    <row r="38" spans="12:12">
      <c r="L38" t="s">
        <v>892</v>
      </c>
    </row>
  </sheetData>
  <mergeCells count="7">
    <mergeCell ref="J8:K8"/>
    <mergeCell ref="A1:K1"/>
    <mergeCell ref="A2:K2"/>
    <mergeCell ref="D8:E8"/>
    <mergeCell ref="F8:G8"/>
    <mergeCell ref="H8:I8"/>
    <mergeCell ref="B8:C8"/>
  </mergeCells>
  <phoneticPr fontId="19" type="noConversion"/>
  <pageMargins left="0.78740157480314965" right="0.78740157480314965" top="0.98425196850393704" bottom="0.98425196850393704" header="0.51181102362204722" footer="0"/>
  <pageSetup paperSize="9" orientation="portrait" horizontalDpi="300" verticalDpi="300" r:id="rId1"/>
  <headerFooter alignWithMargins="0">
    <oddHeader xml:space="preserve">&amp;R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
  <sheetViews>
    <sheetView topLeftCell="A17" workbookViewId="0">
      <selection activeCell="E11" sqref="E11"/>
    </sheetView>
  </sheetViews>
  <sheetFormatPr baseColWidth="10" defaultRowHeight="13.2"/>
  <cols>
    <col min="1" max="1" width="13.77734375" customWidth="1"/>
    <col min="2" max="2" width="6" customWidth="1"/>
    <col min="3" max="3" width="4.21875" customWidth="1"/>
    <col min="4" max="4" width="5.77734375" customWidth="1"/>
    <col min="5" max="5" width="4.44140625" customWidth="1"/>
    <col min="6" max="6" width="5.5546875" customWidth="1"/>
    <col min="7" max="7" width="4" customWidth="1"/>
    <col min="8" max="8" width="5.77734375" customWidth="1"/>
    <col min="9" max="9" width="4.21875" customWidth="1"/>
    <col min="10" max="10" width="6.21875" customWidth="1"/>
    <col min="11" max="11" width="5.44140625" customWidth="1"/>
    <col min="12" max="12" width="6" customWidth="1"/>
    <col min="13" max="13" width="4.77734375" customWidth="1"/>
    <col min="14" max="14" width="6.21875" customWidth="1"/>
    <col min="15" max="15" width="4.44140625" customWidth="1"/>
    <col min="16" max="16" width="5.77734375" customWidth="1"/>
    <col min="17" max="17" width="4.5546875" customWidth="1"/>
    <col min="18" max="18" width="5.77734375" customWidth="1"/>
    <col min="19" max="19" width="4.5546875" customWidth="1"/>
    <col min="20" max="20" width="5.77734375" customWidth="1"/>
    <col min="21" max="21" width="4.77734375" customWidth="1"/>
    <col min="22" max="22" width="5.77734375" customWidth="1"/>
    <col min="23" max="23" width="4.77734375" customWidth="1"/>
    <col min="24" max="24" width="5.5546875" customWidth="1"/>
    <col min="25" max="25" width="4.21875" customWidth="1"/>
    <col min="26" max="26" width="5.77734375" customWidth="1"/>
    <col min="27" max="27" width="4.5546875" customWidth="1"/>
  </cols>
  <sheetData>
    <row r="1" spans="1:100">
      <c r="A1" s="80" t="s">
        <v>893</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row>
    <row r="2" spans="1:100">
      <c r="A2" s="80"/>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row>
    <row r="3" spans="1:100">
      <c r="A3" s="3" t="s">
        <v>1643</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row>
    <row r="4" spans="1:100">
      <c r="A4" s="80"/>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row>
    <row r="5" spans="1:100">
      <c r="A5" s="113"/>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row>
    <row r="7" spans="1:100" ht="18" customHeight="1">
      <c r="A7" s="62"/>
      <c r="B7" s="117" t="s">
        <v>894</v>
      </c>
      <c r="C7" s="118"/>
      <c r="D7" s="118"/>
      <c r="E7" s="118"/>
      <c r="F7" s="118"/>
      <c r="G7" s="118"/>
      <c r="H7" s="118"/>
      <c r="I7" s="118"/>
      <c r="J7" s="118"/>
      <c r="K7" s="118"/>
      <c r="L7" s="118"/>
      <c r="M7" s="118"/>
      <c r="N7" s="118"/>
      <c r="O7" s="118"/>
      <c r="P7" s="118"/>
      <c r="Q7" s="118"/>
      <c r="R7" s="118"/>
      <c r="S7" s="118"/>
      <c r="T7" s="118"/>
      <c r="U7" s="118"/>
      <c r="V7" s="118"/>
      <c r="W7" s="118"/>
      <c r="X7" s="118"/>
      <c r="Y7" s="120"/>
      <c r="Z7" s="58"/>
      <c r="AA7" s="324"/>
    </row>
    <row r="8" spans="1:100">
      <c r="A8" s="42" t="s">
        <v>895</v>
      </c>
      <c r="B8" s="279" t="s">
        <v>896</v>
      </c>
      <c r="C8" s="280"/>
      <c r="D8" s="279" t="s">
        <v>685</v>
      </c>
      <c r="E8" s="280"/>
      <c r="F8" s="279" t="s">
        <v>897</v>
      </c>
      <c r="G8" s="280"/>
      <c r="H8" s="279" t="s">
        <v>429</v>
      </c>
      <c r="I8" s="280"/>
      <c r="J8" s="413" t="s">
        <v>648</v>
      </c>
      <c r="K8" s="414"/>
      <c r="L8" s="279" t="s">
        <v>688</v>
      </c>
      <c r="M8" s="280"/>
      <c r="N8" s="279" t="s">
        <v>393</v>
      </c>
      <c r="O8" s="280"/>
      <c r="P8" s="279" t="s">
        <v>411</v>
      </c>
      <c r="Q8" s="280"/>
      <c r="R8" s="279" t="s">
        <v>416</v>
      </c>
      <c r="S8" s="280"/>
      <c r="T8" s="279" t="s">
        <v>898</v>
      </c>
      <c r="U8" s="280"/>
      <c r="V8" s="415" t="s">
        <v>418</v>
      </c>
      <c r="W8" s="415"/>
      <c r="X8" s="413" t="s">
        <v>648</v>
      </c>
      <c r="Y8" s="414"/>
      <c r="Z8" s="416" t="s">
        <v>637</v>
      </c>
      <c r="AA8" s="417"/>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row>
    <row r="9" spans="1:100">
      <c r="A9" s="63"/>
      <c r="B9" s="250" t="s">
        <v>899</v>
      </c>
      <c r="C9" s="252" t="s">
        <v>900</v>
      </c>
      <c r="D9" s="250" t="s">
        <v>899</v>
      </c>
      <c r="E9" s="252" t="s">
        <v>900</v>
      </c>
      <c r="F9" s="250" t="s">
        <v>899</v>
      </c>
      <c r="G9" s="252" t="s">
        <v>900</v>
      </c>
      <c r="H9" s="250" t="s">
        <v>899</v>
      </c>
      <c r="I9" s="252" t="s">
        <v>900</v>
      </c>
      <c r="J9" s="418" t="s">
        <v>899</v>
      </c>
      <c r="K9" s="419" t="s">
        <v>900</v>
      </c>
      <c r="L9" s="250" t="s">
        <v>899</v>
      </c>
      <c r="M9" s="252" t="s">
        <v>900</v>
      </c>
      <c r="N9" s="250" t="s">
        <v>899</v>
      </c>
      <c r="O9" s="252" t="s">
        <v>900</v>
      </c>
      <c r="P9" s="250" t="s">
        <v>899</v>
      </c>
      <c r="Q9" s="252" t="s">
        <v>900</v>
      </c>
      <c r="R9" s="250" t="s">
        <v>899</v>
      </c>
      <c r="S9" s="252" t="s">
        <v>900</v>
      </c>
      <c r="T9" s="250" t="s">
        <v>899</v>
      </c>
      <c r="U9" s="252" t="s">
        <v>900</v>
      </c>
      <c r="V9" s="420" t="s">
        <v>899</v>
      </c>
      <c r="W9" s="420" t="s">
        <v>900</v>
      </c>
      <c r="X9" s="418" t="s">
        <v>899</v>
      </c>
      <c r="Y9" s="419" t="s">
        <v>900</v>
      </c>
      <c r="Z9" s="418" t="s">
        <v>899</v>
      </c>
      <c r="AA9" s="419" t="s">
        <v>900</v>
      </c>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row>
    <row r="10" spans="1:100" ht="12" customHeight="1">
      <c r="A10" s="42"/>
      <c r="B10" s="55"/>
      <c r="C10" s="289"/>
      <c r="D10" s="1236"/>
      <c r="E10" s="289"/>
      <c r="F10" s="45"/>
      <c r="G10" s="45"/>
      <c r="H10" s="55"/>
      <c r="I10" s="289"/>
      <c r="J10" s="421"/>
      <c r="K10" s="422"/>
      <c r="L10" s="43"/>
      <c r="M10" s="45"/>
      <c r="N10" s="55"/>
      <c r="O10" s="289"/>
      <c r="P10" s="45"/>
      <c r="Q10" s="45"/>
      <c r="R10" s="55"/>
      <c r="S10" s="289"/>
      <c r="T10" s="45"/>
      <c r="U10" s="45"/>
      <c r="V10" s="55"/>
      <c r="W10" s="289"/>
      <c r="X10" s="423"/>
      <c r="Y10" s="424"/>
      <c r="Z10" s="423"/>
      <c r="AA10" s="424"/>
    </row>
    <row r="11" spans="1:100" ht="17.25" customHeight="1">
      <c r="A11" s="425" t="s">
        <v>902</v>
      </c>
      <c r="B11" s="1237">
        <f>+[3]Consolidado!$D$15</f>
        <v>2</v>
      </c>
      <c r="C11" s="1238">
        <f>+[3]Consolidado!$G$15</f>
        <v>0</v>
      </c>
      <c r="D11" s="556">
        <f>+[3]Consolidado!$D$16</f>
        <v>0</v>
      </c>
      <c r="E11" s="1238">
        <f>+[3]Consolidado!$G$16</f>
        <v>0</v>
      </c>
      <c r="F11" s="556">
        <f>+[3]Consolidado!$D$17</f>
        <v>1</v>
      </c>
      <c r="G11" s="1238">
        <f>+[3]Consolidado!$G$17</f>
        <v>0</v>
      </c>
      <c r="H11" s="556">
        <f>+[3]Consolidado!$D$18</f>
        <v>1</v>
      </c>
      <c r="I11" s="556">
        <f>+[3]Consolidado!$G$18</f>
        <v>0</v>
      </c>
      <c r="J11" s="1239">
        <f>+B11+D11+F11+H11</f>
        <v>4</v>
      </c>
      <c r="K11" s="1240">
        <f t="shared" ref="J11:K15" si="0">+C11+E11+G11+I11</f>
        <v>0</v>
      </c>
      <c r="L11" s="1237">
        <f>+[3]Consolidado!$D$20</f>
        <v>4</v>
      </c>
      <c r="M11" s="1238">
        <f>+[3]Consolidado!$G$20</f>
        <v>1</v>
      </c>
      <c r="N11" s="1237">
        <f>+[3]Consolidado!$D$21</f>
        <v>2</v>
      </c>
      <c r="O11" s="1238">
        <f>+[3]Consolidado!$G$21</f>
        <v>0</v>
      </c>
      <c r="P11" s="1237">
        <f>+[3]Consolidado!$D$22</f>
        <v>0</v>
      </c>
      <c r="Q11" s="1238">
        <f>+[3]Consolidado!$G$22</f>
        <v>0</v>
      </c>
      <c r="R11" s="1237">
        <f>+[3]Consolidado!$D$23</f>
        <v>1</v>
      </c>
      <c r="S11" s="1238">
        <f>+[3]Consolidado!$G$23</f>
        <v>0</v>
      </c>
      <c r="T11" s="1237">
        <f>+[3]Consolidado!$D$24</f>
        <v>1</v>
      </c>
      <c r="U11" s="1238">
        <f>+[3]Consolidado!$G$24</f>
        <v>0</v>
      </c>
      <c r="V11" s="1237">
        <f>+[3]Consolidado!$D$25</f>
        <v>0</v>
      </c>
      <c r="W11" s="1238">
        <f>+[3]Consolidado!$G$25</f>
        <v>0</v>
      </c>
      <c r="X11" s="427">
        <f t="shared" ref="X11:Y15" si="1">+L11+N11+P11+R11+T11+V11</f>
        <v>8</v>
      </c>
      <c r="Y11" s="428">
        <f t="shared" si="1"/>
        <v>1</v>
      </c>
      <c r="Z11" s="427">
        <f t="shared" ref="Z11:AA15" si="2">+X11+J11</f>
        <v>12</v>
      </c>
      <c r="AA11" s="428">
        <f t="shared" si="2"/>
        <v>1</v>
      </c>
      <c r="AB11" s="6"/>
      <c r="AC11" s="6"/>
      <c r="AD11" s="6"/>
      <c r="AE11" s="6"/>
      <c r="AF11" s="6"/>
      <c r="AG11" s="6"/>
      <c r="AH11" s="6"/>
      <c r="AI11" s="6"/>
      <c r="AJ11" s="6"/>
      <c r="AK11" s="6"/>
      <c r="AL11" s="6"/>
      <c r="AM11" s="6"/>
      <c r="AN11" s="6"/>
      <c r="AO11" s="6"/>
      <c r="AP11" s="6"/>
      <c r="AQ11" s="6"/>
      <c r="AR11" s="6"/>
      <c r="AS11" s="6"/>
      <c r="AT11" s="6"/>
      <c r="AU11" s="6"/>
      <c r="AV11" s="6"/>
      <c r="AW11" s="6"/>
      <c r="AX11" s="6"/>
      <c r="AY11" s="6"/>
      <c r="AZ11" s="6"/>
    </row>
    <row r="12" spans="1:100" ht="19.5" customHeight="1">
      <c r="A12" s="245" t="s">
        <v>903</v>
      </c>
      <c r="B12" s="1237">
        <f>+[3]Consolidado!$F$15</f>
        <v>4</v>
      </c>
      <c r="C12" s="1238">
        <f>+[3]Consolidado!$E$15</f>
        <v>3</v>
      </c>
      <c r="D12" s="556">
        <f>+[3]Consolidado!$F$16</f>
        <v>5</v>
      </c>
      <c r="E12" s="1238">
        <f>+[3]Consolidado!$E$16</f>
        <v>0</v>
      </c>
      <c r="F12" s="556">
        <f>+[3]Consolidado!$F$17</f>
        <v>2</v>
      </c>
      <c r="G12" s="1238">
        <f>+[3]Consolidado!$E$17</f>
        <v>0</v>
      </c>
      <c r="H12" s="556">
        <f>+[3]Consolidado!$F$18</f>
        <v>1</v>
      </c>
      <c r="I12" s="556">
        <f>+[3]Consolidado!$E$18</f>
        <v>0</v>
      </c>
      <c r="J12" s="1239">
        <f t="shared" si="0"/>
        <v>12</v>
      </c>
      <c r="K12" s="1240">
        <f t="shared" si="0"/>
        <v>3</v>
      </c>
      <c r="L12" s="1237">
        <f>+[3]Consolidado!$F$20</f>
        <v>4</v>
      </c>
      <c r="M12" s="1238">
        <f>+[3]Consolidado!$E$20</f>
        <v>1</v>
      </c>
      <c r="N12" s="1237">
        <f>+[3]Consolidado!$F$21</f>
        <v>1</v>
      </c>
      <c r="O12" s="1238">
        <f>+[3]Consolidado!$E$21</f>
        <v>1</v>
      </c>
      <c r="P12" s="1237">
        <f>+[3]Consolidado!$F$22</f>
        <v>3</v>
      </c>
      <c r="Q12" s="1238">
        <f>+[3]Consolidado!$E$22</f>
        <v>0</v>
      </c>
      <c r="R12" s="1237">
        <f>+[3]Consolidado!$F$23</f>
        <v>0</v>
      </c>
      <c r="S12" s="1238">
        <f>+[3]Consolidado!$E$23</f>
        <v>0</v>
      </c>
      <c r="T12" s="1237">
        <f>+[3]Consolidado!$F$24</f>
        <v>1</v>
      </c>
      <c r="U12" s="1238">
        <f>+[3]Consolidado!$E$24</f>
        <v>1</v>
      </c>
      <c r="V12" s="1237">
        <f>+[3]Consolidado!$F$25</f>
        <v>1</v>
      </c>
      <c r="W12" s="1238">
        <f>+[3]Consolidado!$E$25</f>
        <v>0</v>
      </c>
      <c r="X12" s="427">
        <f t="shared" si="1"/>
        <v>10</v>
      </c>
      <c r="Y12" s="428">
        <f t="shared" si="1"/>
        <v>3</v>
      </c>
      <c r="Z12" s="427">
        <f t="shared" si="2"/>
        <v>22</v>
      </c>
      <c r="AA12" s="428">
        <f t="shared" si="2"/>
        <v>6</v>
      </c>
    </row>
    <row r="13" spans="1:100" ht="18.75" customHeight="1">
      <c r="A13" s="245" t="s">
        <v>904</v>
      </c>
      <c r="B13" s="1237">
        <f>+[3]Consolidado!$H$15</f>
        <v>8</v>
      </c>
      <c r="C13" s="1238">
        <f>+[3]Consolidado!$I$15</f>
        <v>0</v>
      </c>
      <c r="D13" s="556">
        <f>+[3]Consolidado!$H$16</f>
        <v>2</v>
      </c>
      <c r="E13" s="1238">
        <f>+[3]Consolidado!$I$16</f>
        <v>0</v>
      </c>
      <c r="F13" s="556">
        <f>+[3]Consolidado!$H$17</f>
        <v>0</v>
      </c>
      <c r="G13" s="1238">
        <f>+[3]Consolidado!$I$17</f>
        <v>0</v>
      </c>
      <c r="H13" s="556">
        <f>+[3]Consolidado!$H$18</f>
        <v>2</v>
      </c>
      <c r="I13" s="556">
        <f>+[3]Consolidado!$I$18</f>
        <v>0</v>
      </c>
      <c r="J13" s="1239">
        <f t="shared" si="0"/>
        <v>12</v>
      </c>
      <c r="K13" s="1240">
        <f t="shared" si="0"/>
        <v>0</v>
      </c>
      <c r="L13" s="1237">
        <f>+[3]Consolidado!$H$20</f>
        <v>11</v>
      </c>
      <c r="M13" s="1238">
        <f>+[3]Consolidado!$I$20</f>
        <v>1</v>
      </c>
      <c r="N13" s="1237">
        <f>+[3]Consolidado!$H$21</f>
        <v>2</v>
      </c>
      <c r="O13" s="1238">
        <f>+[3]Consolidado!$I$21</f>
        <v>0</v>
      </c>
      <c r="P13" s="1237">
        <f>+[3]Consolidado!$H$22</f>
        <v>3</v>
      </c>
      <c r="Q13" s="1238">
        <f>+[3]Consolidado!$I$22</f>
        <v>0</v>
      </c>
      <c r="R13" s="1237">
        <f>+[3]Consolidado!$H$23</f>
        <v>0</v>
      </c>
      <c r="S13" s="1238">
        <f>+[3]Consolidado!$I$23</f>
        <v>0</v>
      </c>
      <c r="T13" s="1237">
        <f>+[3]Consolidado!$H$24</f>
        <v>3</v>
      </c>
      <c r="U13" s="1238">
        <f>+[3]Consolidado!$I$24</f>
        <v>0</v>
      </c>
      <c r="V13" s="1237">
        <f>+[3]Consolidado!$H$25</f>
        <v>1</v>
      </c>
      <c r="W13" s="1238">
        <f>+[3]Consolidado!$I$25</f>
        <v>0</v>
      </c>
      <c r="X13" s="427">
        <f t="shared" si="1"/>
        <v>20</v>
      </c>
      <c r="Y13" s="428">
        <f t="shared" si="1"/>
        <v>1</v>
      </c>
      <c r="Z13" s="427">
        <f t="shared" si="2"/>
        <v>32</v>
      </c>
      <c r="AA13" s="428">
        <f t="shared" si="2"/>
        <v>1</v>
      </c>
    </row>
    <row r="14" spans="1:100" ht="18.75" customHeight="1">
      <c r="A14" s="245" t="s">
        <v>905</v>
      </c>
      <c r="B14" s="1237">
        <f>+[3]Consolidado!$J$15</f>
        <v>41</v>
      </c>
      <c r="C14" s="1238">
        <f>+[3]Consolidado!$K$15</f>
        <v>0</v>
      </c>
      <c r="D14" s="556">
        <f>+[3]Consolidado!$J$16</f>
        <v>6</v>
      </c>
      <c r="E14" s="1238">
        <f>+[3]Consolidado!$K$16</f>
        <v>0</v>
      </c>
      <c r="F14" s="556">
        <f>+[3]Consolidado!$J$17</f>
        <v>3</v>
      </c>
      <c r="G14" s="1238">
        <f>+[3]Consolidado!$K$17</f>
        <v>0</v>
      </c>
      <c r="H14" s="556">
        <f>+[3]Consolidado!$J$18</f>
        <v>7</v>
      </c>
      <c r="I14" s="556">
        <f>+[3]Consolidado!$K$18</f>
        <v>1</v>
      </c>
      <c r="J14" s="1239">
        <f t="shared" si="0"/>
        <v>57</v>
      </c>
      <c r="K14" s="1240">
        <f t="shared" si="0"/>
        <v>1</v>
      </c>
      <c r="L14" s="1237">
        <f>+[3]Consolidado!$J$20</f>
        <v>33</v>
      </c>
      <c r="M14" s="1238">
        <f>+[3]Consolidado!$K$20</f>
        <v>0</v>
      </c>
      <c r="N14" s="1237">
        <f>+[3]Consolidado!$J$21</f>
        <v>7</v>
      </c>
      <c r="O14" s="1238">
        <f>+[3]Consolidado!$K$21</f>
        <v>0</v>
      </c>
      <c r="P14" s="1237">
        <f>+[3]Consolidado!$J$22</f>
        <v>8</v>
      </c>
      <c r="Q14" s="1238">
        <f>+[3]Consolidado!$K$22</f>
        <v>0</v>
      </c>
      <c r="R14" s="1237">
        <f>+[3]Consolidado!$J$23</f>
        <v>4</v>
      </c>
      <c r="S14" s="1238">
        <f>+[3]Consolidado!$K$23</f>
        <v>0</v>
      </c>
      <c r="T14" s="1237">
        <f>+[3]Consolidado!$J$24</f>
        <v>7</v>
      </c>
      <c r="U14" s="1238">
        <f>+[3]Consolidado!$K$24</f>
        <v>2</v>
      </c>
      <c r="V14" s="1237">
        <f>+[3]Consolidado!$J$25</f>
        <v>6</v>
      </c>
      <c r="W14" s="1238">
        <f>+[3]Consolidado!$K$25</f>
        <v>1</v>
      </c>
      <c r="X14" s="427">
        <f t="shared" si="1"/>
        <v>65</v>
      </c>
      <c r="Y14" s="428">
        <f t="shared" si="1"/>
        <v>3</v>
      </c>
      <c r="Z14" s="427">
        <f t="shared" si="2"/>
        <v>122</v>
      </c>
      <c r="AA14" s="428">
        <f t="shared" si="2"/>
        <v>4</v>
      </c>
    </row>
    <row r="15" spans="1:100" ht="18.75" customHeight="1">
      <c r="A15" s="245" t="s">
        <v>906</v>
      </c>
      <c r="B15" s="1237">
        <f>+[3]Consolidado!$L$15</f>
        <v>113</v>
      </c>
      <c r="C15" s="1238">
        <f>+[3]Consolidado!$M$15</f>
        <v>1</v>
      </c>
      <c r="D15" s="556">
        <f>+[3]Consolidado!$L$16</f>
        <v>41</v>
      </c>
      <c r="E15" s="1238">
        <f>+[3]Consolidado!$M$16</f>
        <v>0</v>
      </c>
      <c r="F15" s="556">
        <f>+[3]Consolidado!$L$17</f>
        <v>20</v>
      </c>
      <c r="G15" s="1238">
        <f>+[3]Consolidado!$M$17</f>
        <v>0</v>
      </c>
      <c r="H15" s="556">
        <f>+[3]Consolidado!$L$18</f>
        <v>16</v>
      </c>
      <c r="I15" s="556">
        <f>+[3]Consolidado!$M$18</f>
        <v>0</v>
      </c>
      <c r="J15" s="1239">
        <f t="shared" si="0"/>
        <v>190</v>
      </c>
      <c r="K15" s="1240">
        <f t="shared" si="0"/>
        <v>1</v>
      </c>
      <c r="L15" s="1237">
        <f>+[3]Consolidado!$L$20</f>
        <v>176</v>
      </c>
      <c r="M15" s="1238">
        <f>+[3]Consolidado!$M$20</f>
        <v>0</v>
      </c>
      <c r="N15" s="1237">
        <f>+[3]Consolidado!$L$21</f>
        <v>34</v>
      </c>
      <c r="O15" s="1238">
        <f>+[3]Consolidado!$M$21</f>
        <v>0</v>
      </c>
      <c r="P15" s="1237">
        <f>+[3]Consolidado!$L$22</f>
        <v>22</v>
      </c>
      <c r="Q15" s="1238">
        <f>+[3]Consolidado!$M$22</f>
        <v>0</v>
      </c>
      <c r="R15" s="1237">
        <f>+[3]Consolidado!$L$23</f>
        <v>8</v>
      </c>
      <c r="S15" s="1238">
        <f>+[3]Consolidado!$M$23</f>
        <v>0</v>
      </c>
      <c r="T15" s="1237">
        <f>+[3]Consolidado!$L$24</f>
        <v>46</v>
      </c>
      <c r="U15" s="1238">
        <f>+[3]Consolidado!$M$24</f>
        <v>0</v>
      </c>
      <c r="V15" s="1237">
        <f>+[3]Consolidado!$L$25</f>
        <v>19</v>
      </c>
      <c r="W15" s="1238">
        <f>+[3]Consolidado!$M$25</f>
        <v>0</v>
      </c>
      <c r="X15" s="427">
        <f t="shared" si="1"/>
        <v>305</v>
      </c>
      <c r="Y15" s="428">
        <f t="shared" si="1"/>
        <v>0</v>
      </c>
      <c r="Z15" s="427">
        <f t="shared" si="2"/>
        <v>495</v>
      </c>
      <c r="AA15" s="428">
        <f t="shared" si="2"/>
        <v>1</v>
      </c>
    </row>
    <row r="16" spans="1:100" ht="19.5" customHeight="1">
      <c r="A16" s="245" t="s">
        <v>907</v>
      </c>
      <c r="B16" s="1237">
        <f t="shared" ref="B16:K16" si="3">SUM(B11:B15)</f>
        <v>168</v>
      </c>
      <c r="C16" s="1238">
        <f t="shared" si="3"/>
        <v>4</v>
      </c>
      <c r="D16" s="556">
        <f t="shared" ref="D16:I16" si="4">SUM(D11:D15)</f>
        <v>54</v>
      </c>
      <c r="E16" s="1238">
        <f t="shared" si="4"/>
        <v>0</v>
      </c>
      <c r="F16" s="556">
        <f t="shared" si="4"/>
        <v>26</v>
      </c>
      <c r="G16" s="1238">
        <f t="shared" si="4"/>
        <v>0</v>
      </c>
      <c r="H16" s="556">
        <f t="shared" si="4"/>
        <v>27</v>
      </c>
      <c r="I16" s="556">
        <f t="shared" si="4"/>
        <v>1</v>
      </c>
      <c r="J16" s="1239">
        <f t="shared" si="3"/>
        <v>275</v>
      </c>
      <c r="K16" s="1240">
        <f t="shared" si="3"/>
        <v>5</v>
      </c>
      <c r="L16" s="1237">
        <f t="shared" ref="L16:W16" si="5">SUM(L11:L15)</f>
        <v>228</v>
      </c>
      <c r="M16" s="1238">
        <f t="shared" si="5"/>
        <v>3</v>
      </c>
      <c r="N16" s="1237">
        <f t="shared" si="5"/>
        <v>46</v>
      </c>
      <c r="O16" s="1238">
        <f t="shared" si="5"/>
        <v>1</v>
      </c>
      <c r="P16" s="1237">
        <f t="shared" si="5"/>
        <v>36</v>
      </c>
      <c r="Q16" s="1238">
        <f t="shared" si="5"/>
        <v>0</v>
      </c>
      <c r="R16" s="1237">
        <f t="shared" si="5"/>
        <v>13</v>
      </c>
      <c r="S16" s="1238">
        <f t="shared" si="5"/>
        <v>0</v>
      </c>
      <c r="T16" s="1237">
        <f t="shared" si="5"/>
        <v>58</v>
      </c>
      <c r="U16" s="1238">
        <f t="shared" si="5"/>
        <v>3</v>
      </c>
      <c r="V16" s="1237">
        <f t="shared" si="5"/>
        <v>27</v>
      </c>
      <c r="W16" s="1238">
        <f t="shared" si="5"/>
        <v>1</v>
      </c>
      <c r="X16" s="427">
        <f>SUM(X11:X15)</f>
        <v>408</v>
      </c>
      <c r="Y16" s="429">
        <f>SUM(Y11:Y15)</f>
        <v>8</v>
      </c>
      <c r="Z16" s="427">
        <f>SUM(Z11:Z15)</f>
        <v>683</v>
      </c>
      <c r="AA16" s="428">
        <f>SUM(AA11:AA15)</f>
        <v>13</v>
      </c>
    </row>
    <row r="17" spans="1:27" ht="19.5" customHeight="1">
      <c r="A17" s="245" t="s">
        <v>908</v>
      </c>
      <c r="B17" s="1237">
        <f>+[3]Consolidado!$N$15</f>
        <v>244</v>
      </c>
      <c r="C17" s="1238">
        <f>+[3]Consolidado!$O$15</f>
        <v>0</v>
      </c>
      <c r="D17" s="556">
        <f>+[3]Consolidado!$N$16</f>
        <v>69</v>
      </c>
      <c r="E17" s="1238">
        <f>+[3]Consolidado!$O$16</f>
        <v>0</v>
      </c>
      <c r="F17" s="556">
        <f>+[3]Consolidado!$N$17</f>
        <v>63</v>
      </c>
      <c r="G17" s="1238">
        <f>+[3]Consolidado!$O$17</f>
        <v>0</v>
      </c>
      <c r="H17" s="556">
        <f>+[3]Consolidado!$N$18</f>
        <v>42</v>
      </c>
      <c r="I17" s="556">
        <f>+[3]Consolidado!$O$18</f>
        <v>0</v>
      </c>
      <c r="J17" s="1239">
        <f t="shared" ref="J17:K19" si="6">+B17+D17+F17+H17</f>
        <v>418</v>
      </c>
      <c r="K17" s="1240">
        <f t="shared" si="6"/>
        <v>0</v>
      </c>
      <c r="L17" s="1237">
        <f>+[3]Consolidado!$N$20</f>
        <v>373</v>
      </c>
      <c r="M17" s="1238">
        <f>+[3]Consolidado!$O$20</f>
        <v>0</v>
      </c>
      <c r="N17" s="1237">
        <f>+[3]Consolidado!$N$21</f>
        <v>76</v>
      </c>
      <c r="O17" s="1238">
        <f>+[3]Consolidado!$O$21</f>
        <v>0</v>
      </c>
      <c r="P17" s="1237">
        <f>+[3]Consolidado!$N$22</f>
        <v>53</v>
      </c>
      <c r="Q17" s="1238">
        <f>+[3]Consolidado!$O$22</f>
        <v>0</v>
      </c>
      <c r="R17" s="1237">
        <f>+[3]Consolidado!$N$23</f>
        <v>30</v>
      </c>
      <c r="S17" s="1238">
        <f>+[3]Consolidado!$O$23</f>
        <v>0</v>
      </c>
      <c r="T17" s="1237">
        <f>+[3]Consolidado!$N$24</f>
        <v>101</v>
      </c>
      <c r="U17" s="1238">
        <f>+[3]Consolidado!$O$24</f>
        <v>1</v>
      </c>
      <c r="V17" s="1237">
        <f>+[3]Consolidado!$N$25</f>
        <v>55</v>
      </c>
      <c r="W17" s="1238">
        <f>+[3]Consolidado!$O$25</f>
        <v>0</v>
      </c>
      <c r="X17" s="427">
        <f t="shared" ref="X17:Y19" si="7">+L17+N17+P17+R17+T17+V17</f>
        <v>688</v>
      </c>
      <c r="Y17" s="428">
        <f t="shared" si="7"/>
        <v>1</v>
      </c>
      <c r="Z17" s="427">
        <f t="shared" ref="Z17:AA19" si="8">+X17+J17</f>
        <v>1106</v>
      </c>
      <c r="AA17" s="428">
        <f t="shared" si="8"/>
        <v>1</v>
      </c>
    </row>
    <row r="18" spans="1:27" ht="18.75" customHeight="1">
      <c r="A18" s="245" t="s">
        <v>909</v>
      </c>
      <c r="B18" s="1237">
        <f>+[3]Consolidado!$P$15</f>
        <v>152</v>
      </c>
      <c r="C18" s="1238">
        <f>+[3]Consolidado!$Q$15</f>
        <v>0</v>
      </c>
      <c r="D18" s="556">
        <f>+[3]Consolidado!$P$16</f>
        <v>29</v>
      </c>
      <c r="E18" s="1238">
        <f>+[3]Consolidado!$Q$16</f>
        <v>0</v>
      </c>
      <c r="F18" s="556">
        <f>+[3]Consolidado!$P$17</f>
        <v>31</v>
      </c>
      <c r="G18" s="1238">
        <f>+[3]Consolidado!$Q$17</f>
        <v>0</v>
      </c>
      <c r="H18" s="556">
        <f>+[3]Consolidado!$P$18</f>
        <v>17</v>
      </c>
      <c r="I18" s="556">
        <f>+[3]Consolidado!$Q$18</f>
        <v>0</v>
      </c>
      <c r="J18" s="1239">
        <f>+B18+D18+F18+H18</f>
        <v>229</v>
      </c>
      <c r="K18" s="1240">
        <f>+C19+E19+G19+I19</f>
        <v>0</v>
      </c>
      <c r="L18" s="1237">
        <f>+[3]Consolidado!$P$20</f>
        <v>219</v>
      </c>
      <c r="M18" s="1238">
        <f>+[3]Consolidado!$Q$20</f>
        <v>0</v>
      </c>
      <c r="N18" s="1237">
        <f>+[3]Consolidado!$P$21</f>
        <v>42</v>
      </c>
      <c r="O18" s="1238">
        <f>+[3]Consolidado!$Q$21</f>
        <v>0</v>
      </c>
      <c r="P18" s="1237">
        <f>+[3]Consolidado!$P$22</f>
        <v>40</v>
      </c>
      <c r="Q18" s="1238">
        <f>+[3]Consolidado!$Q$22</f>
        <v>0</v>
      </c>
      <c r="R18" s="1237">
        <f>+[3]Consolidado!$P$23</f>
        <v>18</v>
      </c>
      <c r="S18" s="1238">
        <f>+[3]Consolidado!$Q$23</f>
        <v>0</v>
      </c>
      <c r="T18" s="1237">
        <f>+[3]Consolidado!$P$24</f>
        <v>70</v>
      </c>
      <c r="U18" s="1238">
        <f>+[3]Consolidado!$Q$24</f>
        <v>0</v>
      </c>
      <c r="V18" s="1237">
        <f>+[3]Consolidado!$P$25</f>
        <v>38</v>
      </c>
      <c r="W18" s="1238">
        <f>+[3]Consolidado!$Q$25</f>
        <v>1</v>
      </c>
      <c r="X18" s="427">
        <f t="shared" si="7"/>
        <v>427</v>
      </c>
      <c r="Y18" s="428">
        <f t="shared" si="7"/>
        <v>1</v>
      </c>
      <c r="Z18" s="427">
        <f t="shared" si="8"/>
        <v>656</v>
      </c>
      <c r="AA18" s="428">
        <f t="shared" si="8"/>
        <v>1</v>
      </c>
    </row>
    <row r="19" spans="1:27" ht="18.75" customHeight="1">
      <c r="A19" s="245" t="s">
        <v>910</v>
      </c>
      <c r="B19" s="1237">
        <f>+[3]Consolidado!$R$15+[3]Consolidado!$T$15</f>
        <v>26</v>
      </c>
      <c r="C19" s="1238">
        <f>+[3]Consolidado!$S$15+[3]Consolidado!$U$15</f>
        <v>0</v>
      </c>
      <c r="D19" s="556">
        <f>+[3]Consolidado!$R$16+[3]Consolidado!$T$16</f>
        <v>9</v>
      </c>
      <c r="E19" s="1238">
        <f>+[3]Consolidado!$S$16+[3]Consolidado!$U$16</f>
        <v>0</v>
      </c>
      <c r="F19" s="556">
        <f>+[3]Consolidado!$R$17+[3]Consolidado!$T$17</f>
        <v>13</v>
      </c>
      <c r="G19" s="1238">
        <f>+[3]Consolidado!$S$17+[3]Consolidado!$U$17</f>
        <v>0</v>
      </c>
      <c r="H19" s="556">
        <f>+[3]Consolidado!$R$18+[3]Consolidado!$T$18</f>
        <v>6</v>
      </c>
      <c r="I19" s="556">
        <f>+[3]Consolidado!$S$18+[3]Consolidado!$U$18</f>
        <v>0</v>
      </c>
      <c r="J19" s="1239">
        <f t="shared" si="6"/>
        <v>54</v>
      </c>
      <c r="K19" s="1240">
        <f t="shared" si="6"/>
        <v>0</v>
      </c>
      <c r="L19" s="1237">
        <f>+[3]Consolidado!$R$20+[3]Consolidado!$T$20</f>
        <v>50</v>
      </c>
      <c r="M19" s="1238">
        <f>+[3]Consolidado!$S$20+[3]Consolidado!$U$20</f>
        <v>0</v>
      </c>
      <c r="N19" s="1237">
        <f>+[3]Consolidado!$R$21+[3]Consolidado!$T$21</f>
        <v>12</v>
      </c>
      <c r="O19" s="1238">
        <f>+[3]Consolidado!$S$21+[3]Consolidado!$U$21</f>
        <v>0</v>
      </c>
      <c r="P19" s="1237">
        <f>+[3]Consolidado!$R$22+[3]Consolidado!$T$22</f>
        <v>7</v>
      </c>
      <c r="Q19" s="1238">
        <f>+[3]Consolidado!$S$22+[3]Consolidado!$U$22</f>
        <v>0</v>
      </c>
      <c r="R19" s="1237">
        <f>+[3]Consolidado!$R$23+[3]Consolidado!$T$23</f>
        <v>3</v>
      </c>
      <c r="S19" s="1238">
        <f>+[3]Consolidado!$S$23+[3]Consolidado!$U$23</f>
        <v>0</v>
      </c>
      <c r="T19" s="1237">
        <f>+[3]Consolidado!$R$24+[3]Consolidado!$T$24</f>
        <v>32</v>
      </c>
      <c r="U19" s="1238">
        <f>+[3]Consolidado!$S$24+[3]Consolidado!$U$24</f>
        <v>0</v>
      </c>
      <c r="V19" s="1237">
        <f>+[3]Consolidado!$R$25+[3]Consolidado!$T$25</f>
        <v>7</v>
      </c>
      <c r="W19" s="1238">
        <f>+[3]Consolidado!$S$25+[3]Consolidado!$U$25</f>
        <v>0</v>
      </c>
      <c r="X19" s="427">
        <f t="shared" si="7"/>
        <v>111</v>
      </c>
      <c r="Y19" s="428">
        <f t="shared" si="7"/>
        <v>0</v>
      </c>
      <c r="Z19" s="427">
        <f t="shared" si="8"/>
        <v>165</v>
      </c>
      <c r="AA19" s="428">
        <f t="shared" si="8"/>
        <v>0</v>
      </c>
    </row>
    <row r="20" spans="1:27" ht="23.25" customHeight="1">
      <c r="A20" s="249" t="s">
        <v>637</v>
      </c>
      <c r="B20" s="430">
        <f>SUM(B16:B19)</f>
        <v>590</v>
      </c>
      <c r="C20" s="431">
        <f t="shared" ref="C20:R20" si="9">SUM(C16:C19)</f>
        <v>4</v>
      </c>
      <c r="D20" s="430">
        <f>SUM(D16:D19)</f>
        <v>161</v>
      </c>
      <c r="E20" s="432">
        <f t="shared" si="9"/>
        <v>0</v>
      </c>
      <c r="F20" s="431">
        <f t="shared" si="9"/>
        <v>133</v>
      </c>
      <c r="G20" s="431">
        <f t="shared" si="9"/>
        <v>0</v>
      </c>
      <c r="H20" s="430">
        <f>SUM(H16:H19)</f>
        <v>92</v>
      </c>
      <c r="I20" s="432">
        <f t="shared" si="9"/>
        <v>1</v>
      </c>
      <c r="J20" s="433">
        <f t="shared" si="9"/>
        <v>976</v>
      </c>
      <c r="K20" s="434">
        <f t="shared" si="9"/>
        <v>5</v>
      </c>
      <c r="L20" s="431">
        <f t="shared" si="9"/>
        <v>870</v>
      </c>
      <c r="M20" s="431">
        <f t="shared" si="9"/>
        <v>3</v>
      </c>
      <c r="N20" s="430">
        <f t="shared" si="9"/>
        <v>176</v>
      </c>
      <c r="O20" s="432">
        <f t="shared" si="9"/>
        <v>1</v>
      </c>
      <c r="P20" s="431">
        <f t="shared" si="9"/>
        <v>136</v>
      </c>
      <c r="Q20" s="431">
        <f t="shared" si="9"/>
        <v>0</v>
      </c>
      <c r="R20" s="430">
        <f t="shared" si="9"/>
        <v>64</v>
      </c>
      <c r="S20" s="432">
        <f t="shared" ref="S20:AA20" si="10">SUM(S16:S19)</f>
        <v>0</v>
      </c>
      <c r="T20" s="431">
        <f t="shared" si="10"/>
        <v>261</v>
      </c>
      <c r="U20" s="431">
        <f t="shared" si="10"/>
        <v>4</v>
      </c>
      <c r="V20" s="430">
        <f t="shared" si="10"/>
        <v>127</v>
      </c>
      <c r="W20" s="432">
        <f t="shared" si="10"/>
        <v>2</v>
      </c>
      <c r="X20" s="435">
        <f t="shared" si="10"/>
        <v>1634</v>
      </c>
      <c r="Y20" s="436">
        <f t="shared" si="10"/>
        <v>10</v>
      </c>
      <c r="Z20" s="435">
        <f t="shared" si="10"/>
        <v>2610</v>
      </c>
      <c r="AA20" s="436">
        <f t="shared" si="10"/>
        <v>15</v>
      </c>
    </row>
    <row r="21" spans="1:27">
      <c r="A21" s="6"/>
      <c r="B21" s="426"/>
      <c r="C21" s="426"/>
      <c r="D21" s="426"/>
      <c r="E21" s="426"/>
      <c r="F21" s="426"/>
      <c r="G21" s="426"/>
      <c r="H21" s="426"/>
      <c r="I21" s="426"/>
      <c r="J21" s="437"/>
      <c r="K21" s="437"/>
      <c r="L21" s="426"/>
      <c r="M21" s="426"/>
      <c r="N21" s="426"/>
      <c r="O21" s="426"/>
      <c r="P21" s="426"/>
      <c r="Q21" s="426"/>
      <c r="R21" s="426"/>
      <c r="S21" s="426"/>
      <c r="T21" s="426"/>
      <c r="U21" s="426"/>
      <c r="V21" s="426"/>
      <c r="W21" s="426"/>
      <c r="X21" s="437"/>
      <c r="Y21" s="437"/>
      <c r="Z21" s="437"/>
      <c r="AA21" s="437"/>
    </row>
    <row r="22" spans="1:27">
      <c r="A22" s="6"/>
      <c r="B22" s="426"/>
      <c r="C22" s="426"/>
      <c r="D22" s="426"/>
      <c r="E22" s="426"/>
      <c r="F22" s="426"/>
      <c r="G22" s="426"/>
      <c r="H22" s="426"/>
      <c r="I22" s="426"/>
      <c r="J22" s="437"/>
      <c r="K22" s="437"/>
      <c r="L22" s="426"/>
      <c r="M22" s="426"/>
      <c r="N22" s="426"/>
      <c r="O22" s="426"/>
      <c r="P22" s="426"/>
      <c r="Q22" s="426"/>
      <c r="R22" s="426"/>
      <c r="S22" s="426"/>
      <c r="T22" s="426"/>
      <c r="U22" s="426"/>
      <c r="V22" s="426"/>
      <c r="W22" s="426"/>
      <c r="X22" s="437"/>
      <c r="Y22" s="437"/>
      <c r="Z22" s="437"/>
      <c r="AA22" s="437"/>
    </row>
    <row r="23" spans="1:27" ht="20.25" customHeight="1">
      <c r="A23" s="438" t="s">
        <v>1437</v>
      </c>
      <c r="B23" s="439">
        <v>2</v>
      </c>
      <c r="C23" s="440"/>
      <c r="D23" s="439">
        <v>0</v>
      </c>
      <c r="E23" s="441"/>
      <c r="F23" s="440">
        <v>0</v>
      </c>
      <c r="G23" s="440"/>
      <c r="H23" s="439">
        <v>0</v>
      </c>
      <c r="I23" s="441"/>
      <c r="J23" s="442">
        <f>+B23+D23+F23+H23</f>
        <v>2</v>
      </c>
      <c r="K23" s="440"/>
      <c r="L23" s="439">
        <v>0</v>
      </c>
      <c r="M23" s="441"/>
      <c r="N23" s="440">
        <v>0</v>
      </c>
      <c r="O23" s="440"/>
      <c r="P23" s="439">
        <v>0</v>
      </c>
      <c r="Q23" s="441"/>
      <c r="R23" s="440">
        <v>0</v>
      </c>
      <c r="S23" s="440"/>
      <c r="T23" s="439">
        <v>0</v>
      </c>
      <c r="U23" s="441"/>
      <c r="V23" s="440">
        <v>0</v>
      </c>
      <c r="W23" s="441"/>
      <c r="X23" s="443">
        <f>+L23+N23+P23+R23+T23+V23</f>
        <v>0</v>
      </c>
      <c r="Y23" s="444"/>
      <c r="Z23" s="443">
        <f>+X23+J23</f>
        <v>2</v>
      </c>
      <c r="AA23" s="444"/>
    </row>
    <row r="24" spans="1:27" ht="20.25" customHeight="1">
      <c r="A24" s="445" t="s">
        <v>911</v>
      </c>
      <c r="B24" s="446">
        <f>+B23/B20*100</f>
        <v>0.33898305084745761</v>
      </c>
      <c r="C24" s="431"/>
      <c r="D24" s="446">
        <f>+D23/D20*100</f>
        <v>0</v>
      </c>
      <c r="E24" s="432"/>
      <c r="F24" s="447">
        <f>+F23/F20*100</f>
        <v>0</v>
      </c>
      <c r="G24" s="431"/>
      <c r="H24" s="446">
        <f>+H23/H20*100</f>
        <v>0</v>
      </c>
      <c r="I24" s="432"/>
      <c r="J24" s="448">
        <f>+J23/J20*100</f>
        <v>0.20491803278688525</v>
      </c>
      <c r="K24" s="449"/>
      <c r="L24" s="446">
        <f>+L23/L20*100</f>
        <v>0</v>
      </c>
      <c r="M24" s="432"/>
      <c r="N24" s="447">
        <f>+N23/N20*100</f>
        <v>0</v>
      </c>
      <c r="O24" s="431"/>
      <c r="P24" s="446">
        <f>+P23/P20*100</f>
        <v>0</v>
      </c>
      <c r="Q24" s="432"/>
      <c r="R24" s="447">
        <f>+R23/R20*100</f>
        <v>0</v>
      </c>
      <c r="S24" s="431"/>
      <c r="T24" s="446">
        <f>+T23/T20*100</f>
        <v>0</v>
      </c>
      <c r="U24" s="432"/>
      <c r="V24" s="447">
        <f>+V23/V20*100</f>
        <v>0</v>
      </c>
      <c r="W24" s="432"/>
      <c r="X24" s="450">
        <f>+X23/X20*100</f>
        <v>0</v>
      </c>
      <c r="Y24" s="436"/>
      <c r="Z24" s="450">
        <f>+Z23/Z20*100</f>
        <v>7.6628352490421464E-2</v>
      </c>
      <c r="AA24" s="436"/>
    </row>
    <row r="26" spans="1:27">
      <c r="A26" t="s">
        <v>1438</v>
      </c>
    </row>
  </sheetData>
  <phoneticPr fontId="19" type="noConversion"/>
  <pageMargins left="1.1811023622047245" right="0.59055118110236227" top="1.5748031496062993" bottom="0.98425196850393704" header="0.51181102362204722" footer="0.51181102362204722"/>
  <pageSetup paperSize="5" scale="95" orientation="landscape" horizontalDpi="300" verticalDpi="300" r:id="rId1"/>
  <headerFooter alignWithMargins="0"/>
  <ignoredErrors>
    <ignoredError sqref="J16:K17 X16:AA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B16" workbookViewId="0">
      <selection activeCell="L43" sqref="L43"/>
    </sheetView>
  </sheetViews>
  <sheetFormatPr baseColWidth="10" defaultRowHeight="13.2"/>
  <sheetData>
    <row r="5" spans="1:7">
      <c r="F5" s="170"/>
    </row>
    <row r="10" spans="1:7" ht="22.8">
      <c r="A10" s="169"/>
      <c r="B10" s="171"/>
      <c r="C10" s="172"/>
      <c r="D10" s="172"/>
      <c r="E10" s="172"/>
      <c r="F10" s="173"/>
      <c r="G10" s="1"/>
    </row>
    <row r="11" spans="1:7" ht="22.8">
      <c r="A11" s="169"/>
      <c r="B11" s="171"/>
      <c r="C11" s="172"/>
      <c r="D11" s="172"/>
      <c r="E11" s="172"/>
      <c r="F11" s="173"/>
      <c r="G11" s="1"/>
    </row>
    <row r="12" spans="1:7" ht="22.8">
      <c r="A12" s="169"/>
      <c r="B12" s="171"/>
      <c r="C12" s="172"/>
      <c r="D12" s="172"/>
      <c r="E12" s="172"/>
      <c r="F12" s="173"/>
      <c r="G12" s="1"/>
    </row>
    <row r="13" spans="1:7" ht="22.8">
      <c r="A13" s="169"/>
      <c r="B13" s="171"/>
      <c r="C13" s="172"/>
      <c r="D13" s="172"/>
      <c r="E13" s="172"/>
      <c r="F13" s="173"/>
      <c r="G13" s="1"/>
    </row>
    <row r="14" spans="1:7" ht="22.8">
      <c r="A14" s="169"/>
      <c r="B14" s="171"/>
      <c r="C14" s="172"/>
      <c r="D14" s="172"/>
      <c r="E14" s="172"/>
      <c r="F14" s="173"/>
      <c r="G14" s="1"/>
    </row>
    <row r="15" spans="1:7" ht="22.8">
      <c r="A15" s="174"/>
      <c r="B15" s="171"/>
      <c r="C15" s="172"/>
      <c r="D15" s="172"/>
      <c r="E15" s="172"/>
      <c r="F15" s="173"/>
      <c r="G15" s="1"/>
    </row>
    <row r="16" spans="1:7" ht="22.8">
      <c r="A16" s="174"/>
      <c r="B16" s="175"/>
      <c r="C16" s="175"/>
      <c r="D16" s="175"/>
      <c r="E16" s="175"/>
      <c r="F16" s="1"/>
      <c r="G16" s="1"/>
    </row>
    <row r="17" spans="1:7" ht="22.8">
      <c r="A17" s="174"/>
      <c r="B17" s="175"/>
      <c r="C17" s="175"/>
      <c r="D17" s="175"/>
      <c r="E17" s="175"/>
      <c r="F17" s="1"/>
      <c r="G17" s="1"/>
    </row>
    <row r="18" spans="1:7" ht="22.8">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C19" workbookViewId="0">
      <selection activeCell="M10" sqref="M10"/>
    </sheetView>
  </sheetViews>
  <sheetFormatPr baseColWidth="10" defaultRowHeight="13.2"/>
  <cols>
    <col min="1" max="1" width="28" customWidth="1"/>
    <col min="2" max="2" width="5.5546875" customWidth="1"/>
    <col min="3" max="4" width="6.21875" customWidth="1"/>
    <col min="5" max="5" width="6" customWidth="1"/>
    <col min="6" max="7" width="6.21875" customWidth="1"/>
    <col min="8" max="8" width="6" customWidth="1"/>
    <col min="9" max="9" width="6.21875" customWidth="1"/>
    <col min="10" max="12" width="5.77734375" customWidth="1"/>
    <col min="13" max="13" width="6" customWidth="1"/>
    <col min="14" max="15" width="5.77734375" customWidth="1"/>
    <col min="16" max="16" width="6" customWidth="1"/>
    <col min="17" max="17" width="5.44140625" customWidth="1"/>
    <col min="18" max="19" width="5.77734375" customWidth="1"/>
    <col min="20" max="20" width="6.21875" customWidth="1"/>
    <col min="21" max="23" width="5.77734375" customWidth="1"/>
    <col min="24" max="25" width="6.21875" customWidth="1"/>
  </cols>
  <sheetData>
    <row r="1" spans="1:25">
      <c r="A1" s="80" t="s">
        <v>912</v>
      </c>
      <c r="B1" s="1"/>
      <c r="C1" s="1"/>
      <c r="D1" s="1"/>
      <c r="E1" s="1"/>
      <c r="F1" s="1"/>
      <c r="G1" s="1"/>
      <c r="H1" s="1"/>
      <c r="I1" s="1"/>
      <c r="J1" s="1"/>
      <c r="K1" s="1"/>
      <c r="L1" s="1"/>
      <c r="M1" s="1"/>
      <c r="N1" s="1"/>
      <c r="O1" s="1"/>
      <c r="P1" s="1"/>
      <c r="Q1" s="1"/>
      <c r="R1" s="1"/>
      <c r="S1" s="1"/>
      <c r="T1" s="1"/>
      <c r="U1" s="1"/>
      <c r="V1" s="1"/>
      <c r="W1" s="1"/>
      <c r="X1" s="1"/>
      <c r="Y1" s="1"/>
    </row>
    <row r="2" spans="1:25">
      <c r="A2" s="80"/>
      <c r="B2" s="1"/>
      <c r="C2" s="1"/>
      <c r="D2" s="1"/>
      <c r="E2" s="1"/>
      <c r="F2" s="1"/>
      <c r="G2" s="1"/>
      <c r="H2" s="1"/>
      <c r="I2" s="1"/>
      <c r="J2" s="1"/>
      <c r="K2" s="1"/>
      <c r="L2" s="1"/>
      <c r="M2" s="1"/>
      <c r="N2" s="1"/>
      <c r="O2" s="1"/>
      <c r="P2" s="1"/>
      <c r="Q2" s="1"/>
      <c r="R2" s="1"/>
      <c r="S2" s="1"/>
      <c r="T2" s="1"/>
      <c r="U2" s="1"/>
      <c r="V2" s="1"/>
      <c r="W2" s="1"/>
      <c r="X2" s="1"/>
      <c r="Y2" s="1"/>
    </row>
    <row r="3" spans="1:25">
      <c r="A3" s="80" t="s">
        <v>913</v>
      </c>
      <c r="B3" s="1"/>
      <c r="C3" s="1"/>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7" spans="1:25" ht="24" customHeight="1">
      <c r="A7" s="82"/>
      <c r="B7" s="451" t="s">
        <v>914</v>
      </c>
      <c r="C7" s="198"/>
      <c r="D7" s="198"/>
      <c r="E7" s="198"/>
      <c r="F7" s="198"/>
      <c r="G7" s="184"/>
      <c r="H7" s="164" t="s">
        <v>915</v>
      </c>
      <c r="I7" s="198"/>
      <c r="J7" s="198"/>
      <c r="K7" s="198"/>
      <c r="L7" s="198"/>
      <c r="M7" s="198"/>
      <c r="N7" s="451" t="s">
        <v>916</v>
      </c>
      <c r="O7" s="198"/>
      <c r="P7" s="198"/>
      <c r="Q7" s="198"/>
      <c r="R7" s="198"/>
      <c r="S7" s="184"/>
      <c r="T7" s="164" t="s">
        <v>637</v>
      </c>
      <c r="U7" s="198"/>
      <c r="V7" s="198"/>
      <c r="W7" s="198"/>
      <c r="X7" s="198"/>
      <c r="Y7" s="184"/>
    </row>
    <row r="8" spans="1:25" ht="30" customHeight="1">
      <c r="A8" s="452" t="s">
        <v>917</v>
      </c>
      <c r="B8" s="1230">
        <v>2015</v>
      </c>
      <c r="C8" s="1230">
        <v>2016</v>
      </c>
      <c r="D8" s="1230">
        <v>2017</v>
      </c>
      <c r="E8" s="1230">
        <v>2018</v>
      </c>
      <c r="F8" s="1230">
        <v>2019</v>
      </c>
      <c r="G8" s="48">
        <v>2020</v>
      </c>
      <c r="H8" s="48">
        <f>+B8</f>
        <v>2015</v>
      </c>
      <c r="I8" s="48">
        <f>+C8</f>
        <v>2016</v>
      </c>
      <c r="J8" s="48">
        <f>+D8</f>
        <v>2017</v>
      </c>
      <c r="K8" s="48">
        <f>+E8</f>
        <v>2018</v>
      </c>
      <c r="L8" s="48">
        <f>+F8</f>
        <v>2019</v>
      </c>
      <c r="M8" s="48">
        <f t="shared" ref="M8:S8" si="0">+G8</f>
        <v>2020</v>
      </c>
      <c r="N8" s="48">
        <f t="shared" si="0"/>
        <v>2015</v>
      </c>
      <c r="O8" s="48">
        <f t="shared" si="0"/>
        <v>2016</v>
      </c>
      <c r="P8" s="48">
        <f t="shared" si="0"/>
        <v>2017</v>
      </c>
      <c r="Q8" s="48">
        <f t="shared" si="0"/>
        <v>2018</v>
      </c>
      <c r="R8" s="48">
        <f t="shared" si="0"/>
        <v>2019</v>
      </c>
      <c r="S8" s="48">
        <f t="shared" si="0"/>
        <v>2020</v>
      </c>
      <c r="T8" s="49">
        <f t="shared" ref="T8:Y8" si="1">+N8</f>
        <v>2015</v>
      </c>
      <c r="U8" s="49">
        <f t="shared" si="1"/>
        <v>2016</v>
      </c>
      <c r="V8" s="49">
        <f t="shared" si="1"/>
        <v>2017</v>
      </c>
      <c r="W8" s="49">
        <f t="shared" si="1"/>
        <v>2018</v>
      </c>
      <c r="X8" s="49">
        <f t="shared" si="1"/>
        <v>2019</v>
      </c>
      <c r="Y8" s="49">
        <f t="shared" si="1"/>
        <v>2020</v>
      </c>
    </row>
    <row r="9" spans="1:25" ht="24.75" customHeight="1">
      <c r="A9" s="453" t="s">
        <v>918</v>
      </c>
      <c r="B9" s="454">
        <v>1</v>
      </c>
      <c r="C9" s="454"/>
      <c r="D9" s="454">
        <v>3</v>
      </c>
      <c r="E9" s="454">
        <v>0</v>
      </c>
      <c r="F9" s="454">
        <v>0</v>
      </c>
      <c r="G9" s="1024">
        <f>+[4]A24!$C$50</f>
        <v>0</v>
      </c>
      <c r="H9" s="454"/>
      <c r="I9" s="454">
        <v>0</v>
      </c>
      <c r="J9" s="454">
        <v>0</v>
      </c>
      <c r="K9" s="454">
        <v>0</v>
      </c>
      <c r="L9" s="454">
        <v>0</v>
      </c>
      <c r="M9" s="1024">
        <f>+[4]A24!$C$50</f>
        <v>0</v>
      </c>
      <c r="N9" s="455">
        <v>0</v>
      </c>
      <c r="O9" s="455">
        <v>0</v>
      </c>
      <c r="P9" s="455">
        <v>0</v>
      </c>
      <c r="Q9" s="455">
        <v>0</v>
      </c>
      <c r="R9" s="455">
        <v>0</v>
      </c>
      <c r="S9" s="1246">
        <v>0</v>
      </c>
      <c r="T9" s="454">
        <f t="shared" ref="T9:Y9" si="2">+B9+H9+N9</f>
        <v>1</v>
      </c>
      <c r="U9" s="454">
        <f t="shared" si="2"/>
        <v>0</v>
      </c>
      <c r="V9" s="454">
        <f t="shared" si="2"/>
        <v>3</v>
      </c>
      <c r="W9" s="454">
        <f t="shared" si="2"/>
        <v>0</v>
      </c>
      <c r="X9" s="454">
        <f t="shared" si="2"/>
        <v>0</v>
      </c>
      <c r="Y9" s="454">
        <f t="shared" si="2"/>
        <v>0</v>
      </c>
    </row>
    <row r="10" spans="1:25" ht="23.25" customHeight="1">
      <c r="A10" s="456" t="s">
        <v>919</v>
      </c>
      <c r="B10" s="454">
        <v>242</v>
      </c>
      <c r="C10" s="454">
        <v>185</v>
      </c>
      <c r="D10" s="454">
        <v>111</v>
      </c>
      <c r="E10" s="454">
        <v>143</v>
      </c>
      <c r="F10" s="454">
        <v>127</v>
      </c>
      <c r="G10" s="1024">
        <f>+[4]A24!$E$50</f>
        <v>106</v>
      </c>
      <c r="H10" s="454">
        <v>124</v>
      </c>
      <c r="I10" s="454">
        <v>158</v>
      </c>
      <c r="J10" s="454">
        <v>121</v>
      </c>
      <c r="K10" s="454">
        <v>132</v>
      </c>
      <c r="L10" s="454">
        <v>137</v>
      </c>
      <c r="M10" s="1024">
        <f>+[4]A24!$E$50</f>
        <v>50</v>
      </c>
      <c r="N10" s="455">
        <v>0</v>
      </c>
      <c r="O10" s="455">
        <v>0</v>
      </c>
      <c r="P10" s="455">
        <v>0</v>
      </c>
      <c r="Q10" s="455">
        <v>0</v>
      </c>
      <c r="R10" s="455">
        <v>0</v>
      </c>
      <c r="S10" s="1246">
        <v>0</v>
      </c>
      <c r="T10" s="454">
        <f>+B10+H10+N10</f>
        <v>366</v>
      </c>
      <c r="U10" s="454">
        <f t="shared" ref="U10:Y11" si="3">+C10+I10+O10</f>
        <v>343</v>
      </c>
      <c r="V10" s="454">
        <f t="shared" si="3"/>
        <v>232</v>
      </c>
      <c r="W10" s="454">
        <f t="shared" si="3"/>
        <v>275</v>
      </c>
      <c r="X10" s="454">
        <f t="shared" si="3"/>
        <v>264</v>
      </c>
      <c r="Y10" s="454">
        <f t="shared" si="3"/>
        <v>156</v>
      </c>
    </row>
    <row r="11" spans="1:25" ht="25.5" customHeight="1">
      <c r="A11" s="456" t="s">
        <v>920</v>
      </c>
      <c r="B11" s="454">
        <v>162</v>
      </c>
      <c r="C11" s="454">
        <v>108</v>
      </c>
      <c r="D11" s="454">
        <v>73</v>
      </c>
      <c r="E11" s="454">
        <v>100</v>
      </c>
      <c r="F11" s="454">
        <v>104</v>
      </c>
      <c r="G11" s="1024">
        <f>+[4]A24!$D$50</f>
        <v>185</v>
      </c>
      <c r="H11" s="454">
        <v>90</v>
      </c>
      <c r="I11" s="454">
        <v>113</v>
      </c>
      <c r="J11" s="454">
        <v>78</v>
      </c>
      <c r="K11" s="454">
        <v>78</v>
      </c>
      <c r="L11" s="454">
        <v>72</v>
      </c>
      <c r="M11" s="1024">
        <f>+[4]A24!$D$50</f>
        <v>115</v>
      </c>
      <c r="N11" s="455">
        <v>0</v>
      </c>
      <c r="O11" s="455">
        <v>0</v>
      </c>
      <c r="P11" s="455">
        <v>0</v>
      </c>
      <c r="Q11" s="455">
        <v>0</v>
      </c>
      <c r="R11" s="455">
        <v>0</v>
      </c>
      <c r="S11" s="1246">
        <v>0</v>
      </c>
      <c r="T11" s="454">
        <f>+B11+H11+N11</f>
        <v>252</v>
      </c>
      <c r="U11" s="454">
        <f t="shared" si="3"/>
        <v>221</v>
      </c>
      <c r="V11" s="454">
        <f t="shared" si="3"/>
        <v>151</v>
      </c>
      <c r="W11" s="454">
        <f t="shared" si="3"/>
        <v>178</v>
      </c>
      <c r="X11" s="454">
        <f t="shared" si="3"/>
        <v>176</v>
      </c>
      <c r="Y11" s="454">
        <f t="shared" si="3"/>
        <v>300</v>
      </c>
    </row>
    <row r="12" spans="1:25" ht="25.5" customHeight="1">
      <c r="A12" s="457" t="s">
        <v>517</v>
      </c>
      <c r="B12" s="454">
        <v>405</v>
      </c>
      <c r="C12" s="455">
        <v>293</v>
      </c>
      <c r="D12" s="455">
        <v>187</v>
      </c>
      <c r="E12" s="455">
        <v>243</v>
      </c>
      <c r="F12" s="455">
        <v>231</v>
      </c>
      <c r="G12" s="455">
        <f t="shared" ref="G12" si="4">SUM(G9:G11)</f>
        <v>291</v>
      </c>
      <c r="H12" s="454">
        <v>214</v>
      </c>
      <c r="I12" s="454">
        <v>271</v>
      </c>
      <c r="J12" s="454">
        <v>199</v>
      </c>
      <c r="K12" s="454">
        <v>210</v>
      </c>
      <c r="L12" s="454">
        <v>209</v>
      </c>
      <c r="M12" s="1478">
        <f t="shared" ref="M12" si="5">SUM(M9:M11)</f>
        <v>165</v>
      </c>
      <c r="N12" s="454">
        <f t="shared" ref="N12:S12" si="6">SUM(N9:N11)</f>
        <v>0</v>
      </c>
      <c r="O12" s="454">
        <f t="shared" si="6"/>
        <v>0</v>
      </c>
      <c r="P12" s="454">
        <f t="shared" si="6"/>
        <v>0</v>
      </c>
      <c r="Q12" s="454">
        <f t="shared" si="6"/>
        <v>0</v>
      </c>
      <c r="R12" s="455">
        <f t="shared" si="6"/>
        <v>0</v>
      </c>
      <c r="S12" s="455">
        <f t="shared" si="6"/>
        <v>0</v>
      </c>
      <c r="T12" s="454">
        <f t="shared" ref="T12:Y12" si="7">SUM(T9:T11)</f>
        <v>619</v>
      </c>
      <c r="U12" s="454">
        <f t="shared" si="7"/>
        <v>564</v>
      </c>
      <c r="V12" s="454">
        <f t="shared" si="7"/>
        <v>386</v>
      </c>
      <c r="W12" s="454">
        <f t="shared" si="7"/>
        <v>453</v>
      </c>
      <c r="X12" s="454">
        <f t="shared" si="7"/>
        <v>440</v>
      </c>
      <c r="Y12" s="454">
        <f t="shared" si="7"/>
        <v>456</v>
      </c>
    </row>
    <row r="13" spans="1:25" ht="25.5" customHeight="1">
      <c r="A13" s="458" t="s">
        <v>921</v>
      </c>
      <c r="B13" s="454"/>
      <c r="C13" s="454"/>
      <c r="D13" s="454"/>
      <c r="E13" s="454"/>
      <c r="F13" s="454"/>
      <c r="G13" s="454"/>
      <c r="H13" s="454">
        <v>1</v>
      </c>
      <c r="I13" s="454">
        <v>5</v>
      </c>
      <c r="J13" s="454">
        <v>10</v>
      </c>
      <c r="K13" s="454">
        <v>11</v>
      </c>
      <c r="L13" s="1024">
        <v>11</v>
      </c>
      <c r="M13" s="1024">
        <f>+[5]A24!$B$51</f>
        <v>5</v>
      </c>
      <c r="N13" s="454"/>
      <c r="O13" s="454"/>
      <c r="P13" s="454"/>
      <c r="Q13" s="454"/>
      <c r="R13" s="454"/>
      <c r="S13" s="454"/>
      <c r="T13" s="454">
        <f t="shared" ref="T13:Y13" si="8">+H13</f>
        <v>1</v>
      </c>
      <c r="U13" s="454">
        <f t="shared" si="8"/>
        <v>5</v>
      </c>
      <c r="V13" s="454">
        <f t="shared" si="8"/>
        <v>10</v>
      </c>
      <c r="W13" s="454">
        <f t="shared" si="8"/>
        <v>11</v>
      </c>
      <c r="X13" s="454">
        <f t="shared" si="8"/>
        <v>11</v>
      </c>
      <c r="Y13" s="454">
        <f t="shared" si="8"/>
        <v>5</v>
      </c>
    </row>
    <row r="14" spans="1:25" ht="20.25" customHeight="1">
      <c r="A14" s="1627"/>
      <c r="B14" s="1626"/>
      <c r="C14" s="1626"/>
      <c r="D14" s="1626"/>
      <c r="E14" s="1626"/>
      <c r="F14" s="1626"/>
      <c r="G14" s="1626"/>
      <c r="H14" s="1626"/>
      <c r="I14" s="1626"/>
      <c r="J14" s="1626"/>
      <c r="K14" s="1626"/>
      <c r="L14" s="1626"/>
      <c r="M14" s="1626"/>
      <c r="N14" s="1626"/>
      <c r="O14" s="1626"/>
      <c r="P14" s="1626"/>
      <c r="Q14" s="1626"/>
      <c r="R14" s="1626"/>
      <c r="S14" s="1626"/>
      <c r="T14" s="295"/>
      <c r="U14" s="295"/>
      <c r="V14" s="295"/>
      <c r="W14" s="295"/>
      <c r="X14" s="295"/>
      <c r="Y14" s="295"/>
    </row>
    <row r="15" spans="1:25" ht="15.75" customHeight="1">
      <c r="A15" s="1626"/>
      <c r="B15" s="1626"/>
      <c r="C15" s="1626"/>
      <c r="D15" s="1626"/>
      <c r="E15" s="1626"/>
      <c r="F15" s="1626"/>
      <c r="G15" s="1626"/>
      <c r="H15" s="1626"/>
      <c r="I15" s="1626"/>
      <c r="J15" s="1626"/>
      <c r="K15" s="1626"/>
      <c r="L15" s="1626"/>
      <c r="M15" s="1626"/>
      <c r="N15" s="1626"/>
      <c r="O15" s="1626"/>
      <c r="P15" s="1626"/>
      <c r="Q15" s="295"/>
      <c r="R15" s="295"/>
      <c r="S15" s="295"/>
      <c r="T15" s="295"/>
      <c r="U15" s="295"/>
      <c r="V15" s="295"/>
      <c r="W15" s="295"/>
      <c r="X15" s="295"/>
      <c r="Y15" s="295"/>
    </row>
    <row r="16" spans="1:25" ht="12.75" customHeight="1">
      <c r="A16" s="459"/>
      <c r="B16" s="459"/>
      <c r="C16" s="459"/>
      <c r="D16" s="459"/>
      <c r="E16" s="459"/>
      <c r="F16" s="459"/>
      <c r="G16" s="459"/>
      <c r="H16" s="459"/>
      <c r="I16" s="459"/>
      <c r="J16" s="459"/>
      <c r="K16" s="459"/>
      <c r="L16" s="459"/>
      <c r="M16" s="459"/>
      <c r="N16" s="459"/>
      <c r="O16" s="459"/>
      <c r="P16" s="459"/>
      <c r="Q16" s="459"/>
      <c r="R16" s="459"/>
      <c r="S16" s="459"/>
      <c r="T16" s="459"/>
      <c r="U16" s="459"/>
      <c r="V16" s="459"/>
      <c r="W16" s="459"/>
      <c r="X16" s="459"/>
      <c r="Y16" s="459"/>
    </row>
  </sheetData>
  <mergeCells count="2">
    <mergeCell ref="A15:P15"/>
    <mergeCell ref="A14:S14"/>
  </mergeCells>
  <phoneticPr fontId="19" type="noConversion"/>
  <pageMargins left="1.1811023622047245" right="0.59055118110236227" top="0.98425196850393704" bottom="0.98425196850393704" header="0.51181102362204722" footer="0.51181102362204722"/>
  <pageSetup paperSize="5" scale="8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topLeftCell="A7" zoomScale="84" zoomScaleNormal="84" workbookViewId="0">
      <pane xSplit="2" ySplit="2" topLeftCell="S42" activePane="bottomRight" state="frozen"/>
      <selection activeCell="A7" sqref="A7"/>
      <selection pane="topRight" activeCell="C7" sqref="C7"/>
      <selection pane="bottomLeft" activeCell="A9" sqref="A9"/>
      <selection pane="bottomRight" activeCell="F52" sqref="F52"/>
    </sheetView>
  </sheetViews>
  <sheetFormatPr baseColWidth="10" defaultRowHeight="13.2"/>
  <cols>
    <col min="1" max="1" width="12.44140625" customWidth="1"/>
    <col min="2" max="2" width="19.77734375" customWidth="1"/>
    <col min="3" max="3" width="8" customWidth="1"/>
    <col min="4" max="4" width="8.21875" customWidth="1"/>
    <col min="5" max="5" width="8" customWidth="1"/>
    <col min="6" max="6" width="7.77734375" customWidth="1"/>
    <col min="7" max="9" width="8.21875" customWidth="1"/>
    <col min="10" max="10" width="9.5546875" customWidth="1"/>
    <col min="11" max="14" width="7.21875" customWidth="1"/>
    <col min="15" max="17" width="8.21875" customWidth="1"/>
    <col min="18" max="18" width="8.77734375" customWidth="1"/>
    <col min="19" max="22" width="7.21875" customWidth="1"/>
    <col min="23" max="23" width="8.21875" customWidth="1"/>
    <col min="24" max="26" width="7.21875" customWidth="1"/>
    <col min="27" max="28" width="8.77734375" customWidth="1"/>
    <col min="29" max="29" width="8.5546875" customWidth="1"/>
    <col min="30" max="30" width="9.21875" customWidth="1"/>
  </cols>
  <sheetData>
    <row r="1" spans="1:30">
      <c r="A1" s="1616" t="s">
        <v>922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row>
    <row r="2" spans="1:30">
      <c r="A2" s="1616" t="s">
        <v>923</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row>
    <row r="3" spans="1:30">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row>
    <row r="4" spans="1:30">
      <c r="A4" s="1616" t="s">
        <v>1664</v>
      </c>
      <c r="B4" s="1616"/>
      <c r="C4" s="1616"/>
      <c r="D4" s="1616"/>
      <c r="E4" s="1616"/>
      <c r="F4" s="1616"/>
      <c r="G4" s="1616"/>
      <c r="H4" s="1616"/>
      <c r="I4" s="1616"/>
      <c r="J4" s="1616"/>
      <c r="K4" s="1616"/>
      <c r="L4" s="1616"/>
      <c r="M4" s="1616"/>
      <c r="N4" s="1616"/>
      <c r="O4" s="1616"/>
      <c r="P4" s="1616"/>
      <c r="Q4" s="1616"/>
      <c r="R4" s="1616"/>
      <c r="S4" s="1616"/>
      <c r="T4" s="1616"/>
      <c r="U4" s="1616"/>
      <c r="V4" s="1616"/>
      <c r="W4" s="1616"/>
      <c r="X4" s="1616"/>
      <c r="Y4" s="1616"/>
      <c r="Z4" s="1616"/>
      <c r="AA4" s="1616"/>
      <c r="AB4" s="1616"/>
      <c r="AC4" s="1616"/>
      <c r="AD4" s="1616"/>
    </row>
    <row r="5" spans="1:30">
      <c r="A5" s="378"/>
      <c r="B5" s="378"/>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row>
    <row r="6" spans="1:30">
      <c r="A6" s="378"/>
      <c r="B6" s="378"/>
      <c r="C6" s="378"/>
      <c r="D6" s="378"/>
      <c r="E6" s="378"/>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row>
    <row r="7" spans="1:30" s="6" customFormat="1" ht="22.5" customHeight="1">
      <c r="A7" s="439" t="s">
        <v>536</v>
      </c>
      <c r="B7" s="460" t="s">
        <v>835</v>
      </c>
      <c r="C7" s="1612" t="s">
        <v>924</v>
      </c>
      <c r="D7" s="1612"/>
      <c r="E7" s="1607"/>
      <c r="F7" s="1613"/>
      <c r="G7" s="1612" t="s">
        <v>925</v>
      </c>
      <c r="H7" s="1612"/>
      <c r="I7" s="1607"/>
      <c r="J7" s="1612"/>
      <c r="K7" s="1611" t="s">
        <v>926</v>
      </c>
      <c r="L7" s="1612"/>
      <c r="M7" s="1607"/>
      <c r="N7" s="1613"/>
      <c r="O7" s="1612" t="s">
        <v>927</v>
      </c>
      <c r="P7" s="1612"/>
      <c r="Q7" s="1612"/>
      <c r="R7" s="1612"/>
      <c r="S7" s="1611" t="s">
        <v>928</v>
      </c>
      <c r="T7" s="1612"/>
      <c r="U7" s="1612"/>
      <c r="V7" s="1613"/>
      <c r="W7" s="1630" t="s">
        <v>1430</v>
      </c>
      <c r="X7" s="1612"/>
      <c r="Y7" s="1612"/>
      <c r="Z7" s="1612"/>
      <c r="AA7" s="1611" t="s">
        <v>637</v>
      </c>
      <c r="AB7" s="1612"/>
      <c r="AC7" s="1612"/>
      <c r="AD7" s="1613"/>
    </row>
    <row r="8" spans="1:30" s="6" customFormat="1" ht="22.5" customHeight="1">
      <c r="A8" s="461"/>
      <c r="B8" s="497"/>
      <c r="C8" s="463">
        <v>2017</v>
      </c>
      <c r="D8" s="463">
        <v>2018</v>
      </c>
      <c r="E8" s="463">
        <v>2019</v>
      </c>
      <c r="F8" s="464">
        <v>2020</v>
      </c>
      <c r="G8" s="463">
        <f>+C8</f>
        <v>2017</v>
      </c>
      <c r="H8" s="463">
        <f>+D8</f>
        <v>2018</v>
      </c>
      <c r="I8" s="463">
        <f>+E8</f>
        <v>2019</v>
      </c>
      <c r="J8" s="463">
        <f t="shared" ref="J8:AD8" si="0">+F8</f>
        <v>2020</v>
      </c>
      <c r="K8" s="462">
        <f>+G8</f>
        <v>2017</v>
      </c>
      <c r="L8" s="463">
        <f>+H8</f>
        <v>2018</v>
      </c>
      <c r="M8" s="463">
        <f>+I8</f>
        <v>2019</v>
      </c>
      <c r="N8" s="464">
        <f t="shared" si="0"/>
        <v>2020</v>
      </c>
      <c r="O8" s="463">
        <f t="shared" si="0"/>
        <v>2017</v>
      </c>
      <c r="P8" s="463">
        <f t="shared" si="0"/>
        <v>2018</v>
      </c>
      <c r="Q8" s="463">
        <f t="shared" si="0"/>
        <v>2019</v>
      </c>
      <c r="R8" s="463">
        <f t="shared" si="0"/>
        <v>2020</v>
      </c>
      <c r="S8" s="462">
        <f t="shared" si="0"/>
        <v>2017</v>
      </c>
      <c r="T8" s="463">
        <f t="shared" si="0"/>
        <v>2018</v>
      </c>
      <c r="U8" s="463">
        <f t="shared" si="0"/>
        <v>2019</v>
      </c>
      <c r="V8" s="464">
        <f t="shared" si="0"/>
        <v>2020</v>
      </c>
      <c r="W8" s="462">
        <f t="shared" si="0"/>
        <v>2017</v>
      </c>
      <c r="X8" s="463">
        <f t="shared" si="0"/>
        <v>2018</v>
      </c>
      <c r="Y8" s="463">
        <f t="shared" si="0"/>
        <v>2019</v>
      </c>
      <c r="Z8" s="464">
        <f t="shared" si="0"/>
        <v>2020</v>
      </c>
      <c r="AA8" s="462">
        <f t="shared" si="0"/>
        <v>2017</v>
      </c>
      <c r="AB8" s="463">
        <f t="shared" si="0"/>
        <v>2018</v>
      </c>
      <c r="AC8" s="463">
        <f t="shared" si="0"/>
        <v>2019</v>
      </c>
      <c r="AD8" s="464">
        <f t="shared" si="0"/>
        <v>2020</v>
      </c>
    </row>
    <row r="9" spans="1:30" s="6" customFormat="1" ht="22.5" customHeight="1">
      <c r="A9" s="465" t="s">
        <v>929</v>
      </c>
      <c r="B9" s="293" t="s">
        <v>1322</v>
      </c>
      <c r="C9" s="353">
        <v>4344</v>
      </c>
      <c r="D9" s="353">
        <v>4288</v>
      </c>
      <c r="E9" s="353">
        <v>3487</v>
      </c>
      <c r="F9" s="466">
        <v>1254</v>
      </c>
      <c r="G9" s="353">
        <v>2422</v>
      </c>
      <c r="H9" s="353">
        <v>2570</v>
      </c>
      <c r="I9" s="353">
        <v>2462</v>
      </c>
      <c r="J9" s="466">
        <v>547</v>
      </c>
      <c r="K9" s="353">
        <v>250</v>
      </c>
      <c r="L9" s="353">
        <v>185</v>
      </c>
      <c r="M9" s="353">
        <v>191</v>
      </c>
      <c r="N9" s="466">
        <v>185</v>
      </c>
      <c r="O9" s="353">
        <v>1186</v>
      </c>
      <c r="P9" s="353">
        <v>1170</v>
      </c>
      <c r="Q9" s="353">
        <v>1154</v>
      </c>
      <c r="R9" s="466">
        <v>521</v>
      </c>
      <c r="S9" s="353">
        <v>41</v>
      </c>
      <c r="T9" s="353">
        <v>92</v>
      </c>
      <c r="U9" s="353">
        <v>90</v>
      </c>
      <c r="V9" s="466">
        <v>47</v>
      </c>
      <c r="W9" s="353"/>
      <c r="X9" s="353"/>
      <c r="Y9" s="353"/>
      <c r="Z9" s="353"/>
      <c r="AA9" s="352">
        <f t="shared" ref="AA9:AD13" si="1">+W9+S9+O9+K9+G9+C9</f>
        <v>8243</v>
      </c>
      <c r="AB9" s="353">
        <f t="shared" si="1"/>
        <v>8305</v>
      </c>
      <c r="AC9" s="353">
        <f t="shared" si="1"/>
        <v>7384</v>
      </c>
      <c r="AD9" s="466">
        <f t="shared" si="1"/>
        <v>2554</v>
      </c>
    </row>
    <row r="10" spans="1:30" s="6" customFormat="1" ht="22.5" customHeight="1">
      <c r="A10" s="465"/>
      <c r="B10" s="293" t="s">
        <v>1323</v>
      </c>
      <c r="C10" s="353">
        <v>5395</v>
      </c>
      <c r="D10" s="353">
        <v>5215</v>
      </c>
      <c r="E10" s="353">
        <v>4980</v>
      </c>
      <c r="F10" s="466">
        <v>1971</v>
      </c>
      <c r="G10" s="353">
        <v>3643</v>
      </c>
      <c r="H10" s="353">
        <v>3243</v>
      </c>
      <c r="I10" s="353">
        <v>3356</v>
      </c>
      <c r="J10" s="466">
        <v>1311</v>
      </c>
      <c r="K10" s="353">
        <v>377</v>
      </c>
      <c r="L10" s="353">
        <v>367</v>
      </c>
      <c r="M10" s="353">
        <v>431</v>
      </c>
      <c r="N10" s="466">
        <v>290</v>
      </c>
      <c r="O10" s="353">
        <v>2120</v>
      </c>
      <c r="P10" s="353">
        <v>1849</v>
      </c>
      <c r="Q10" s="522">
        <v>1698</v>
      </c>
      <c r="R10" s="507">
        <v>383</v>
      </c>
      <c r="S10" s="353">
        <v>100</v>
      </c>
      <c r="T10" s="353">
        <v>167</v>
      </c>
      <c r="U10" s="353">
        <v>66</v>
      </c>
      <c r="V10" s="466">
        <v>46</v>
      </c>
      <c r="W10" s="353">
        <v>1</v>
      </c>
      <c r="X10" s="353"/>
      <c r="Y10" s="353"/>
      <c r="Z10" s="353"/>
      <c r="AA10" s="352">
        <f t="shared" si="1"/>
        <v>11636</v>
      </c>
      <c r="AB10" s="353">
        <f t="shared" si="1"/>
        <v>10841</v>
      </c>
      <c r="AC10" s="353">
        <f t="shared" si="1"/>
        <v>10531</v>
      </c>
      <c r="AD10" s="466">
        <f t="shared" si="1"/>
        <v>4001</v>
      </c>
    </row>
    <row r="11" spans="1:30" s="6" customFormat="1" ht="22.5" customHeight="1">
      <c r="A11" s="465"/>
      <c r="B11" s="334" t="s">
        <v>804</v>
      </c>
      <c r="C11" s="353">
        <v>822</v>
      </c>
      <c r="D11" s="353">
        <v>794</v>
      </c>
      <c r="E11" s="353">
        <v>783</v>
      </c>
      <c r="F11" s="466">
        <v>218</v>
      </c>
      <c r="G11" s="353">
        <v>538</v>
      </c>
      <c r="H11" s="353">
        <v>514</v>
      </c>
      <c r="I11" s="353">
        <v>474</v>
      </c>
      <c r="J11" s="466">
        <v>123</v>
      </c>
      <c r="K11" s="353">
        <v>15</v>
      </c>
      <c r="L11" s="353">
        <v>38</v>
      </c>
      <c r="M11" s="353">
        <v>22</v>
      </c>
      <c r="N11" s="466">
        <v>22</v>
      </c>
      <c r="O11" s="353">
        <v>169</v>
      </c>
      <c r="P11" s="353">
        <v>192</v>
      </c>
      <c r="Q11" s="353">
        <v>248</v>
      </c>
      <c r="R11" s="466">
        <v>43</v>
      </c>
      <c r="S11" s="353">
        <v>73</v>
      </c>
      <c r="T11" s="353">
        <v>23</v>
      </c>
      <c r="U11" s="353">
        <v>50</v>
      </c>
      <c r="V11" s="466">
        <v>84</v>
      </c>
      <c r="W11" s="353"/>
      <c r="X11" s="353"/>
      <c r="Y11" s="353"/>
      <c r="Z11" s="353"/>
      <c r="AA11" s="352">
        <f t="shared" si="1"/>
        <v>1617</v>
      </c>
      <c r="AB11" s="353">
        <f t="shared" si="1"/>
        <v>1561</v>
      </c>
      <c r="AC11" s="353">
        <f t="shared" si="1"/>
        <v>1577</v>
      </c>
      <c r="AD11" s="466">
        <f t="shared" si="1"/>
        <v>490</v>
      </c>
    </row>
    <row r="12" spans="1:30" s="6" customFormat="1" ht="22.5" customHeight="1">
      <c r="A12" s="465"/>
      <c r="B12" s="293" t="s">
        <v>1577</v>
      </c>
      <c r="C12" s="353"/>
      <c r="D12" s="353"/>
      <c r="E12" s="353"/>
      <c r="F12" s="466"/>
      <c r="G12" s="353"/>
      <c r="H12" s="353"/>
      <c r="I12" s="353">
        <v>147</v>
      </c>
      <c r="J12" s="466">
        <v>173</v>
      </c>
      <c r="K12" s="353"/>
      <c r="L12" s="353"/>
      <c r="M12" s="353"/>
      <c r="N12" s="466"/>
      <c r="O12" s="353"/>
      <c r="P12" s="353"/>
      <c r="Q12" s="353"/>
      <c r="R12" s="466"/>
      <c r="S12" s="353"/>
      <c r="T12" s="353"/>
      <c r="U12" s="353">
        <v>156</v>
      </c>
      <c r="V12" s="466">
        <v>16</v>
      </c>
      <c r="W12" s="353"/>
      <c r="X12" s="353">
        <v>8</v>
      </c>
      <c r="Y12" s="353"/>
      <c r="Z12" s="466"/>
      <c r="AA12" s="352">
        <f t="shared" ref="AA12" si="2">+W12+S12+O12+K12+G12+C12</f>
        <v>0</v>
      </c>
      <c r="AB12" s="353">
        <f t="shared" ref="AB12" si="3">+X12+T12+P12+L12+H12+D12</f>
        <v>8</v>
      </c>
      <c r="AC12" s="353">
        <f t="shared" si="1"/>
        <v>303</v>
      </c>
      <c r="AD12" s="466">
        <f t="shared" si="1"/>
        <v>189</v>
      </c>
    </row>
    <row r="13" spans="1:30" s="6" customFormat="1" ht="22.5" customHeight="1">
      <c r="A13" s="465"/>
      <c r="B13" s="293" t="s">
        <v>1188</v>
      </c>
      <c r="C13" s="353">
        <v>180</v>
      </c>
      <c r="D13" s="522">
        <v>198</v>
      </c>
      <c r="E13" s="522">
        <v>170</v>
      </c>
      <c r="F13" s="507">
        <v>96</v>
      </c>
      <c r="G13" s="353">
        <v>110</v>
      </c>
      <c r="H13" s="353">
        <v>91</v>
      </c>
      <c r="I13" s="353">
        <v>121</v>
      </c>
      <c r="J13" s="466">
        <v>41</v>
      </c>
      <c r="K13" s="353">
        <v>7</v>
      </c>
      <c r="L13" s="353">
        <v>1</v>
      </c>
      <c r="M13" s="353">
        <v>6</v>
      </c>
      <c r="N13" s="466">
        <v>4</v>
      </c>
      <c r="O13" s="353">
        <v>47</v>
      </c>
      <c r="P13" s="353">
        <v>45</v>
      </c>
      <c r="Q13" s="353">
        <v>69</v>
      </c>
      <c r="R13" s="466">
        <v>31</v>
      </c>
      <c r="S13" s="353"/>
      <c r="T13" s="353"/>
      <c r="U13" s="353">
        <v>5</v>
      </c>
      <c r="V13" s="466">
        <v>11</v>
      </c>
      <c r="W13" s="353"/>
      <c r="X13" s="353"/>
      <c r="Y13" s="353"/>
      <c r="Z13" s="466"/>
      <c r="AA13" s="353">
        <f t="shared" si="1"/>
        <v>344</v>
      </c>
      <c r="AB13" s="353">
        <f t="shared" si="1"/>
        <v>335</v>
      </c>
      <c r="AC13" s="353">
        <f t="shared" si="1"/>
        <v>371</v>
      </c>
      <c r="AD13" s="466">
        <f>+Z13+V13+R13+N13+J13+F13</f>
        <v>183</v>
      </c>
    </row>
    <row r="14" spans="1:30" s="6" customFormat="1" ht="22.5" customHeight="1">
      <c r="A14" s="465"/>
      <c r="B14" s="334" t="s">
        <v>625</v>
      </c>
      <c r="C14" s="353">
        <v>10741</v>
      </c>
      <c r="D14" s="353">
        <v>10495</v>
      </c>
      <c r="E14" s="353">
        <f>SUM(E9:E13)</f>
        <v>9420</v>
      </c>
      <c r="F14" s="466">
        <f>SUM(F9:F13)</f>
        <v>3539</v>
      </c>
      <c r="G14" s="353">
        <v>6713</v>
      </c>
      <c r="H14" s="353">
        <v>6418</v>
      </c>
      <c r="I14" s="353">
        <f>SUM(I9:I13)</f>
        <v>6560</v>
      </c>
      <c r="J14" s="466">
        <f>SUM(J9:J13)</f>
        <v>2195</v>
      </c>
      <c r="K14" s="353">
        <v>649</v>
      </c>
      <c r="L14" s="353">
        <v>591</v>
      </c>
      <c r="M14" s="353">
        <f>SUM(M9:M13)</f>
        <v>650</v>
      </c>
      <c r="N14" s="466">
        <f>SUM(N9:N13)</f>
        <v>501</v>
      </c>
      <c r="O14" s="353">
        <v>3522</v>
      </c>
      <c r="P14" s="353">
        <v>3256</v>
      </c>
      <c r="Q14" s="353">
        <f>SUM(Q9:Q13)</f>
        <v>3169</v>
      </c>
      <c r="R14" s="466">
        <f>SUM(R9:R13)</f>
        <v>978</v>
      </c>
      <c r="S14" s="353">
        <v>214</v>
      </c>
      <c r="T14" s="353">
        <v>282</v>
      </c>
      <c r="U14" s="353">
        <f>SUM(U9:U13)</f>
        <v>367</v>
      </c>
      <c r="V14" s="466">
        <f>SUM(V9:V13)</f>
        <v>204</v>
      </c>
      <c r="W14" s="353">
        <v>1</v>
      </c>
      <c r="X14" s="353">
        <v>8</v>
      </c>
      <c r="Y14" s="353">
        <f t="shared" ref="Y14" si="4">SUM(Y9:Y13)</f>
        <v>0</v>
      </c>
      <c r="Z14" s="466">
        <f t="shared" ref="Z14:AD14" si="5">SUM(Z9:Z13)</f>
        <v>0</v>
      </c>
      <c r="AA14" s="352">
        <f t="shared" si="5"/>
        <v>21840</v>
      </c>
      <c r="AB14" s="353">
        <f t="shared" si="5"/>
        <v>21050</v>
      </c>
      <c r="AC14" s="353">
        <f t="shared" si="5"/>
        <v>20166</v>
      </c>
      <c r="AD14" s="466">
        <f t="shared" si="5"/>
        <v>7417</v>
      </c>
    </row>
    <row r="15" spans="1:30" s="6" customFormat="1" ht="22.5" customHeight="1">
      <c r="A15" s="465" t="s">
        <v>522</v>
      </c>
      <c r="B15" s="293" t="s">
        <v>805</v>
      </c>
      <c r="C15" s="353">
        <v>3151</v>
      </c>
      <c r="D15" s="353">
        <v>2922</v>
      </c>
      <c r="E15" s="353">
        <v>3303</v>
      </c>
      <c r="F15" s="466">
        <v>1341</v>
      </c>
      <c r="G15" s="353">
        <v>1668</v>
      </c>
      <c r="H15" s="353">
        <v>1659</v>
      </c>
      <c r="I15" s="353">
        <v>1774</v>
      </c>
      <c r="J15" s="466">
        <v>465</v>
      </c>
      <c r="K15" s="353">
        <v>131</v>
      </c>
      <c r="L15" s="353">
        <v>164</v>
      </c>
      <c r="M15" s="353">
        <v>77</v>
      </c>
      <c r="N15" s="466">
        <v>140</v>
      </c>
      <c r="O15" s="353">
        <v>1127</v>
      </c>
      <c r="P15" s="353">
        <v>1167</v>
      </c>
      <c r="Q15" s="353">
        <v>1103</v>
      </c>
      <c r="R15" s="466">
        <v>195</v>
      </c>
      <c r="S15" s="353">
        <v>61</v>
      </c>
      <c r="T15" s="353">
        <v>140</v>
      </c>
      <c r="U15" s="353">
        <v>135</v>
      </c>
      <c r="V15" s="466">
        <v>189</v>
      </c>
      <c r="W15" s="353"/>
      <c r="X15" s="353"/>
      <c r="Y15" s="353"/>
      <c r="Z15" s="466"/>
      <c r="AA15" s="352">
        <f>+W15+S15+O15+K15+G15+C15</f>
        <v>6138</v>
      </c>
      <c r="AB15" s="353">
        <f>+X15+T15+P15+L15+H15+D15</f>
        <v>6052</v>
      </c>
      <c r="AC15" s="353">
        <f>+Y15+U15+Q15+M15+I15+E15</f>
        <v>6392</v>
      </c>
      <c r="AD15" s="466">
        <f>+Z15+V15+R15+N15+J15+F15</f>
        <v>2330</v>
      </c>
    </row>
    <row r="16" spans="1:30" s="6" customFormat="1" ht="22.5" customHeight="1">
      <c r="A16" s="465"/>
      <c r="B16" s="293" t="s">
        <v>1193</v>
      </c>
      <c r="C16" s="353">
        <v>561</v>
      </c>
      <c r="D16" s="353">
        <v>600</v>
      </c>
      <c r="E16" s="353">
        <v>615</v>
      </c>
      <c r="F16" s="466">
        <v>251</v>
      </c>
      <c r="G16" s="353">
        <v>269</v>
      </c>
      <c r="H16" s="353">
        <v>277</v>
      </c>
      <c r="I16" s="353">
        <v>341</v>
      </c>
      <c r="J16" s="466">
        <v>74</v>
      </c>
      <c r="K16" s="353">
        <v>25</v>
      </c>
      <c r="L16" s="353">
        <v>20</v>
      </c>
      <c r="M16" s="353">
        <v>27</v>
      </c>
      <c r="N16" s="466">
        <v>10</v>
      </c>
      <c r="O16" s="353">
        <v>229</v>
      </c>
      <c r="P16" s="353">
        <v>244</v>
      </c>
      <c r="Q16" s="353">
        <v>191</v>
      </c>
      <c r="R16" s="466">
        <v>53</v>
      </c>
      <c r="S16" s="353"/>
      <c r="T16" s="353"/>
      <c r="U16" s="353">
        <v>1</v>
      </c>
      <c r="V16" s="466">
        <v>5</v>
      </c>
      <c r="W16" s="353"/>
      <c r="X16" s="353"/>
      <c r="Y16" s="353"/>
      <c r="Z16" s="466"/>
      <c r="AA16" s="353">
        <f t="shared" ref="AA16:AD17" si="6">+W16+S16+O16+K16+G16+C16</f>
        <v>1084</v>
      </c>
      <c r="AB16" s="353">
        <f t="shared" si="6"/>
        <v>1141</v>
      </c>
      <c r="AC16" s="353">
        <f t="shared" si="6"/>
        <v>1175</v>
      </c>
      <c r="AD16" s="466">
        <f t="shared" si="6"/>
        <v>393</v>
      </c>
    </row>
    <row r="17" spans="1:30" s="6" customFormat="1" ht="22.5" customHeight="1">
      <c r="A17" s="465"/>
      <c r="B17" s="293" t="s">
        <v>1190</v>
      </c>
      <c r="C17" s="353">
        <v>241</v>
      </c>
      <c r="D17" s="353">
        <v>201</v>
      </c>
      <c r="E17" s="353">
        <v>209</v>
      </c>
      <c r="F17" s="466">
        <v>133</v>
      </c>
      <c r="G17" s="353">
        <v>183</v>
      </c>
      <c r="H17" s="353">
        <v>186</v>
      </c>
      <c r="I17" s="353">
        <v>201</v>
      </c>
      <c r="J17" s="466">
        <v>97</v>
      </c>
      <c r="K17" s="353">
        <v>5</v>
      </c>
      <c r="L17" s="353">
        <v>10</v>
      </c>
      <c r="M17" s="353">
        <v>5</v>
      </c>
      <c r="N17" s="466">
        <v>10</v>
      </c>
      <c r="O17" s="353">
        <v>110</v>
      </c>
      <c r="P17" s="353">
        <v>137</v>
      </c>
      <c r="Q17" s="353">
        <v>113</v>
      </c>
      <c r="R17" s="466">
        <v>48</v>
      </c>
      <c r="S17" s="353">
        <v>0</v>
      </c>
      <c r="T17" s="353"/>
      <c r="U17" s="353"/>
      <c r="V17" s="466"/>
      <c r="W17" s="353"/>
      <c r="X17" s="353"/>
      <c r="Y17" s="353"/>
      <c r="Z17" s="466"/>
      <c r="AA17" s="353">
        <f t="shared" si="6"/>
        <v>539</v>
      </c>
      <c r="AB17" s="353">
        <f t="shared" si="6"/>
        <v>534</v>
      </c>
      <c r="AC17" s="353">
        <f t="shared" si="6"/>
        <v>528</v>
      </c>
      <c r="AD17" s="466">
        <f t="shared" si="6"/>
        <v>288</v>
      </c>
    </row>
    <row r="18" spans="1:30" s="6" customFormat="1" ht="22.5" customHeight="1">
      <c r="A18" s="465"/>
      <c r="B18" s="334" t="s">
        <v>625</v>
      </c>
      <c r="C18" s="353">
        <v>3953</v>
      </c>
      <c r="D18" s="353">
        <v>3723</v>
      </c>
      <c r="E18" s="353">
        <f>SUM(E15:E17)</f>
        <v>4127</v>
      </c>
      <c r="F18" s="466">
        <f>SUM(F15:F17)</f>
        <v>1725</v>
      </c>
      <c r="G18" s="353">
        <v>2120</v>
      </c>
      <c r="H18" s="353">
        <v>2122</v>
      </c>
      <c r="I18" s="353">
        <f>SUM(I15:I17)</f>
        <v>2316</v>
      </c>
      <c r="J18" s="466">
        <f>SUM(J15:J17)</f>
        <v>636</v>
      </c>
      <c r="K18" s="353">
        <v>161</v>
      </c>
      <c r="L18" s="353">
        <v>194</v>
      </c>
      <c r="M18" s="353">
        <f>SUM(M15:M17)</f>
        <v>109</v>
      </c>
      <c r="N18" s="466">
        <f>SUM(N15:N17)</f>
        <v>160</v>
      </c>
      <c r="O18" s="353">
        <v>1466</v>
      </c>
      <c r="P18" s="353">
        <v>1548</v>
      </c>
      <c r="Q18" s="353">
        <f>SUM(Q15:Q17)</f>
        <v>1407</v>
      </c>
      <c r="R18" s="466">
        <f>SUM(R15:R17)</f>
        <v>296</v>
      </c>
      <c r="S18" s="353">
        <v>61</v>
      </c>
      <c r="T18" s="353">
        <v>140</v>
      </c>
      <c r="U18" s="353">
        <f t="shared" ref="U18" si="7">SUM(U15:U17)</f>
        <v>136</v>
      </c>
      <c r="V18" s="466">
        <f t="shared" ref="V18:Z18" si="8">SUM(V15:V17)</f>
        <v>194</v>
      </c>
      <c r="W18" s="353">
        <v>0</v>
      </c>
      <c r="X18" s="353">
        <v>0</v>
      </c>
      <c r="Y18" s="353">
        <f t="shared" ref="Y18" si="9">SUM(Y15:Y17)</f>
        <v>0</v>
      </c>
      <c r="Z18" s="466">
        <f t="shared" si="8"/>
        <v>0</v>
      </c>
      <c r="AA18" s="353">
        <f>SUM(AA15:AA17)</f>
        <v>7761</v>
      </c>
      <c r="AB18" s="353">
        <f>SUM(AB15:AB17)</f>
        <v>7727</v>
      </c>
      <c r="AC18" s="353">
        <f>SUM(AC15:AC17)</f>
        <v>8095</v>
      </c>
      <c r="AD18" s="466">
        <f>SUM(AD15:AD17)</f>
        <v>3011</v>
      </c>
    </row>
    <row r="19" spans="1:30" s="6" customFormat="1" ht="22.5" customHeight="1">
      <c r="A19" s="465" t="s">
        <v>930</v>
      </c>
      <c r="B19" s="334" t="s">
        <v>807</v>
      </c>
      <c r="C19" s="353">
        <v>3524</v>
      </c>
      <c r="D19" s="353">
        <v>3833</v>
      </c>
      <c r="E19" s="353">
        <v>3348</v>
      </c>
      <c r="F19" s="466">
        <v>1322</v>
      </c>
      <c r="G19" s="353">
        <v>1380</v>
      </c>
      <c r="H19" s="353">
        <v>1346</v>
      </c>
      <c r="I19" s="353">
        <v>1458</v>
      </c>
      <c r="J19" s="466">
        <v>1093</v>
      </c>
      <c r="K19" s="353">
        <v>112</v>
      </c>
      <c r="L19" s="353">
        <v>111</v>
      </c>
      <c r="M19" s="353">
        <v>114</v>
      </c>
      <c r="N19" s="466">
        <v>53</v>
      </c>
      <c r="O19" s="353">
        <v>874</v>
      </c>
      <c r="P19" s="353">
        <v>883</v>
      </c>
      <c r="Q19" s="353">
        <v>775</v>
      </c>
      <c r="R19" s="466">
        <v>100</v>
      </c>
      <c r="S19" s="353">
        <v>49</v>
      </c>
      <c r="T19" s="353">
        <v>81</v>
      </c>
      <c r="U19" s="353">
        <v>94</v>
      </c>
      <c r="V19" s="466">
        <v>127</v>
      </c>
      <c r="W19" s="353">
        <v>1</v>
      </c>
      <c r="X19" s="353"/>
      <c r="Y19" s="353"/>
      <c r="Z19" s="466"/>
      <c r="AA19" s="352">
        <f t="shared" ref="AA19:AD20" si="10">+W19+S19+O19+K19+G19+C19</f>
        <v>5940</v>
      </c>
      <c r="AB19" s="353">
        <f t="shared" si="10"/>
        <v>6254</v>
      </c>
      <c r="AC19" s="353">
        <f t="shared" si="10"/>
        <v>5789</v>
      </c>
      <c r="AD19" s="466">
        <f t="shared" si="10"/>
        <v>2695</v>
      </c>
    </row>
    <row r="20" spans="1:30" s="6" customFormat="1" ht="22.5" customHeight="1">
      <c r="A20" s="465"/>
      <c r="B20" s="293" t="s">
        <v>1192</v>
      </c>
      <c r="C20" s="353">
        <v>180</v>
      </c>
      <c r="D20" s="353">
        <v>176</v>
      </c>
      <c r="E20" s="353">
        <v>121</v>
      </c>
      <c r="F20" s="466">
        <v>23</v>
      </c>
      <c r="G20" s="353">
        <v>88</v>
      </c>
      <c r="H20" s="353">
        <v>94</v>
      </c>
      <c r="I20" s="353">
        <v>78</v>
      </c>
      <c r="J20" s="466">
        <v>54</v>
      </c>
      <c r="K20" s="353">
        <v>3</v>
      </c>
      <c r="L20" s="353">
        <v>3</v>
      </c>
      <c r="M20" s="353">
        <v>7</v>
      </c>
      <c r="N20" s="466"/>
      <c r="O20" s="353">
        <v>75</v>
      </c>
      <c r="P20" s="353">
        <v>49</v>
      </c>
      <c r="Q20" s="353">
        <v>47</v>
      </c>
      <c r="R20" s="466">
        <v>2</v>
      </c>
      <c r="S20" s="353"/>
      <c r="T20" s="353"/>
      <c r="U20" s="353"/>
      <c r="V20" s="466"/>
      <c r="W20" s="353"/>
      <c r="X20" s="353"/>
      <c r="Y20" s="353"/>
      <c r="Z20" s="466"/>
      <c r="AA20" s="353">
        <f t="shared" si="10"/>
        <v>346</v>
      </c>
      <c r="AB20" s="353">
        <f t="shared" si="10"/>
        <v>322</v>
      </c>
      <c r="AC20" s="353">
        <f t="shared" si="10"/>
        <v>253</v>
      </c>
      <c r="AD20" s="466">
        <f t="shared" si="10"/>
        <v>79</v>
      </c>
    </row>
    <row r="21" spans="1:30" s="6" customFormat="1" ht="22.5" customHeight="1">
      <c r="A21" s="465"/>
      <c r="B21" s="334" t="s">
        <v>625</v>
      </c>
      <c r="C21" s="353">
        <v>3704</v>
      </c>
      <c r="D21" s="353">
        <v>4009</v>
      </c>
      <c r="E21" s="353">
        <f>SUM(E19:E20)</f>
        <v>3469</v>
      </c>
      <c r="F21" s="466">
        <f>SUM(F19:F20)</f>
        <v>1345</v>
      </c>
      <c r="G21" s="353">
        <v>1468</v>
      </c>
      <c r="H21" s="353">
        <v>1440</v>
      </c>
      <c r="I21" s="353">
        <f>SUM(I19:I20)</f>
        <v>1536</v>
      </c>
      <c r="J21" s="466">
        <f>SUM(J19:J20)</f>
        <v>1147</v>
      </c>
      <c r="K21" s="353">
        <v>115</v>
      </c>
      <c r="L21" s="353">
        <v>114</v>
      </c>
      <c r="M21" s="353">
        <f>SUM(M19:M20)</f>
        <v>121</v>
      </c>
      <c r="N21" s="466">
        <f>SUM(N19:N20)</f>
        <v>53</v>
      </c>
      <c r="O21" s="353">
        <v>949</v>
      </c>
      <c r="P21" s="353">
        <v>932</v>
      </c>
      <c r="Q21" s="353">
        <f>SUM(Q19:Q20)</f>
        <v>822</v>
      </c>
      <c r="R21" s="466">
        <f>SUM(R19:R20)</f>
        <v>102</v>
      </c>
      <c r="S21" s="353">
        <v>49</v>
      </c>
      <c r="T21" s="353">
        <v>81</v>
      </c>
      <c r="U21" s="353">
        <f>SUM(U19:U20)</f>
        <v>94</v>
      </c>
      <c r="V21" s="466">
        <f>SUM(V19:V20)</f>
        <v>127</v>
      </c>
      <c r="W21" s="353">
        <v>1</v>
      </c>
      <c r="X21" s="353">
        <v>0</v>
      </c>
      <c r="Y21" s="353">
        <f>SUM(Y19:Y20)</f>
        <v>0</v>
      </c>
      <c r="Z21" s="466">
        <f>SUM(Z19:Z20)</f>
        <v>0</v>
      </c>
      <c r="AA21" s="353">
        <f t="shared" ref="AA21:AC22" si="11">+W21+S21+O21+K21+G21+C21</f>
        <v>6286</v>
      </c>
      <c r="AB21" s="353">
        <f t="shared" si="11"/>
        <v>6576</v>
      </c>
      <c r="AC21" s="353">
        <f t="shared" si="11"/>
        <v>6042</v>
      </c>
      <c r="AD21" s="466">
        <f>SUM(AD19:AD20)</f>
        <v>2774</v>
      </c>
    </row>
    <row r="22" spans="1:30" s="6" customFormat="1" ht="22.5" customHeight="1">
      <c r="A22" s="465" t="s">
        <v>524</v>
      </c>
      <c r="B22" s="334" t="s">
        <v>808</v>
      </c>
      <c r="C22" s="353">
        <v>2742</v>
      </c>
      <c r="D22" s="353">
        <v>2577</v>
      </c>
      <c r="E22" s="353">
        <v>2898</v>
      </c>
      <c r="F22" s="466">
        <v>1425</v>
      </c>
      <c r="G22" s="353">
        <v>1221</v>
      </c>
      <c r="H22" s="353">
        <v>1494</v>
      </c>
      <c r="I22" s="353">
        <v>1125</v>
      </c>
      <c r="J22" s="466">
        <v>508</v>
      </c>
      <c r="K22" s="353">
        <v>160</v>
      </c>
      <c r="L22" s="353">
        <v>161</v>
      </c>
      <c r="M22" s="353">
        <v>155</v>
      </c>
      <c r="N22" s="466">
        <v>68</v>
      </c>
      <c r="O22" s="353">
        <v>425</v>
      </c>
      <c r="P22" s="353">
        <v>364</v>
      </c>
      <c r="Q22" s="353">
        <v>468</v>
      </c>
      <c r="R22" s="466">
        <v>85</v>
      </c>
      <c r="S22" s="353">
        <v>45</v>
      </c>
      <c r="T22" s="353">
        <v>72</v>
      </c>
      <c r="U22" s="353">
        <v>147</v>
      </c>
      <c r="V22" s="466">
        <v>112</v>
      </c>
      <c r="W22" s="353"/>
      <c r="X22" s="353"/>
      <c r="Y22" s="353">
        <v>1</v>
      </c>
      <c r="Z22" s="466"/>
      <c r="AA22" s="352">
        <f t="shared" si="11"/>
        <v>4593</v>
      </c>
      <c r="AB22" s="353">
        <f t="shared" si="11"/>
        <v>4668</v>
      </c>
      <c r="AC22" s="353">
        <f t="shared" si="11"/>
        <v>4794</v>
      </c>
      <c r="AD22" s="466">
        <f>+Z22+V22+R22+N22+J22+F22</f>
        <v>2198</v>
      </c>
    </row>
    <row r="23" spans="1:30" s="6" customFormat="1" ht="22.5" customHeight="1">
      <c r="A23" s="470" t="s">
        <v>931</v>
      </c>
      <c r="B23" s="954"/>
      <c r="C23" s="473">
        <v>21140</v>
      </c>
      <c r="D23" s="473">
        <v>20804</v>
      </c>
      <c r="E23" s="473">
        <f>+E14+E18+E21+E22</f>
        <v>19914</v>
      </c>
      <c r="F23" s="474">
        <f>+F14+F18+F21+F22</f>
        <v>8034</v>
      </c>
      <c r="G23" s="473">
        <v>11522</v>
      </c>
      <c r="H23" s="473">
        <v>11474</v>
      </c>
      <c r="I23" s="473">
        <f>+I14+I18+I21+I22</f>
        <v>11537</v>
      </c>
      <c r="J23" s="474">
        <f>+J14+J18+J21+J22</f>
        <v>4486</v>
      </c>
      <c r="K23" s="473">
        <v>1085</v>
      </c>
      <c r="L23" s="473">
        <v>1060</v>
      </c>
      <c r="M23" s="473">
        <f>+M14+M18+M21+M22</f>
        <v>1035</v>
      </c>
      <c r="N23" s="474">
        <f>+N14+N18+N21+N22</f>
        <v>782</v>
      </c>
      <c r="O23" s="473">
        <v>6362</v>
      </c>
      <c r="P23" s="473">
        <v>6100</v>
      </c>
      <c r="Q23" s="473">
        <f>+Q14+Q18+Q21+Q22</f>
        <v>5866</v>
      </c>
      <c r="R23" s="474">
        <f>+R14+R18+R21+R22</f>
        <v>1461</v>
      </c>
      <c r="S23" s="473">
        <v>369</v>
      </c>
      <c r="T23" s="473">
        <v>575</v>
      </c>
      <c r="U23" s="473">
        <f>+U14+U18+U21+U22</f>
        <v>744</v>
      </c>
      <c r="V23" s="474">
        <f>+V14+V18+V21+V22</f>
        <v>637</v>
      </c>
      <c r="W23" s="473">
        <v>2</v>
      </c>
      <c r="X23" s="473">
        <v>8</v>
      </c>
      <c r="Y23" s="473">
        <f t="shared" ref="Y23" si="12">+Y14+Y18+Y21+Y22</f>
        <v>1</v>
      </c>
      <c r="Z23" s="474">
        <f t="shared" ref="Z23:AD23" si="13">+Z14+Z18+Z21+Z22</f>
        <v>0</v>
      </c>
      <c r="AA23" s="473">
        <f t="shared" si="13"/>
        <v>40480</v>
      </c>
      <c r="AB23" s="473">
        <f t="shared" si="13"/>
        <v>40021</v>
      </c>
      <c r="AC23" s="473">
        <f t="shared" si="13"/>
        <v>39097</v>
      </c>
      <c r="AD23" s="474">
        <f t="shared" si="13"/>
        <v>15400</v>
      </c>
    </row>
    <row r="24" spans="1:30" s="6" customFormat="1" ht="22.5" customHeight="1">
      <c r="A24" s="465" t="s">
        <v>932</v>
      </c>
      <c r="B24" s="293" t="s">
        <v>1325</v>
      </c>
      <c r="C24" s="353">
        <v>5858</v>
      </c>
      <c r="D24" s="353">
        <v>5461</v>
      </c>
      <c r="E24" s="353">
        <v>5625</v>
      </c>
      <c r="F24" s="466">
        <v>1739</v>
      </c>
      <c r="G24" s="353">
        <v>3060</v>
      </c>
      <c r="H24" s="353">
        <v>3109</v>
      </c>
      <c r="I24" s="353">
        <v>2967</v>
      </c>
      <c r="J24" s="466">
        <v>1044</v>
      </c>
      <c r="K24" s="353">
        <v>17</v>
      </c>
      <c r="L24" s="353">
        <v>24</v>
      </c>
      <c r="M24" s="353">
        <v>16</v>
      </c>
      <c r="N24" s="466">
        <v>16</v>
      </c>
      <c r="O24" s="353">
        <v>1234</v>
      </c>
      <c r="P24" s="353">
        <v>1494</v>
      </c>
      <c r="Q24" s="353">
        <v>1457</v>
      </c>
      <c r="R24" s="466">
        <v>576</v>
      </c>
      <c r="S24" s="353">
        <v>76</v>
      </c>
      <c r="T24" s="353">
        <v>43</v>
      </c>
      <c r="U24" s="353">
        <v>84</v>
      </c>
      <c r="V24" s="466">
        <v>98</v>
      </c>
      <c r="W24" s="353"/>
      <c r="X24" s="353"/>
      <c r="Y24" s="353"/>
      <c r="Z24" s="466"/>
      <c r="AA24" s="352">
        <f t="shared" ref="AA24:AD30" si="14">+W24+S24+O24+K24+G24+C24</f>
        <v>10245</v>
      </c>
      <c r="AB24" s="353">
        <f t="shared" si="14"/>
        <v>10131</v>
      </c>
      <c r="AC24" s="353">
        <f t="shared" si="14"/>
        <v>10149</v>
      </c>
      <c r="AD24" s="466">
        <f t="shared" si="14"/>
        <v>3473</v>
      </c>
    </row>
    <row r="25" spans="1:30" s="6" customFormat="1" ht="22.5" customHeight="1">
      <c r="A25" s="465"/>
      <c r="B25" s="293" t="s">
        <v>1324</v>
      </c>
      <c r="C25" s="353">
        <v>10049</v>
      </c>
      <c r="D25" s="353">
        <v>8596</v>
      </c>
      <c r="E25" s="353">
        <v>8948</v>
      </c>
      <c r="F25" s="466">
        <v>3426</v>
      </c>
      <c r="G25" s="353">
        <v>3988</v>
      </c>
      <c r="H25" s="353">
        <v>4132</v>
      </c>
      <c r="I25" s="353">
        <v>3869</v>
      </c>
      <c r="J25" s="466">
        <v>1770</v>
      </c>
      <c r="K25" s="353">
        <v>453</v>
      </c>
      <c r="L25" s="353">
        <v>536</v>
      </c>
      <c r="M25" s="353">
        <v>560</v>
      </c>
      <c r="N25" s="466">
        <v>534</v>
      </c>
      <c r="O25" s="353">
        <v>3072</v>
      </c>
      <c r="P25" s="353">
        <v>3113</v>
      </c>
      <c r="Q25" s="353">
        <v>2752</v>
      </c>
      <c r="R25" s="466">
        <v>765</v>
      </c>
      <c r="S25" s="353">
        <v>231</v>
      </c>
      <c r="T25" s="353">
        <v>264</v>
      </c>
      <c r="U25" s="353">
        <v>186</v>
      </c>
      <c r="V25" s="466">
        <v>139</v>
      </c>
      <c r="W25" s="353"/>
      <c r="X25" s="353"/>
      <c r="Y25" s="353"/>
      <c r="Z25" s="466"/>
      <c r="AA25" s="352">
        <f t="shared" si="14"/>
        <v>17793</v>
      </c>
      <c r="AB25" s="353">
        <f t="shared" si="14"/>
        <v>16641</v>
      </c>
      <c r="AC25" s="353">
        <f t="shared" si="14"/>
        <v>16315</v>
      </c>
      <c r="AD25" s="466">
        <f t="shared" si="14"/>
        <v>6634</v>
      </c>
    </row>
    <row r="26" spans="1:30" s="6" customFormat="1" ht="22.5" customHeight="1">
      <c r="A26" s="465"/>
      <c r="B26" s="334" t="s">
        <v>532</v>
      </c>
      <c r="C26" s="353">
        <v>751</v>
      </c>
      <c r="D26" s="353">
        <v>624</v>
      </c>
      <c r="E26" s="353">
        <v>717</v>
      </c>
      <c r="F26" s="466">
        <v>299</v>
      </c>
      <c r="G26" s="353">
        <v>347</v>
      </c>
      <c r="H26" s="353">
        <v>368</v>
      </c>
      <c r="I26" s="353">
        <v>334</v>
      </c>
      <c r="J26" s="466">
        <v>115</v>
      </c>
      <c r="K26" s="353">
        <v>34</v>
      </c>
      <c r="L26" s="353">
        <v>34</v>
      </c>
      <c r="M26" s="353">
        <v>36</v>
      </c>
      <c r="N26" s="466">
        <v>29</v>
      </c>
      <c r="O26" s="353">
        <v>277</v>
      </c>
      <c r="P26" s="353">
        <v>253</v>
      </c>
      <c r="Q26" s="353">
        <v>319</v>
      </c>
      <c r="R26" s="466">
        <v>50</v>
      </c>
      <c r="S26" s="353">
        <v>17</v>
      </c>
      <c r="T26" s="353">
        <v>17</v>
      </c>
      <c r="U26" s="353">
        <v>26</v>
      </c>
      <c r="V26" s="466">
        <v>24</v>
      </c>
      <c r="W26" s="353"/>
      <c r="X26" s="353"/>
      <c r="Y26" s="353"/>
      <c r="Z26" s="466"/>
      <c r="AA26" s="352">
        <f t="shared" si="14"/>
        <v>1426</v>
      </c>
      <c r="AB26" s="353">
        <f t="shared" si="14"/>
        <v>1296</v>
      </c>
      <c r="AC26" s="353">
        <f t="shared" si="14"/>
        <v>1432</v>
      </c>
      <c r="AD26" s="466">
        <f t="shared" si="14"/>
        <v>517</v>
      </c>
    </row>
    <row r="27" spans="1:30" s="6" customFormat="1" ht="22.5" customHeight="1">
      <c r="A27" s="465"/>
      <c r="B27" s="293" t="s">
        <v>1500</v>
      </c>
      <c r="C27" s="353"/>
      <c r="D27" s="353"/>
      <c r="E27" s="353"/>
      <c r="F27" s="466"/>
      <c r="G27" s="353"/>
      <c r="H27" s="353"/>
      <c r="I27" s="353"/>
      <c r="J27" s="466"/>
      <c r="K27" s="353"/>
      <c r="L27" s="353"/>
      <c r="M27" s="353"/>
      <c r="N27" s="466"/>
      <c r="O27" s="353"/>
      <c r="P27" s="353"/>
      <c r="Q27" s="353"/>
      <c r="R27" s="466"/>
      <c r="S27" s="353"/>
      <c r="T27" s="353"/>
      <c r="U27" s="353"/>
      <c r="V27" s="466"/>
      <c r="W27" s="353"/>
      <c r="X27" s="353"/>
      <c r="Y27" s="353"/>
      <c r="Z27" s="466"/>
      <c r="AA27" s="352">
        <f t="shared" ref="AA27:AA29" si="15">+W27+S27+O27+K27+G27+C27</f>
        <v>0</v>
      </c>
      <c r="AB27" s="353">
        <f t="shared" ref="AB27:AB29" si="16">+X27+T27+P27+L27+H27+D27</f>
        <v>0</v>
      </c>
      <c r="AC27" s="353">
        <f t="shared" ref="AC27:AC29" si="17">+Y27+U27+Q27+M27+I27+E27</f>
        <v>0</v>
      </c>
      <c r="AD27" s="466">
        <f t="shared" si="14"/>
        <v>0</v>
      </c>
    </row>
    <row r="28" spans="1:30" s="6" customFormat="1" ht="22.5" customHeight="1">
      <c r="A28" s="465"/>
      <c r="B28" s="293" t="s">
        <v>1191</v>
      </c>
      <c r="C28" s="353"/>
      <c r="D28" s="353"/>
      <c r="E28" s="353"/>
      <c r="F28" s="466"/>
      <c r="G28" s="353"/>
      <c r="H28" s="353"/>
      <c r="I28" s="353"/>
      <c r="J28" s="466"/>
      <c r="K28" s="353"/>
      <c r="L28" s="353"/>
      <c r="M28" s="353"/>
      <c r="N28" s="466"/>
      <c r="O28" s="353"/>
      <c r="P28" s="353"/>
      <c r="Q28" s="353"/>
      <c r="R28" s="466"/>
      <c r="S28" s="353"/>
      <c r="T28" s="353"/>
      <c r="U28" s="353"/>
      <c r="V28" s="466"/>
      <c r="W28" s="353"/>
      <c r="X28" s="353"/>
      <c r="Y28" s="353"/>
      <c r="Z28" s="466"/>
      <c r="AA28" s="352">
        <f t="shared" si="15"/>
        <v>0</v>
      </c>
      <c r="AB28" s="353">
        <f t="shared" si="16"/>
        <v>0</v>
      </c>
      <c r="AC28" s="353">
        <f t="shared" si="17"/>
        <v>0</v>
      </c>
      <c r="AD28" s="466">
        <f t="shared" si="14"/>
        <v>0</v>
      </c>
    </row>
    <row r="29" spans="1:30" s="6" customFormat="1" ht="22.5" customHeight="1">
      <c r="A29" s="465"/>
      <c r="B29" s="293" t="s">
        <v>1499</v>
      </c>
      <c r="C29" s="353"/>
      <c r="D29" s="353"/>
      <c r="E29" s="353"/>
      <c r="F29" s="466"/>
      <c r="G29" s="353">
        <v>10</v>
      </c>
      <c r="H29" s="353">
        <v>40</v>
      </c>
      <c r="I29" s="353">
        <v>100</v>
      </c>
      <c r="J29" s="466">
        <v>140</v>
      </c>
      <c r="K29" s="353"/>
      <c r="L29" s="353"/>
      <c r="M29" s="353"/>
      <c r="N29" s="466"/>
      <c r="O29" s="353"/>
      <c r="P29" s="353"/>
      <c r="Q29" s="353"/>
      <c r="R29" s="466"/>
      <c r="S29" s="353">
        <v>1</v>
      </c>
      <c r="T29" s="353">
        <v>39</v>
      </c>
      <c r="U29" s="353">
        <v>78</v>
      </c>
      <c r="V29" s="466">
        <v>27</v>
      </c>
      <c r="W29" s="353"/>
      <c r="X29" s="353">
        <v>8</v>
      </c>
      <c r="Y29" s="353"/>
      <c r="Z29" s="466"/>
      <c r="AA29" s="352">
        <f t="shared" si="15"/>
        <v>11</v>
      </c>
      <c r="AB29" s="353">
        <f t="shared" si="16"/>
        <v>87</v>
      </c>
      <c r="AC29" s="353">
        <f t="shared" si="17"/>
        <v>178</v>
      </c>
      <c r="AD29" s="466">
        <f t="shared" si="14"/>
        <v>167</v>
      </c>
    </row>
    <row r="30" spans="1:30" s="6" customFormat="1" ht="22.5" customHeight="1">
      <c r="A30" s="465"/>
      <c r="B30" s="334" t="s">
        <v>812</v>
      </c>
      <c r="C30" s="353">
        <v>1610</v>
      </c>
      <c r="D30" s="353">
        <v>1728</v>
      </c>
      <c r="E30" s="353">
        <v>1782</v>
      </c>
      <c r="F30" s="466">
        <v>595</v>
      </c>
      <c r="G30" s="353">
        <v>877</v>
      </c>
      <c r="H30" s="353">
        <v>750</v>
      </c>
      <c r="I30" s="353">
        <v>778</v>
      </c>
      <c r="J30" s="466">
        <v>278</v>
      </c>
      <c r="K30" s="353">
        <v>48</v>
      </c>
      <c r="L30" s="353">
        <v>60</v>
      </c>
      <c r="M30" s="353">
        <v>58</v>
      </c>
      <c r="N30" s="466">
        <v>61</v>
      </c>
      <c r="O30" s="353">
        <v>624</v>
      </c>
      <c r="P30" s="353">
        <v>553</v>
      </c>
      <c r="Q30" s="353">
        <v>514</v>
      </c>
      <c r="R30" s="466">
        <v>186</v>
      </c>
      <c r="S30" s="353">
        <v>58</v>
      </c>
      <c r="T30" s="353">
        <v>45</v>
      </c>
      <c r="U30" s="353">
        <v>109</v>
      </c>
      <c r="V30" s="466">
        <v>130</v>
      </c>
      <c r="W30" s="353"/>
      <c r="X30" s="353"/>
      <c r="Y30" s="353"/>
      <c r="Z30" s="466"/>
      <c r="AA30" s="352">
        <f t="shared" si="14"/>
        <v>3217</v>
      </c>
      <c r="AB30" s="353">
        <f t="shared" si="14"/>
        <v>3136</v>
      </c>
      <c r="AC30" s="353">
        <f t="shared" si="14"/>
        <v>3241</v>
      </c>
      <c r="AD30" s="466">
        <f t="shared" si="14"/>
        <v>1250</v>
      </c>
    </row>
    <row r="31" spans="1:30" s="6" customFormat="1" ht="22.5" customHeight="1">
      <c r="A31" s="465"/>
      <c r="B31" s="334" t="s">
        <v>625</v>
      </c>
      <c r="C31" s="353">
        <v>18268</v>
      </c>
      <c r="D31" s="353">
        <v>16409</v>
      </c>
      <c r="E31" s="353">
        <f>SUM(E24:E30)</f>
        <v>17072</v>
      </c>
      <c r="F31" s="466">
        <f>SUM(F24:F30)</f>
        <v>6059</v>
      </c>
      <c r="G31" s="353">
        <v>8282</v>
      </c>
      <c r="H31" s="353">
        <v>8399</v>
      </c>
      <c r="I31" s="353">
        <f>SUM(I24:I30)</f>
        <v>8048</v>
      </c>
      <c r="J31" s="466">
        <f>SUM(J24:J30)</f>
        <v>3347</v>
      </c>
      <c r="K31" s="353">
        <v>552</v>
      </c>
      <c r="L31" s="353">
        <v>654</v>
      </c>
      <c r="M31" s="353">
        <f>SUM(M24:M30)</f>
        <v>670</v>
      </c>
      <c r="N31" s="466">
        <f>SUM(N24:N30)</f>
        <v>640</v>
      </c>
      <c r="O31" s="353">
        <v>5207</v>
      </c>
      <c r="P31" s="353">
        <v>5413</v>
      </c>
      <c r="Q31" s="353">
        <f>SUM(Q24:Q30)</f>
        <v>5042</v>
      </c>
      <c r="R31" s="466">
        <f>SUM(R24:R30)</f>
        <v>1577</v>
      </c>
      <c r="S31" s="353">
        <v>383</v>
      </c>
      <c r="T31" s="353">
        <v>408</v>
      </c>
      <c r="U31" s="353">
        <f>SUM(U24:U30)</f>
        <v>483</v>
      </c>
      <c r="V31" s="466">
        <f>SUM(V24:V30)</f>
        <v>418</v>
      </c>
      <c r="W31" s="353">
        <v>0</v>
      </c>
      <c r="X31" s="353">
        <v>8</v>
      </c>
      <c r="Y31" s="353">
        <f t="shared" ref="Y31" si="18">SUM(Y24:Y30)</f>
        <v>0</v>
      </c>
      <c r="Z31" s="466">
        <f t="shared" ref="Z31:AD31" si="19">SUM(Z24:Z30)</f>
        <v>0</v>
      </c>
      <c r="AA31" s="352">
        <f t="shared" si="19"/>
        <v>32692</v>
      </c>
      <c r="AB31" s="353">
        <f t="shared" si="19"/>
        <v>31291</v>
      </c>
      <c r="AC31" s="353">
        <f t="shared" si="19"/>
        <v>31315</v>
      </c>
      <c r="AD31" s="466">
        <f t="shared" si="19"/>
        <v>12041</v>
      </c>
    </row>
    <row r="32" spans="1:30" s="6" customFormat="1" ht="22.5" customHeight="1">
      <c r="A32" s="465" t="s">
        <v>527</v>
      </c>
      <c r="B32" s="334" t="s">
        <v>813</v>
      </c>
      <c r="C32" s="353">
        <v>3765</v>
      </c>
      <c r="D32" s="353">
        <v>3386</v>
      </c>
      <c r="E32" s="353">
        <v>3422</v>
      </c>
      <c r="F32" s="466">
        <v>1254</v>
      </c>
      <c r="G32" s="353">
        <v>1686</v>
      </c>
      <c r="H32" s="353">
        <v>1475</v>
      </c>
      <c r="I32" s="353">
        <v>1512</v>
      </c>
      <c r="J32" s="466">
        <v>837</v>
      </c>
      <c r="K32" s="353">
        <v>148</v>
      </c>
      <c r="L32" s="353">
        <v>171</v>
      </c>
      <c r="M32" s="353">
        <v>164</v>
      </c>
      <c r="N32" s="466">
        <v>154</v>
      </c>
      <c r="O32" s="353">
        <v>895</v>
      </c>
      <c r="P32" s="353">
        <v>858</v>
      </c>
      <c r="Q32" s="353">
        <v>1019</v>
      </c>
      <c r="R32" s="466">
        <v>175</v>
      </c>
      <c r="S32" s="353">
        <v>59</v>
      </c>
      <c r="T32" s="353">
        <v>125</v>
      </c>
      <c r="U32" s="353">
        <v>207</v>
      </c>
      <c r="V32" s="466">
        <v>134</v>
      </c>
      <c r="W32" s="353"/>
      <c r="X32" s="353"/>
      <c r="Y32" s="353"/>
      <c r="Z32" s="466"/>
      <c r="AA32" s="352">
        <f t="shared" ref="AA32:AD33" si="20">+W32+S32+O32+K32+G32+C32</f>
        <v>6553</v>
      </c>
      <c r="AB32" s="353">
        <f t="shared" si="20"/>
        <v>6015</v>
      </c>
      <c r="AC32" s="353">
        <f t="shared" si="20"/>
        <v>6324</v>
      </c>
      <c r="AD32" s="466">
        <f t="shared" si="20"/>
        <v>2554</v>
      </c>
    </row>
    <row r="33" spans="1:30" s="6" customFormat="1" ht="22.5" customHeight="1">
      <c r="A33" s="465"/>
      <c r="B33" s="293" t="s">
        <v>1455</v>
      </c>
      <c r="C33" s="353">
        <v>442</v>
      </c>
      <c r="D33" s="353">
        <v>956</v>
      </c>
      <c r="E33" s="353">
        <v>781</v>
      </c>
      <c r="F33" s="466">
        <v>272</v>
      </c>
      <c r="G33" s="353">
        <v>108</v>
      </c>
      <c r="H33" s="353">
        <v>297</v>
      </c>
      <c r="I33" s="353">
        <v>250</v>
      </c>
      <c r="J33" s="466">
        <v>130</v>
      </c>
      <c r="K33" s="353">
        <v>1</v>
      </c>
      <c r="L33" s="353">
        <v>2</v>
      </c>
      <c r="M33" s="353">
        <v>5</v>
      </c>
      <c r="N33" s="466">
        <v>8</v>
      </c>
      <c r="O33" s="353">
        <v>9</v>
      </c>
      <c r="P33" s="353">
        <v>81</v>
      </c>
      <c r="Q33" s="353">
        <v>49</v>
      </c>
      <c r="R33" s="466">
        <v>36</v>
      </c>
      <c r="S33" s="353">
        <v>3</v>
      </c>
      <c r="T33" s="353">
        <v>7</v>
      </c>
      <c r="U33" s="353">
        <v>34</v>
      </c>
      <c r="V33" s="466">
        <v>20</v>
      </c>
      <c r="W33" s="353"/>
      <c r="X33" s="353"/>
      <c r="Y33" s="353"/>
      <c r="Z33" s="466"/>
      <c r="AA33" s="352">
        <f t="shared" si="20"/>
        <v>563</v>
      </c>
      <c r="AB33" s="353">
        <f t="shared" si="20"/>
        <v>1343</v>
      </c>
      <c r="AC33" s="353">
        <f t="shared" si="20"/>
        <v>1119</v>
      </c>
      <c r="AD33" s="466">
        <f t="shared" si="20"/>
        <v>466</v>
      </c>
    </row>
    <row r="34" spans="1:30" s="6" customFormat="1" ht="22.5" customHeight="1">
      <c r="A34" s="465"/>
      <c r="B34" s="293" t="s">
        <v>1182</v>
      </c>
      <c r="C34" s="353">
        <v>463</v>
      </c>
      <c r="D34" s="353">
        <v>377</v>
      </c>
      <c r="E34" s="353">
        <v>550</v>
      </c>
      <c r="F34" s="466">
        <v>202</v>
      </c>
      <c r="G34" s="353">
        <v>176</v>
      </c>
      <c r="H34" s="353">
        <v>227</v>
      </c>
      <c r="I34" s="353">
        <v>202</v>
      </c>
      <c r="J34" s="466">
        <v>237</v>
      </c>
      <c r="K34" s="353">
        <v>1</v>
      </c>
      <c r="L34" s="353">
        <v>3</v>
      </c>
      <c r="M34" s="353">
        <v>10</v>
      </c>
      <c r="N34" s="466">
        <v>1</v>
      </c>
      <c r="O34" s="353">
        <v>121</v>
      </c>
      <c r="P34" s="353">
        <v>117</v>
      </c>
      <c r="Q34" s="353">
        <v>97</v>
      </c>
      <c r="R34" s="466">
        <v>89</v>
      </c>
      <c r="S34" s="353">
        <v>1</v>
      </c>
      <c r="T34" s="353">
        <v>1</v>
      </c>
      <c r="U34" s="353">
        <v>1</v>
      </c>
      <c r="V34" s="466">
        <v>9</v>
      </c>
      <c r="W34" s="353"/>
      <c r="X34" s="353"/>
      <c r="Y34" s="353"/>
      <c r="Z34" s="466"/>
      <c r="AA34" s="353">
        <f t="shared" ref="AA34:AD36" si="21">+W34+S34+O34+K34+G34+C34</f>
        <v>762</v>
      </c>
      <c r="AB34" s="353">
        <f t="shared" si="21"/>
        <v>725</v>
      </c>
      <c r="AC34" s="353">
        <f t="shared" si="21"/>
        <v>860</v>
      </c>
      <c r="AD34" s="466">
        <f t="shared" si="21"/>
        <v>538</v>
      </c>
    </row>
    <row r="35" spans="1:30" s="6" customFormat="1" ht="22.5" customHeight="1">
      <c r="A35" s="465"/>
      <c r="B35" s="293" t="s">
        <v>1237</v>
      </c>
      <c r="C35" s="353">
        <v>0</v>
      </c>
      <c r="D35" s="353"/>
      <c r="E35" s="353"/>
      <c r="F35" s="466"/>
      <c r="G35" s="353">
        <v>0</v>
      </c>
      <c r="H35" s="353"/>
      <c r="I35" s="353"/>
      <c r="J35" s="466"/>
      <c r="K35" s="353">
        <v>0</v>
      </c>
      <c r="L35" s="353"/>
      <c r="M35" s="353"/>
      <c r="N35" s="466"/>
      <c r="O35" s="353">
        <v>0</v>
      </c>
      <c r="P35" s="353"/>
      <c r="Q35" s="353"/>
      <c r="R35" s="466"/>
      <c r="S35" s="353">
        <v>0</v>
      </c>
      <c r="T35" s="353"/>
      <c r="U35" s="353">
        <v>1</v>
      </c>
      <c r="V35" s="466"/>
      <c r="W35" s="353"/>
      <c r="X35" s="353"/>
      <c r="Y35" s="353"/>
      <c r="Z35" s="466"/>
      <c r="AA35" s="353">
        <f t="shared" si="21"/>
        <v>0</v>
      </c>
      <c r="AB35" s="353">
        <f t="shared" si="21"/>
        <v>0</v>
      </c>
      <c r="AC35" s="353">
        <f t="shared" si="21"/>
        <v>1</v>
      </c>
      <c r="AD35" s="466">
        <f t="shared" si="21"/>
        <v>0</v>
      </c>
    </row>
    <row r="36" spans="1:30" s="6" customFormat="1" ht="22.5" customHeight="1">
      <c r="A36" s="465"/>
      <c r="B36" s="334" t="s">
        <v>933</v>
      </c>
      <c r="C36" s="353">
        <v>1</v>
      </c>
      <c r="D36" s="353"/>
      <c r="E36" s="353"/>
      <c r="F36" s="466"/>
      <c r="G36" s="353">
        <v>6</v>
      </c>
      <c r="H36" s="353"/>
      <c r="I36" s="353"/>
      <c r="J36" s="466"/>
      <c r="K36" s="353"/>
      <c r="L36" s="353"/>
      <c r="M36" s="353"/>
      <c r="N36" s="466"/>
      <c r="O36" s="353"/>
      <c r="P36" s="353"/>
      <c r="Q36" s="353"/>
      <c r="R36" s="466"/>
      <c r="S36" s="353">
        <v>4</v>
      </c>
      <c r="T36" s="353"/>
      <c r="U36" s="353"/>
      <c r="V36" s="466"/>
      <c r="W36" s="353"/>
      <c r="X36" s="353"/>
      <c r="Y36" s="353"/>
      <c r="Z36" s="466"/>
      <c r="AA36" s="352">
        <f>+W36+S36+O36+K36+G36+C36</f>
        <v>11</v>
      </c>
      <c r="AB36" s="353">
        <f t="shared" si="21"/>
        <v>0</v>
      </c>
      <c r="AC36" s="353">
        <f t="shared" si="21"/>
        <v>0</v>
      </c>
      <c r="AD36" s="466">
        <f t="shared" si="21"/>
        <v>0</v>
      </c>
    </row>
    <row r="37" spans="1:30" s="6" customFormat="1" ht="22.5" customHeight="1">
      <c r="A37" s="465"/>
      <c r="B37" s="334" t="s">
        <v>625</v>
      </c>
      <c r="C37" s="353">
        <v>4671</v>
      </c>
      <c r="D37" s="353">
        <v>4719</v>
      </c>
      <c r="E37" s="353">
        <f>SUM(E32:E36)</f>
        <v>4753</v>
      </c>
      <c r="F37" s="466">
        <f>SUM(F32:F36)</f>
        <v>1728</v>
      </c>
      <c r="G37" s="353">
        <v>1976</v>
      </c>
      <c r="H37" s="353">
        <v>1999</v>
      </c>
      <c r="I37" s="353">
        <f>SUM(I32:I36)</f>
        <v>1964</v>
      </c>
      <c r="J37" s="466">
        <f>SUM(J32:J36)</f>
        <v>1204</v>
      </c>
      <c r="K37" s="353">
        <v>150</v>
      </c>
      <c r="L37" s="353">
        <v>176</v>
      </c>
      <c r="M37" s="353">
        <f>SUM(M32:M36)</f>
        <v>179</v>
      </c>
      <c r="N37" s="466">
        <f>SUM(N32:N36)</f>
        <v>163</v>
      </c>
      <c r="O37" s="353">
        <v>1025</v>
      </c>
      <c r="P37" s="353">
        <v>1056</v>
      </c>
      <c r="Q37" s="353">
        <f>SUM(Q32:Q36)</f>
        <v>1165</v>
      </c>
      <c r="R37" s="466">
        <f>SUM(R32:R36)</f>
        <v>300</v>
      </c>
      <c r="S37" s="353">
        <v>67</v>
      </c>
      <c r="T37" s="353">
        <v>133</v>
      </c>
      <c r="U37" s="353">
        <f>SUM(U32:U36)</f>
        <v>243</v>
      </c>
      <c r="V37" s="466">
        <f>SUM(V32:V36)</f>
        <v>163</v>
      </c>
      <c r="W37" s="353">
        <v>0</v>
      </c>
      <c r="X37" s="353">
        <v>0</v>
      </c>
      <c r="Y37" s="353">
        <f t="shared" ref="Y37" si="22">SUM(Y32:Y36)</f>
        <v>0</v>
      </c>
      <c r="Z37" s="466">
        <f t="shared" ref="Z37:AD37" si="23">SUM(Z32:Z36)</f>
        <v>0</v>
      </c>
      <c r="AA37" s="352">
        <f t="shared" si="23"/>
        <v>7889</v>
      </c>
      <c r="AB37" s="353">
        <f t="shared" si="23"/>
        <v>8083</v>
      </c>
      <c r="AC37" s="353">
        <f t="shared" si="23"/>
        <v>8304</v>
      </c>
      <c r="AD37" s="466">
        <f t="shared" si="23"/>
        <v>3558</v>
      </c>
    </row>
    <row r="38" spans="1:30" s="6" customFormat="1" ht="22.5" customHeight="1">
      <c r="A38" s="465" t="s">
        <v>528</v>
      </c>
      <c r="B38" s="293" t="s">
        <v>629</v>
      </c>
      <c r="C38" s="353">
        <v>3349</v>
      </c>
      <c r="D38" s="353">
        <v>2862</v>
      </c>
      <c r="E38" s="353">
        <v>2656</v>
      </c>
      <c r="F38" s="466">
        <v>1473</v>
      </c>
      <c r="G38" s="353">
        <v>1419</v>
      </c>
      <c r="H38" s="353">
        <v>1112</v>
      </c>
      <c r="I38" s="353">
        <v>870</v>
      </c>
      <c r="J38" s="466">
        <v>564</v>
      </c>
      <c r="K38" s="353">
        <v>94</v>
      </c>
      <c r="L38" s="353">
        <v>76</v>
      </c>
      <c r="M38" s="353">
        <v>83</v>
      </c>
      <c r="N38" s="466">
        <v>90</v>
      </c>
      <c r="O38" s="353">
        <v>896</v>
      </c>
      <c r="P38" s="353">
        <v>976</v>
      </c>
      <c r="Q38" s="353">
        <v>799</v>
      </c>
      <c r="R38" s="466">
        <v>224</v>
      </c>
      <c r="S38" s="353">
        <v>16</v>
      </c>
      <c r="T38" s="353">
        <v>21</v>
      </c>
      <c r="U38" s="353">
        <v>26</v>
      </c>
      <c r="V38" s="466">
        <v>23</v>
      </c>
      <c r="W38" s="353"/>
      <c r="X38" s="353"/>
      <c r="Y38" s="353"/>
      <c r="Z38" s="466"/>
      <c r="AA38" s="352">
        <f t="shared" ref="AA38:AC44" si="24">+W38+S38+O38+K38+G38+C38</f>
        <v>5774</v>
      </c>
      <c r="AB38" s="353">
        <f t="shared" si="24"/>
        <v>5047</v>
      </c>
      <c r="AC38" s="353">
        <f t="shared" si="24"/>
        <v>4434</v>
      </c>
      <c r="AD38" s="466">
        <f>+Z38+V38+R38+N38+J38+F38</f>
        <v>2374</v>
      </c>
    </row>
    <row r="39" spans="1:30" s="6" customFormat="1" ht="22.5" customHeight="1">
      <c r="A39" s="465"/>
      <c r="B39" s="334" t="s">
        <v>815</v>
      </c>
      <c r="C39" s="353">
        <v>392</v>
      </c>
      <c r="D39" s="353">
        <v>351</v>
      </c>
      <c r="E39" s="353">
        <v>403</v>
      </c>
      <c r="F39" s="466">
        <v>118</v>
      </c>
      <c r="G39" s="353">
        <v>269</v>
      </c>
      <c r="H39" s="353">
        <v>275</v>
      </c>
      <c r="I39" s="353">
        <v>258</v>
      </c>
      <c r="J39" s="466">
        <v>126</v>
      </c>
      <c r="K39" s="353">
        <v>19</v>
      </c>
      <c r="L39" s="353">
        <v>22</v>
      </c>
      <c r="M39" s="353">
        <v>15</v>
      </c>
      <c r="N39" s="466">
        <v>29</v>
      </c>
      <c r="O39" s="353">
        <v>175</v>
      </c>
      <c r="P39" s="353">
        <v>154</v>
      </c>
      <c r="Q39" s="353">
        <v>115</v>
      </c>
      <c r="R39" s="466">
        <v>71</v>
      </c>
      <c r="S39" s="353">
        <v>5</v>
      </c>
      <c r="T39" s="353">
        <v>5</v>
      </c>
      <c r="U39" s="353">
        <v>4</v>
      </c>
      <c r="V39" s="466">
        <v>3</v>
      </c>
      <c r="W39" s="353"/>
      <c r="X39" s="353"/>
      <c r="Y39" s="353"/>
      <c r="Z39" s="466"/>
      <c r="AA39" s="352">
        <f t="shared" ref="AA39:AC40" si="25">+W39+S39+O39+K39+G39+C39</f>
        <v>860</v>
      </c>
      <c r="AB39" s="353">
        <f t="shared" si="25"/>
        <v>807</v>
      </c>
      <c r="AC39" s="353">
        <f t="shared" si="25"/>
        <v>795</v>
      </c>
      <c r="AD39" s="466">
        <f>+Z39+V39+R39+N39+J39+F39</f>
        <v>347</v>
      </c>
    </row>
    <row r="40" spans="1:30" s="6" customFormat="1" ht="22.5" customHeight="1">
      <c r="A40" s="465"/>
      <c r="B40" s="293" t="s">
        <v>1183</v>
      </c>
      <c r="C40" s="353">
        <v>221</v>
      </c>
      <c r="D40" s="353">
        <v>278</v>
      </c>
      <c r="E40" s="353">
        <v>223</v>
      </c>
      <c r="F40" s="466">
        <v>80</v>
      </c>
      <c r="G40" s="353">
        <v>146</v>
      </c>
      <c r="H40" s="353">
        <v>98</v>
      </c>
      <c r="I40" s="353">
        <v>89</v>
      </c>
      <c r="J40" s="466">
        <v>65</v>
      </c>
      <c r="K40" s="353">
        <v>6</v>
      </c>
      <c r="L40" s="353">
        <v>10</v>
      </c>
      <c r="M40" s="353">
        <v>14</v>
      </c>
      <c r="N40" s="466">
        <v>7</v>
      </c>
      <c r="O40" s="353">
        <v>74</v>
      </c>
      <c r="P40" s="353">
        <v>97</v>
      </c>
      <c r="Q40" s="353">
        <v>103</v>
      </c>
      <c r="R40" s="466">
        <v>41</v>
      </c>
      <c r="S40" s="353">
        <v>0</v>
      </c>
      <c r="T40" s="353">
        <v>1</v>
      </c>
      <c r="U40" s="353"/>
      <c r="V40" s="466"/>
      <c r="W40" s="353"/>
      <c r="X40" s="353"/>
      <c r="Y40" s="353"/>
      <c r="Z40" s="466"/>
      <c r="AA40" s="353">
        <f t="shared" si="25"/>
        <v>447</v>
      </c>
      <c r="AB40" s="353">
        <f t="shared" si="25"/>
        <v>484</v>
      </c>
      <c r="AC40" s="353">
        <f t="shared" si="25"/>
        <v>429</v>
      </c>
      <c r="AD40" s="466">
        <f>+Z40+V40+R40+N40+J40+F40</f>
        <v>193</v>
      </c>
    </row>
    <row r="41" spans="1:30" s="6" customFormat="1" ht="22.5" customHeight="1">
      <c r="A41" s="465"/>
      <c r="B41" s="334" t="s">
        <v>625</v>
      </c>
      <c r="C41" s="353">
        <v>3962</v>
      </c>
      <c r="D41" s="353">
        <v>3491</v>
      </c>
      <c r="E41" s="353">
        <f t="shared" ref="E41" si="26">SUM(E38:E40)</f>
        <v>3282</v>
      </c>
      <c r="F41" s="466">
        <f t="shared" ref="F41:AD41" si="27">SUM(F38:F40)</f>
        <v>1671</v>
      </c>
      <c r="G41" s="353">
        <v>1834</v>
      </c>
      <c r="H41" s="353">
        <v>1485</v>
      </c>
      <c r="I41" s="353">
        <f t="shared" ref="I41" si="28">SUM(I38:I40)</f>
        <v>1217</v>
      </c>
      <c r="J41" s="466">
        <f t="shared" si="27"/>
        <v>755</v>
      </c>
      <c r="K41" s="353">
        <v>119</v>
      </c>
      <c r="L41" s="353">
        <v>108</v>
      </c>
      <c r="M41" s="353">
        <f t="shared" ref="M41" si="29">SUM(M38:M40)</f>
        <v>112</v>
      </c>
      <c r="N41" s="466">
        <f t="shared" si="27"/>
        <v>126</v>
      </c>
      <c r="O41" s="353">
        <v>1145</v>
      </c>
      <c r="P41" s="353">
        <v>1227</v>
      </c>
      <c r="Q41" s="353">
        <f t="shared" ref="Q41" si="30">SUM(Q38:Q40)</f>
        <v>1017</v>
      </c>
      <c r="R41" s="466">
        <f t="shared" si="27"/>
        <v>336</v>
      </c>
      <c r="S41" s="353">
        <v>21</v>
      </c>
      <c r="T41" s="353">
        <v>27</v>
      </c>
      <c r="U41" s="353">
        <f t="shared" ref="U41" si="31">SUM(U38:U40)</f>
        <v>30</v>
      </c>
      <c r="V41" s="466">
        <f t="shared" si="27"/>
        <v>26</v>
      </c>
      <c r="W41" s="353">
        <v>0</v>
      </c>
      <c r="X41" s="353">
        <v>0</v>
      </c>
      <c r="Y41" s="353">
        <f t="shared" ref="Y41" si="32">SUM(Y38:Y40)</f>
        <v>0</v>
      </c>
      <c r="Z41" s="353">
        <f t="shared" si="27"/>
        <v>0</v>
      </c>
      <c r="AA41" s="352">
        <f t="shared" si="27"/>
        <v>7081</v>
      </c>
      <c r="AB41" s="353">
        <f t="shared" si="27"/>
        <v>6338</v>
      </c>
      <c r="AC41" s="353">
        <f t="shared" si="27"/>
        <v>5658</v>
      </c>
      <c r="AD41" s="466">
        <f t="shared" si="27"/>
        <v>2914</v>
      </c>
    </row>
    <row r="42" spans="1:30" s="6" customFormat="1" ht="22.5" customHeight="1">
      <c r="A42" s="465" t="s">
        <v>529</v>
      </c>
      <c r="B42" s="334" t="s">
        <v>816</v>
      </c>
      <c r="C42" s="353">
        <v>3344</v>
      </c>
      <c r="D42" s="353">
        <v>3020</v>
      </c>
      <c r="E42" s="353">
        <v>3185</v>
      </c>
      <c r="F42" s="466">
        <v>1296</v>
      </c>
      <c r="G42" s="353">
        <v>864</v>
      </c>
      <c r="H42" s="353">
        <v>970</v>
      </c>
      <c r="I42" s="353">
        <v>1013</v>
      </c>
      <c r="J42" s="466">
        <v>433</v>
      </c>
      <c r="K42" s="353">
        <v>49</v>
      </c>
      <c r="L42" s="353">
        <v>79</v>
      </c>
      <c r="M42" s="353">
        <v>65</v>
      </c>
      <c r="N42" s="466">
        <v>71</v>
      </c>
      <c r="O42" s="353">
        <v>769</v>
      </c>
      <c r="P42" s="353">
        <v>734</v>
      </c>
      <c r="Q42" s="353">
        <v>891</v>
      </c>
      <c r="R42" s="466">
        <v>182</v>
      </c>
      <c r="S42" s="353">
        <v>75</v>
      </c>
      <c r="T42" s="353">
        <v>71</v>
      </c>
      <c r="U42" s="353">
        <v>69</v>
      </c>
      <c r="V42" s="466">
        <v>85</v>
      </c>
      <c r="W42" s="353">
        <v>0</v>
      </c>
      <c r="X42" s="353"/>
      <c r="Y42" s="353"/>
      <c r="Z42" s="466"/>
      <c r="AA42" s="352">
        <f t="shared" si="24"/>
        <v>5101</v>
      </c>
      <c r="AB42" s="353">
        <f t="shared" si="24"/>
        <v>4874</v>
      </c>
      <c r="AC42" s="353">
        <f t="shared" si="24"/>
        <v>5223</v>
      </c>
      <c r="AD42" s="466">
        <f>+Z42+V42+R42+N42+J42+F42</f>
        <v>2067</v>
      </c>
    </row>
    <row r="43" spans="1:30" s="6" customFormat="1" ht="22.5" customHeight="1">
      <c r="A43" s="465" t="s">
        <v>934</v>
      </c>
      <c r="B43" s="293" t="s">
        <v>817</v>
      </c>
      <c r="C43" s="353">
        <v>5293</v>
      </c>
      <c r="D43" s="353">
        <v>5471</v>
      </c>
      <c r="E43" s="353">
        <v>4534</v>
      </c>
      <c r="F43" s="466">
        <v>1628</v>
      </c>
      <c r="G43" s="353">
        <v>2727</v>
      </c>
      <c r="H43" s="353">
        <v>3099</v>
      </c>
      <c r="I43" s="353">
        <v>3074</v>
      </c>
      <c r="J43" s="466">
        <v>1212</v>
      </c>
      <c r="K43" s="353">
        <v>196</v>
      </c>
      <c r="L43" s="353">
        <v>121</v>
      </c>
      <c r="M43" s="353">
        <v>345</v>
      </c>
      <c r="N43" s="466">
        <v>163</v>
      </c>
      <c r="O43" s="353">
        <v>1869</v>
      </c>
      <c r="P43" s="353">
        <v>1740</v>
      </c>
      <c r="Q43" s="353">
        <v>1416</v>
      </c>
      <c r="R43" s="466">
        <v>386</v>
      </c>
      <c r="S43" s="353">
        <v>40</v>
      </c>
      <c r="T43" s="353">
        <v>36</v>
      </c>
      <c r="U43" s="353">
        <v>59</v>
      </c>
      <c r="V43" s="466">
        <v>36</v>
      </c>
      <c r="W43" s="353"/>
      <c r="X43" s="353"/>
      <c r="Y43" s="353"/>
      <c r="Z43" s="466"/>
      <c r="AA43" s="352">
        <f t="shared" si="24"/>
        <v>10125</v>
      </c>
      <c r="AB43" s="353">
        <f t="shared" si="24"/>
        <v>10467</v>
      </c>
      <c r="AC43" s="353">
        <f t="shared" si="24"/>
        <v>9428</v>
      </c>
      <c r="AD43" s="466">
        <f>+Z43+V43+R43+N43+J43+F43</f>
        <v>3425</v>
      </c>
    </row>
    <row r="44" spans="1:30" s="6" customFormat="1" ht="22.5" customHeight="1">
      <c r="A44" s="465"/>
      <c r="B44" s="293" t="s">
        <v>967</v>
      </c>
      <c r="C44" s="353">
        <v>0</v>
      </c>
      <c r="D44" s="353"/>
      <c r="E44" s="353">
        <v>25</v>
      </c>
      <c r="F44" s="466">
        <v>3</v>
      </c>
      <c r="G44" s="353"/>
      <c r="H44" s="353"/>
      <c r="I44" s="353">
        <v>27</v>
      </c>
      <c r="J44" s="466">
        <v>103</v>
      </c>
      <c r="K44" s="353"/>
      <c r="L44" s="353"/>
      <c r="M44" s="353"/>
      <c r="N44" s="466"/>
      <c r="O44" s="353"/>
      <c r="P44" s="353"/>
      <c r="Q44" s="353"/>
      <c r="R44" s="466"/>
      <c r="S44" s="353">
        <v>4</v>
      </c>
      <c r="T44" s="353"/>
      <c r="U44" s="353">
        <v>18</v>
      </c>
      <c r="V44" s="466">
        <v>33</v>
      </c>
      <c r="W44" s="353"/>
      <c r="X44" s="353"/>
      <c r="Y44" s="353"/>
      <c r="Z44" s="466"/>
      <c r="AA44" s="352">
        <f t="shared" si="24"/>
        <v>4</v>
      </c>
      <c r="AB44" s="353">
        <f t="shared" si="24"/>
        <v>0</v>
      </c>
      <c r="AC44" s="353">
        <f t="shared" si="24"/>
        <v>70</v>
      </c>
      <c r="AD44" s="466">
        <f>+Z44+V44+R44+N44+J44+F44</f>
        <v>139</v>
      </c>
    </row>
    <row r="45" spans="1:30" s="6" customFormat="1" ht="22.5" customHeight="1">
      <c r="A45" s="465" t="s">
        <v>531</v>
      </c>
      <c r="B45" s="293" t="s">
        <v>818</v>
      </c>
      <c r="C45" s="353">
        <v>4170</v>
      </c>
      <c r="D45" s="353">
        <v>4400</v>
      </c>
      <c r="E45" s="353">
        <v>4052</v>
      </c>
      <c r="F45" s="466">
        <v>1664</v>
      </c>
      <c r="G45" s="353">
        <v>1368</v>
      </c>
      <c r="H45" s="353">
        <v>1266</v>
      </c>
      <c r="I45" s="353">
        <v>1394</v>
      </c>
      <c r="J45" s="466">
        <v>879</v>
      </c>
      <c r="K45" s="353">
        <v>52</v>
      </c>
      <c r="L45" s="353">
        <v>46</v>
      </c>
      <c r="M45" s="353">
        <v>50</v>
      </c>
      <c r="N45" s="466">
        <v>23</v>
      </c>
      <c r="O45" s="353">
        <v>538</v>
      </c>
      <c r="P45" s="353">
        <v>529</v>
      </c>
      <c r="Q45" s="353">
        <v>623</v>
      </c>
      <c r="R45" s="466">
        <v>159</v>
      </c>
      <c r="S45" s="353">
        <v>32</v>
      </c>
      <c r="T45" s="353">
        <v>42</v>
      </c>
      <c r="U45" s="353">
        <v>62</v>
      </c>
      <c r="V45" s="466">
        <v>82</v>
      </c>
      <c r="W45" s="353"/>
      <c r="X45" s="353"/>
      <c r="Y45" s="353"/>
      <c r="Z45" s="466"/>
      <c r="AA45" s="352">
        <f t="shared" ref="AA45:AC46" si="33">+W45+S45+O45+K45+G45+C45</f>
        <v>6160</v>
      </c>
      <c r="AB45" s="353">
        <f t="shared" si="33"/>
        <v>6283</v>
      </c>
      <c r="AC45" s="353">
        <f t="shared" si="33"/>
        <v>6181</v>
      </c>
      <c r="AD45" s="466">
        <f>+Z45+V45+R45+N45+J45+F45</f>
        <v>2807</v>
      </c>
    </row>
    <row r="46" spans="1:30" s="6" customFormat="1" ht="22.5" customHeight="1">
      <c r="A46" s="465"/>
      <c r="B46" s="293" t="s">
        <v>1177</v>
      </c>
      <c r="C46" s="353">
        <v>448</v>
      </c>
      <c r="D46" s="353">
        <v>515</v>
      </c>
      <c r="E46" s="353">
        <v>553</v>
      </c>
      <c r="F46" s="466">
        <v>221</v>
      </c>
      <c r="G46" s="353">
        <v>273</v>
      </c>
      <c r="H46" s="353">
        <v>213</v>
      </c>
      <c r="I46" s="353">
        <v>235</v>
      </c>
      <c r="J46" s="466">
        <v>137</v>
      </c>
      <c r="K46" s="353">
        <v>6</v>
      </c>
      <c r="L46" s="353">
        <v>2</v>
      </c>
      <c r="M46" s="353">
        <v>1</v>
      </c>
      <c r="N46" s="466">
        <v>1</v>
      </c>
      <c r="O46" s="353">
        <v>53</v>
      </c>
      <c r="P46" s="353">
        <v>88</v>
      </c>
      <c r="Q46" s="353">
        <v>119</v>
      </c>
      <c r="R46" s="466">
        <v>27</v>
      </c>
      <c r="S46" s="353">
        <v>1</v>
      </c>
      <c r="T46" s="353">
        <v>1</v>
      </c>
      <c r="U46" s="353">
        <v>2</v>
      </c>
      <c r="V46" s="466">
        <v>6</v>
      </c>
      <c r="W46" s="353"/>
      <c r="X46" s="353"/>
      <c r="Y46" s="353"/>
      <c r="Z46" s="466"/>
      <c r="AA46" s="353">
        <f t="shared" si="33"/>
        <v>781</v>
      </c>
      <c r="AB46" s="353">
        <f t="shared" si="33"/>
        <v>819</v>
      </c>
      <c r="AC46" s="353">
        <f t="shared" si="33"/>
        <v>910</v>
      </c>
      <c r="AD46" s="466">
        <f>+Z46+V46+R46+N46+J46+F46</f>
        <v>392</v>
      </c>
    </row>
    <row r="47" spans="1:30" s="6" customFormat="1" ht="22.5" customHeight="1">
      <c r="A47" s="465"/>
      <c r="B47" s="293" t="s">
        <v>1647</v>
      </c>
      <c r="C47" s="353">
        <v>4618</v>
      </c>
      <c r="D47" s="353">
        <v>4915</v>
      </c>
      <c r="E47" s="353">
        <f>SUM(E45:E46)</f>
        <v>4605</v>
      </c>
      <c r="F47" s="466">
        <f>SUM(F45:F46)</f>
        <v>1885</v>
      </c>
      <c r="G47" s="353">
        <v>1641</v>
      </c>
      <c r="H47" s="353">
        <v>1479</v>
      </c>
      <c r="I47" s="353">
        <f>SUM(I45:I46)</f>
        <v>1629</v>
      </c>
      <c r="J47" s="466">
        <f>SUM(J45:J46)</f>
        <v>1016</v>
      </c>
      <c r="K47" s="353">
        <v>58</v>
      </c>
      <c r="L47" s="353">
        <v>48</v>
      </c>
      <c r="M47" s="353">
        <f>SUM(M45:M46)</f>
        <v>51</v>
      </c>
      <c r="N47" s="466">
        <f>SUM(N45:N46)</f>
        <v>24</v>
      </c>
      <c r="O47" s="353">
        <v>591</v>
      </c>
      <c r="P47" s="353">
        <v>617</v>
      </c>
      <c r="Q47" s="353">
        <f>SUM(Q45:Q46)</f>
        <v>742</v>
      </c>
      <c r="R47" s="466">
        <f>SUM(R45:R46)</f>
        <v>186</v>
      </c>
      <c r="S47" s="353">
        <v>33</v>
      </c>
      <c r="T47" s="353">
        <v>43</v>
      </c>
      <c r="U47" s="353">
        <f>SUM(U45:U46)</f>
        <v>64</v>
      </c>
      <c r="V47" s="466">
        <f>SUM(V45:V46)</f>
        <v>88</v>
      </c>
      <c r="W47" s="353">
        <v>0</v>
      </c>
      <c r="X47" s="353">
        <v>0</v>
      </c>
      <c r="Y47" s="353">
        <f t="shared" ref="Y47" si="34">SUM(Y45:Y46)</f>
        <v>0</v>
      </c>
      <c r="Z47" s="466">
        <f t="shared" ref="Z47:AD47" si="35">SUM(Z45:Z46)</f>
        <v>0</v>
      </c>
      <c r="AA47" s="353">
        <f t="shared" si="35"/>
        <v>6941</v>
      </c>
      <c r="AB47" s="353">
        <f t="shared" si="35"/>
        <v>7102</v>
      </c>
      <c r="AC47" s="353">
        <f t="shared" si="35"/>
        <v>7091</v>
      </c>
      <c r="AD47" s="466">
        <f t="shared" si="35"/>
        <v>3199</v>
      </c>
    </row>
    <row r="48" spans="1:30" s="6" customFormat="1" ht="22.5" customHeight="1">
      <c r="A48" s="475" t="s">
        <v>935</v>
      </c>
      <c r="B48" s="471"/>
      <c r="C48" s="472">
        <f t="shared" ref="C48:AC48" si="36">SUM(C41:C46)+C31+C37</f>
        <v>40156</v>
      </c>
      <c r="D48" s="473">
        <f t="shared" si="36"/>
        <v>38025</v>
      </c>
      <c r="E48" s="473">
        <f t="shared" si="36"/>
        <v>37456</v>
      </c>
      <c r="F48" s="474">
        <f>+F31+F37+F41+F42+F43+F47+F44</f>
        <v>14270</v>
      </c>
      <c r="G48" s="472">
        <f t="shared" si="36"/>
        <v>17324</v>
      </c>
      <c r="H48" s="473">
        <f t="shared" si="36"/>
        <v>17431</v>
      </c>
      <c r="I48" s="473">
        <f t="shared" si="36"/>
        <v>16972</v>
      </c>
      <c r="J48" s="474">
        <f>+J31+J37+J41+J42+J43+J47+J44</f>
        <v>8070</v>
      </c>
      <c r="K48" s="472">
        <f t="shared" si="36"/>
        <v>1124</v>
      </c>
      <c r="L48" s="473">
        <f t="shared" si="36"/>
        <v>1186</v>
      </c>
      <c r="M48" s="473">
        <f t="shared" si="36"/>
        <v>1422</v>
      </c>
      <c r="N48" s="474">
        <f>+N31+N37+N41+N42+N43+N47+N44</f>
        <v>1187</v>
      </c>
      <c r="O48" s="472">
        <f t="shared" si="36"/>
        <v>10606</v>
      </c>
      <c r="P48" s="473">
        <f t="shared" si="36"/>
        <v>10787</v>
      </c>
      <c r="Q48" s="473">
        <f t="shared" si="36"/>
        <v>10273</v>
      </c>
      <c r="R48" s="474">
        <f>+R31+R37+R41+R42+R43+R47+R44</f>
        <v>2967</v>
      </c>
      <c r="S48" s="472">
        <f t="shared" si="36"/>
        <v>623</v>
      </c>
      <c r="T48" s="473">
        <f t="shared" si="36"/>
        <v>718</v>
      </c>
      <c r="U48" s="473">
        <f t="shared" si="36"/>
        <v>966</v>
      </c>
      <c r="V48" s="474">
        <f>+V31+V37+V41+V42+V43+V47+V44</f>
        <v>849</v>
      </c>
      <c r="W48" s="472">
        <f t="shared" si="36"/>
        <v>0</v>
      </c>
      <c r="X48" s="473">
        <f t="shared" si="36"/>
        <v>8</v>
      </c>
      <c r="Y48" s="473">
        <f t="shared" si="36"/>
        <v>0</v>
      </c>
      <c r="Z48" s="474">
        <f>+Z31+Z37+Z41+Z42+Z43+Z47+Z44</f>
        <v>0</v>
      </c>
      <c r="AA48" s="472">
        <f t="shared" si="36"/>
        <v>69833</v>
      </c>
      <c r="AB48" s="473">
        <f t="shared" si="36"/>
        <v>68155</v>
      </c>
      <c r="AC48" s="473">
        <f t="shared" si="36"/>
        <v>67089</v>
      </c>
      <c r="AD48" s="474">
        <f>+AD31+AD37+AD41+AD42+AD43+AD47+AD44</f>
        <v>27343</v>
      </c>
    </row>
    <row r="49" spans="1:30" s="6" customFormat="1" ht="22.5" customHeight="1">
      <c r="A49" s="1628" t="s">
        <v>637</v>
      </c>
      <c r="B49" s="1629"/>
      <c r="C49" s="476">
        <f t="shared" ref="C49:AC49" si="37">+C23+C48</f>
        <v>61296</v>
      </c>
      <c r="D49" s="477">
        <f t="shared" si="37"/>
        <v>58829</v>
      </c>
      <c r="E49" s="477">
        <f t="shared" si="37"/>
        <v>57370</v>
      </c>
      <c r="F49" s="478">
        <f t="shared" si="37"/>
        <v>22304</v>
      </c>
      <c r="G49" s="477">
        <f t="shared" si="37"/>
        <v>28846</v>
      </c>
      <c r="H49" s="477">
        <f t="shared" si="37"/>
        <v>28905</v>
      </c>
      <c r="I49" s="477">
        <f t="shared" si="37"/>
        <v>28509</v>
      </c>
      <c r="J49" s="478">
        <f t="shared" si="37"/>
        <v>12556</v>
      </c>
      <c r="K49" s="476">
        <f t="shared" si="37"/>
        <v>2209</v>
      </c>
      <c r="L49" s="477">
        <f t="shared" si="37"/>
        <v>2246</v>
      </c>
      <c r="M49" s="477">
        <f t="shared" si="37"/>
        <v>2457</v>
      </c>
      <c r="N49" s="478">
        <f t="shared" si="37"/>
        <v>1969</v>
      </c>
      <c r="O49" s="477">
        <f t="shared" si="37"/>
        <v>16968</v>
      </c>
      <c r="P49" s="477">
        <f t="shared" si="37"/>
        <v>16887</v>
      </c>
      <c r="Q49" s="477">
        <f t="shared" si="37"/>
        <v>16139</v>
      </c>
      <c r="R49" s="478">
        <f t="shared" si="37"/>
        <v>4428</v>
      </c>
      <c r="S49" s="476">
        <f t="shared" si="37"/>
        <v>992</v>
      </c>
      <c r="T49" s="477">
        <f t="shared" si="37"/>
        <v>1293</v>
      </c>
      <c r="U49" s="477">
        <f t="shared" si="37"/>
        <v>1710</v>
      </c>
      <c r="V49" s="478">
        <f t="shared" si="37"/>
        <v>1486</v>
      </c>
      <c r="W49" s="477">
        <f t="shared" si="37"/>
        <v>2</v>
      </c>
      <c r="X49" s="477">
        <f t="shared" si="37"/>
        <v>16</v>
      </c>
      <c r="Y49" s="477">
        <f t="shared" si="37"/>
        <v>1</v>
      </c>
      <c r="Z49" s="478">
        <f t="shared" si="37"/>
        <v>0</v>
      </c>
      <c r="AA49" s="476">
        <f>+AA23+AA48</f>
        <v>110313</v>
      </c>
      <c r="AB49" s="477">
        <f>+AB23+AB48</f>
        <v>108176</v>
      </c>
      <c r="AC49" s="477">
        <f t="shared" si="37"/>
        <v>106186</v>
      </c>
      <c r="AD49" s="478">
        <f>+AD23+AD48</f>
        <v>42743</v>
      </c>
    </row>
    <row r="50" spans="1:30">
      <c r="J50" s="115"/>
      <c r="M50" s="149"/>
      <c r="N50" s="115"/>
      <c r="R50" s="115"/>
      <c r="V50" s="115"/>
      <c r="Z50" s="115"/>
    </row>
    <row r="51" spans="1:30">
      <c r="F51" s="1399"/>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row>
    <row r="52" spans="1:30">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row>
    <row r="53" spans="1:30">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row>
    <row r="54" spans="1:30">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row>
    <row r="55" spans="1:30">
      <c r="F55" s="495"/>
      <c r="G55" s="495"/>
      <c r="H55" s="495"/>
      <c r="I55" s="495"/>
      <c r="J55" s="495"/>
      <c r="K55" s="495"/>
      <c r="L55" s="495"/>
      <c r="M55" s="149"/>
    </row>
    <row r="56" spans="1:30">
      <c r="F56" s="495"/>
      <c r="G56" s="495"/>
      <c r="H56" s="495"/>
      <c r="I56" s="495"/>
      <c r="J56" s="495"/>
      <c r="K56" s="495"/>
      <c r="L56" s="495"/>
      <c r="M56" s="149"/>
      <c r="V56" s="115"/>
    </row>
    <row r="57" spans="1:30">
      <c r="M57" s="149"/>
      <c r="Z57" s="495"/>
    </row>
    <row r="58" spans="1:30">
      <c r="J58" s="495"/>
    </row>
  </sheetData>
  <mergeCells count="12">
    <mergeCell ref="A1:AD1"/>
    <mergeCell ref="A2:AD2"/>
    <mergeCell ref="A3:AD3"/>
    <mergeCell ref="A4:AD4"/>
    <mergeCell ref="A49:B49"/>
    <mergeCell ref="S7:V7"/>
    <mergeCell ref="W7:Z7"/>
    <mergeCell ref="AA7:AD7"/>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topLeftCell="Q47" workbookViewId="0">
      <selection activeCell="H9" sqref="H9"/>
    </sheetView>
  </sheetViews>
  <sheetFormatPr baseColWidth="10" defaultColWidth="11.44140625" defaultRowHeight="11.4"/>
  <cols>
    <col min="1" max="1" width="12.44140625" style="378" customWidth="1"/>
    <col min="2" max="2" width="19.77734375" style="378" customWidth="1"/>
    <col min="3" max="62" width="7.21875" style="378" customWidth="1"/>
    <col min="63" max="16384" width="11.44140625" style="378"/>
  </cols>
  <sheetData>
    <row r="1" spans="1:30" ht="12">
      <c r="A1" s="1616" t="s">
        <v>922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row>
    <row r="2" spans="1:30" ht="12">
      <c r="A2" s="1616" t="s">
        <v>936</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row>
    <row r="3" spans="1:30"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row>
    <row r="4" spans="1:30" ht="12">
      <c r="A4" s="1616" t="str">
        <f>+'41'!A4:AD4</f>
        <v>2017 - 2020</v>
      </c>
      <c r="B4" s="1616"/>
      <c r="C4" s="1616"/>
      <c r="D4" s="1616"/>
      <c r="E4" s="1616"/>
      <c r="F4" s="1616"/>
      <c r="G4" s="1616"/>
      <c r="H4" s="1616"/>
      <c r="I4" s="1616"/>
      <c r="J4" s="1616"/>
      <c r="K4" s="1616"/>
      <c r="L4" s="1616"/>
      <c r="M4" s="1616"/>
      <c r="N4" s="1616"/>
      <c r="O4" s="1616"/>
      <c r="P4" s="1616"/>
      <c r="Q4" s="1616"/>
      <c r="R4" s="1616"/>
      <c r="S4" s="1616"/>
      <c r="T4" s="1616"/>
      <c r="U4" s="1616"/>
      <c r="V4" s="1616"/>
      <c r="W4" s="1616"/>
      <c r="X4" s="1616"/>
      <c r="Y4" s="1616"/>
      <c r="Z4" s="1616"/>
      <c r="AA4" s="1616"/>
      <c r="AB4" s="1616"/>
      <c r="AC4" s="1616"/>
      <c r="AD4" s="1616"/>
    </row>
    <row r="7" spans="1:30" s="481" customFormat="1" ht="22.5" customHeight="1">
      <c r="A7" s="479" t="s">
        <v>536</v>
      </c>
      <c r="B7" s="480" t="s">
        <v>835</v>
      </c>
      <c r="C7" s="1606" t="s">
        <v>924</v>
      </c>
      <c r="D7" s="1607"/>
      <c r="E7" s="1607"/>
      <c r="F7" s="1608"/>
      <c r="G7" s="1606" t="s">
        <v>925</v>
      </c>
      <c r="H7" s="1607"/>
      <c r="I7" s="1607"/>
      <c r="J7" s="1608"/>
      <c r="K7" s="1606" t="s">
        <v>926</v>
      </c>
      <c r="L7" s="1607"/>
      <c r="M7" s="1607"/>
      <c r="N7" s="1607"/>
      <c r="O7" s="1606" t="s">
        <v>927</v>
      </c>
      <c r="P7" s="1607"/>
      <c r="Q7" s="1607"/>
      <c r="R7" s="1608"/>
      <c r="S7" s="1607" t="s">
        <v>928</v>
      </c>
      <c r="T7" s="1607"/>
      <c r="U7" s="1607"/>
      <c r="V7" s="1608"/>
      <c r="W7" s="1630" t="s">
        <v>1430</v>
      </c>
      <c r="X7" s="1612"/>
      <c r="Y7" s="1612"/>
      <c r="Z7" s="1612"/>
      <c r="AA7" s="1606" t="s">
        <v>637</v>
      </c>
      <c r="AB7" s="1607"/>
      <c r="AC7" s="1607"/>
      <c r="AD7" s="1608"/>
    </row>
    <row r="8" spans="1:30" s="481" customFormat="1" ht="22.5" customHeight="1">
      <c r="A8" s="461"/>
      <c r="B8" s="461"/>
      <c r="C8" s="462">
        <f>+'41'!C8</f>
        <v>2017</v>
      </c>
      <c r="D8" s="463">
        <f>+'41'!D8</f>
        <v>2018</v>
      </c>
      <c r="E8" s="463">
        <f>+'41'!E8</f>
        <v>2019</v>
      </c>
      <c r="F8" s="464">
        <f>+'41'!F8</f>
        <v>2020</v>
      </c>
      <c r="G8" s="462">
        <f>+'41'!G8</f>
        <v>2017</v>
      </c>
      <c r="H8" s="463">
        <f>+'41'!H8</f>
        <v>2018</v>
      </c>
      <c r="I8" s="463">
        <f>+'41'!I8</f>
        <v>2019</v>
      </c>
      <c r="J8" s="464">
        <f>+'41'!J8</f>
        <v>2020</v>
      </c>
      <c r="K8" s="463">
        <f>+'41'!K8</f>
        <v>2017</v>
      </c>
      <c r="L8" s="463">
        <f>+'41'!L8</f>
        <v>2018</v>
      </c>
      <c r="M8" s="463">
        <f>+'41'!M8</f>
        <v>2019</v>
      </c>
      <c r="N8" s="463">
        <f>+'41'!N8</f>
        <v>2020</v>
      </c>
      <c r="O8" s="462">
        <f>+'41'!O8</f>
        <v>2017</v>
      </c>
      <c r="P8" s="463">
        <f>+'41'!P8</f>
        <v>2018</v>
      </c>
      <c r="Q8" s="463">
        <f>+'41'!Q8</f>
        <v>2019</v>
      </c>
      <c r="R8" s="464">
        <f>+'41'!R8</f>
        <v>2020</v>
      </c>
      <c r="S8" s="463">
        <f>+'41'!S8</f>
        <v>2017</v>
      </c>
      <c r="T8" s="463">
        <f>+'41'!T8</f>
        <v>2018</v>
      </c>
      <c r="U8" s="463">
        <f>+'41'!U8</f>
        <v>2019</v>
      </c>
      <c r="V8" s="464">
        <f>+'41'!V8</f>
        <v>2020</v>
      </c>
      <c r="W8" s="462">
        <f>+'41'!W8</f>
        <v>2017</v>
      </c>
      <c r="X8" s="463">
        <f>+'41'!X8</f>
        <v>2018</v>
      </c>
      <c r="Y8" s="463">
        <f>+'41'!Y8</f>
        <v>2019</v>
      </c>
      <c r="Z8" s="464">
        <f>+'41'!Z8</f>
        <v>2020</v>
      </c>
      <c r="AA8" s="462">
        <f>+'41'!AA8</f>
        <v>2017</v>
      </c>
      <c r="AB8" s="463">
        <f>+'41'!AB8</f>
        <v>2018</v>
      </c>
      <c r="AC8" s="463">
        <f>+'41'!AC8</f>
        <v>2019</v>
      </c>
      <c r="AD8" s="464">
        <f>+'41'!AD8</f>
        <v>2020</v>
      </c>
    </row>
    <row r="9" spans="1:30" s="481" customFormat="1" ht="22.5" customHeight="1">
      <c r="A9" s="479" t="s">
        <v>929</v>
      </c>
      <c r="B9" s="632" t="s">
        <v>1322</v>
      </c>
      <c r="C9" s="353">
        <v>2559</v>
      </c>
      <c r="D9" s="353">
        <v>2547</v>
      </c>
      <c r="E9" s="353">
        <v>2379</v>
      </c>
      <c r="F9" s="466">
        <v>1092</v>
      </c>
      <c r="G9" s="353">
        <v>784</v>
      </c>
      <c r="H9" s="353">
        <v>936</v>
      </c>
      <c r="I9" s="353">
        <v>92</v>
      </c>
      <c r="J9" s="466">
        <v>7</v>
      </c>
      <c r="K9" s="353">
        <v>45</v>
      </c>
      <c r="L9" s="353">
        <v>50</v>
      </c>
      <c r="M9" s="353">
        <v>609</v>
      </c>
      <c r="N9" s="466">
        <v>102</v>
      </c>
      <c r="O9" s="353">
        <v>188</v>
      </c>
      <c r="P9" s="353">
        <v>189</v>
      </c>
      <c r="Q9" s="353">
        <v>177</v>
      </c>
      <c r="R9" s="466">
        <v>52</v>
      </c>
      <c r="S9" s="353">
        <v>88</v>
      </c>
      <c r="T9" s="353">
        <v>127</v>
      </c>
      <c r="U9" s="353">
        <v>136</v>
      </c>
      <c r="V9" s="466">
        <v>59</v>
      </c>
      <c r="W9" s="353"/>
      <c r="X9" s="353"/>
      <c r="Y9" s="353"/>
      <c r="Z9" s="353"/>
      <c r="AA9" s="352">
        <f t="shared" ref="AA9:AD13" si="0">+W9+S9+O9+K9+G9+C9</f>
        <v>3664</v>
      </c>
      <c r="AB9" s="353">
        <f t="shared" si="0"/>
        <v>3849</v>
      </c>
      <c r="AC9" s="353">
        <f t="shared" si="0"/>
        <v>3393</v>
      </c>
      <c r="AD9" s="466">
        <f t="shared" si="0"/>
        <v>1312</v>
      </c>
    </row>
    <row r="10" spans="1:30" s="481" customFormat="1" ht="22.5" customHeight="1">
      <c r="A10" s="465"/>
      <c r="B10" s="293" t="s">
        <v>1323</v>
      </c>
      <c r="C10" s="353">
        <v>2781</v>
      </c>
      <c r="D10" s="353">
        <v>2548</v>
      </c>
      <c r="E10" s="353">
        <v>2604</v>
      </c>
      <c r="F10" s="466">
        <v>1192</v>
      </c>
      <c r="G10" s="353">
        <v>0</v>
      </c>
      <c r="H10" s="353"/>
      <c r="I10" s="353"/>
      <c r="J10" s="466">
        <v>3</v>
      </c>
      <c r="K10" s="353">
        <v>453</v>
      </c>
      <c r="L10" s="353">
        <v>322</v>
      </c>
      <c r="M10" s="353">
        <v>366</v>
      </c>
      <c r="N10" s="466">
        <v>137</v>
      </c>
      <c r="O10" s="353">
        <v>265</v>
      </c>
      <c r="P10" s="353">
        <v>250</v>
      </c>
      <c r="Q10" s="353">
        <v>189</v>
      </c>
      <c r="R10" s="466">
        <v>5</v>
      </c>
      <c r="S10" s="353">
        <v>230</v>
      </c>
      <c r="T10" s="353">
        <v>320</v>
      </c>
      <c r="U10" s="353">
        <v>209</v>
      </c>
      <c r="V10" s="466">
        <v>72</v>
      </c>
      <c r="W10" s="353"/>
      <c r="X10" s="353"/>
      <c r="Y10" s="353"/>
      <c r="Z10" s="353"/>
      <c r="AA10" s="352">
        <f t="shared" si="0"/>
        <v>3729</v>
      </c>
      <c r="AB10" s="353">
        <f t="shared" si="0"/>
        <v>3440</v>
      </c>
      <c r="AC10" s="353">
        <f t="shared" si="0"/>
        <v>3368</v>
      </c>
      <c r="AD10" s="466">
        <f t="shared" si="0"/>
        <v>1409</v>
      </c>
    </row>
    <row r="11" spans="1:30" s="481" customFormat="1" ht="22.5" customHeight="1">
      <c r="A11" s="465"/>
      <c r="B11" s="334" t="s">
        <v>804</v>
      </c>
      <c r="C11" s="353">
        <v>592</v>
      </c>
      <c r="D11" s="353">
        <v>521</v>
      </c>
      <c r="E11" s="353">
        <v>512</v>
      </c>
      <c r="F11" s="466">
        <v>229</v>
      </c>
      <c r="G11" s="353">
        <v>3</v>
      </c>
      <c r="H11" s="353">
        <v>11</v>
      </c>
      <c r="I11" s="353">
        <v>42</v>
      </c>
      <c r="J11" s="466">
        <v>14</v>
      </c>
      <c r="K11" s="353">
        <v>32</v>
      </c>
      <c r="L11" s="353">
        <v>11</v>
      </c>
      <c r="M11" s="353">
        <v>33</v>
      </c>
      <c r="N11" s="466">
        <v>25</v>
      </c>
      <c r="O11" s="353">
        <v>68</v>
      </c>
      <c r="P11" s="353">
        <v>50</v>
      </c>
      <c r="Q11" s="353">
        <v>103</v>
      </c>
      <c r="R11" s="466">
        <v>17</v>
      </c>
      <c r="S11" s="353">
        <v>106</v>
      </c>
      <c r="T11" s="353">
        <v>59</v>
      </c>
      <c r="U11" s="353">
        <v>96</v>
      </c>
      <c r="V11" s="466">
        <v>95</v>
      </c>
      <c r="W11" s="353"/>
      <c r="X11" s="353"/>
      <c r="Y11" s="353"/>
      <c r="Z11" s="353"/>
      <c r="AA11" s="352">
        <f t="shared" si="0"/>
        <v>801</v>
      </c>
      <c r="AB11" s="353">
        <f t="shared" si="0"/>
        <v>652</v>
      </c>
      <c r="AC11" s="353">
        <f t="shared" si="0"/>
        <v>786</v>
      </c>
      <c r="AD11" s="466">
        <f t="shared" si="0"/>
        <v>380</v>
      </c>
    </row>
    <row r="12" spans="1:30" s="481" customFormat="1" ht="22.5" customHeight="1">
      <c r="A12" s="465"/>
      <c r="B12" s="293" t="s">
        <v>1577</v>
      </c>
      <c r="C12" s="353"/>
      <c r="D12" s="353">
        <v>9</v>
      </c>
      <c r="E12" s="353">
        <v>23</v>
      </c>
      <c r="F12" s="466"/>
      <c r="G12" s="353"/>
      <c r="H12" s="353"/>
      <c r="I12" s="353">
        <v>683</v>
      </c>
      <c r="J12" s="466">
        <v>185</v>
      </c>
      <c r="K12" s="353"/>
      <c r="L12" s="353"/>
      <c r="M12" s="353"/>
      <c r="N12" s="466"/>
      <c r="O12" s="353"/>
      <c r="P12" s="353"/>
      <c r="Q12" s="353"/>
      <c r="R12" s="466"/>
      <c r="S12" s="353"/>
      <c r="T12" s="353"/>
      <c r="U12" s="353">
        <v>901</v>
      </c>
      <c r="V12" s="466">
        <v>125</v>
      </c>
      <c r="W12" s="353"/>
      <c r="X12" s="353">
        <v>35</v>
      </c>
      <c r="Y12" s="353"/>
      <c r="Z12" s="353"/>
      <c r="AA12" s="352">
        <f t="shared" ref="AA12" si="1">+W12+S12+O12+K12+G12+C12</f>
        <v>0</v>
      </c>
      <c r="AB12" s="353">
        <f t="shared" ref="AB12" si="2">+X12+T12+P12+L12+H12+D12</f>
        <v>44</v>
      </c>
      <c r="AC12" s="353">
        <f t="shared" ref="AC12" si="3">+Y12+U12+Q12+M12+I12+E12</f>
        <v>1607</v>
      </c>
      <c r="AD12" s="466">
        <f t="shared" si="0"/>
        <v>310</v>
      </c>
    </row>
    <row r="13" spans="1:30" s="481" customFormat="1" ht="22.5" customHeight="1">
      <c r="A13" s="465"/>
      <c r="B13" s="293" t="s">
        <v>1188</v>
      </c>
      <c r="C13" s="353">
        <v>109</v>
      </c>
      <c r="D13" s="353">
        <v>113</v>
      </c>
      <c r="E13" s="353">
        <v>87</v>
      </c>
      <c r="F13" s="466">
        <v>54</v>
      </c>
      <c r="G13" s="353">
        <v>12</v>
      </c>
      <c r="H13" s="353">
        <v>5</v>
      </c>
      <c r="I13" s="353">
        <v>17</v>
      </c>
      <c r="J13" s="466">
        <v>3</v>
      </c>
      <c r="K13" s="353">
        <v>1</v>
      </c>
      <c r="L13" s="353">
        <v>1</v>
      </c>
      <c r="M13" s="353">
        <v>1</v>
      </c>
      <c r="N13" s="466">
        <v>3</v>
      </c>
      <c r="O13" s="353">
        <v>5</v>
      </c>
      <c r="P13" s="353">
        <v>2</v>
      </c>
      <c r="Q13" s="353">
        <v>20</v>
      </c>
      <c r="R13" s="466">
        <v>9</v>
      </c>
      <c r="S13" s="353"/>
      <c r="T13" s="353"/>
      <c r="U13" s="353">
        <v>3</v>
      </c>
      <c r="V13" s="466">
        <v>6</v>
      </c>
      <c r="W13" s="353"/>
      <c r="X13" s="353"/>
      <c r="Y13" s="353"/>
      <c r="Z13" s="353"/>
      <c r="AA13" s="352">
        <f t="shared" si="0"/>
        <v>127</v>
      </c>
      <c r="AB13" s="353">
        <f t="shared" si="0"/>
        <v>121</v>
      </c>
      <c r="AC13" s="353">
        <f t="shared" si="0"/>
        <v>128</v>
      </c>
      <c r="AD13" s="466">
        <f>+Z13+V13+R13+N13+J13+F13</f>
        <v>75</v>
      </c>
    </row>
    <row r="14" spans="1:30" s="481" customFormat="1" ht="22.5" customHeight="1">
      <c r="A14" s="465"/>
      <c r="B14" s="334" t="s">
        <v>625</v>
      </c>
      <c r="C14" s="353">
        <v>6041</v>
      </c>
      <c r="D14" s="353">
        <v>5738</v>
      </c>
      <c r="E14" s="353">
        <f>SUM(E9:E13)</f>
        <v>5605</v>
      </c>
      <c r="F14" s="466">
        <f>SUM(F9:F13)</f>
        <v>2567</v>
      </c>
      <c r="G14" s="353">
        <v>799</v>
      </c>
      <c r="H14" s="353">
        <v>952</v>
      </c>
      <c r="I14" s="353">
        <f t="shared" ref="I14:J14" si="4">SUM(I9:I13)</f>
        <v>834</v>
      </c>
      <c r="J14" s="466">
        <f t="shared" si="4"/>
        <v>212</v>
      </c>
      <c r="K14" s="353">
        <v>531</v>
      </c>
      <c r="L14" s="353">
        <v>384</v>
      </c>
      <c r="M14" s="353">
        <f t="shared" ref="M14:N14" si="5">SUM(M9:M13)</f>
        <v>1009</v>
      </c>
      <c r="N14" s="466">
        <f t="shared" si="5"/>
        <v>267</v>
      </c>
      <c r="O14" s="353">
        <v>526</v>
      </c>
      <c r="P14" s="353">
        <v>491</v>
      </c>
      <c r="Q14" s="353">
        <f t="shared" ref="Q14:R14" si="6">SUM(Q9:Q13)</f>
        <v>489</v>
      </c>
      <c r="R14" s="466">
        <f t="shared" si="6"/>
        <v>83</v>
      </c>
      <c r="S14" s="353">
        <v>424</v>
      </c>
      <c r="T14" s="353">
        <v>506</v>
      </c>
      <c r="U14" s="353">
        <f t="shared" ref="U14:V14" si="7">SUM(U9:U13)</f>
        <v>1345</v>
      </c>
      <c r="V14" s="466">
        <f t="shared" si="7"/>
        <v>357</v>
      </c>
      <c r="W14" s="353">
        <v>0</v>
      </c>
      <c r="X14" s="353">
        <v>35</v>
      </c>
      <c r="Y14" s="353"/>
      <c r="Z14" s="353">
        <f t="shared" ref="Z14" si="8">SUM(Z9:Z13)</f>
        <v>0</v>
      </c>
      <c r="AA14" s="352">
        <f t="shared" ref="AA14" si="9">SUM(AA9:AA13)</f>
        <v>8321</v>
      </c>
      <c r="AB14" s="353">
        <f t="shared" ref="AB14:AD14" si="10">SUM(AB9:AB13)</f>
        <v>8106</v>
      </c>
      <c r="AC14" s="353">
        <f t="shared" si="10"/>
        <v>9282</v>
      </c>
      <c r="AD14" s="466">
        <f t="shared" si="10"/>
        <v>3486</v>
      </c>
    </row>
    <row r="15" spans="1:30" s="481" customFormat="1" ht="22.5" customHeight="1">
      <c r="A15" s="465" t="s">
        <v>522</v>
      </c>
      <c r="B15" s="334" t="s">
        <v>805</v>
      </c>
      <c r="C15" s="353">
        <v>1728</v>
      </c>
      <c r="D15" s="353">
        <v>1771</v>
      </c>
      <c r="E15" s="353">
        <v>2124</v>
      </c>
      <c r="F15" s="466">
        <v>1163</v>
      </c>
      <c r="G15" s="353">
        <v>159</v>
      </c>
      <c r="H15" s="353">
        <v>58</v>
      </c>
      <c r="I15" s="353">
        <v>438</v>
      </c>
      <c r="J15" s="466">
        <v>5</v>
      </c>
      <c r="K15" s="353">
        <v>378</v>
      </c>
      <c r="L15" s="353">
        <v>564</v>
      </c>
      <c r="M15" s="353">
        <v>143</v>
      </c>
      <c r="N15" s="466">
        <v>221</v>
      </c>
      <c r="O15" s="353">
        <v>172</v>
      </c>
      <c r="P15" s="353">
        <v>131</v>
      </c>
      <c r="Q15" s="353">
        <v>175</v>
      </c>
      <c r="R15" s="466">
        <v>26</v>
      </c>
      <c r="S15" s="353">
        <v>61</v>
      </c>
      <c r="T15" s="353">
        <v>169</v>
      </c>
      <c r="U15" s="353">
        <v>106</v>
      </c>
      <c r="V15" s="466">
        <v>123</v>
      </c>
      <c r="W15" s="353"/>
      <c r="X15" s="353"/>
      <c r="Y15" s="353"/>
      <c r="Z15" s="466"/>
      <c r="AA15" s="352">
        <f>+W15+S15+O15+K15+G15+C15</f>
        <v>2498</v>
      </c>
      <c r="AB15" s="353">
        <f>+X15+T15+P15+L15+H15+D15</f>
        <v>2693</v>
      </c>
      <c r="AC15" s="353">
        <f>+Y15+U15+Q15+M15+I15+E15</f>
        <v>2986</v>
      </c>
      <c r="AD15" s="466">
        <f>+Z15+V15+R15+N15+J15+F15</f>
        <v>1538</v>
      </c>
    </row>
    <row r="16" spans="1:30" s="481" customFormat="1" ht="22.5" customHeight="1">
      <c r="A16" s="465"/>
      <c r="B16" s="293" t="s">
        <v>1193</v>
      </c>
      <c r="C16" s="353">
        <v>331</v>
      </c>
      <c r="D16" s="353">
        <v>320</v>
      </c>
      <c r="E16" s="353">
        <v>341</v>
      </c>
      <c r="F16" s="466">
        <v>155</v>
      </c>
      <c r="G16" s="353">
        <v>8</v>
      </c>
      <c r="H16" s="353">
        <v>42</v>
      </c>
      <c r="I16" s="353">
        <v>61</v>
      </c>
      <c r="J16" s="466">
        <v>0</v>
      </c>
      <c r="K16" s="353">
        <v>43</v>
      </c>
      <c r="L16" s="353">
        <v>38</v>
      </c>
      <c r="M16" s="353">
        <v>13</v>
      </c>
      <c r="N16" s="466">
        <v>56</v>
      </c>
      <c r="O16" s="353">
        <v>33</v>
      </c>
      <c r="P16" s="353">
        <v>17</v>
      </c>
      <c r="Q16" s="353">
        <v>38</v>
      </c>
      <c r="R16" s="466">
        <v>1</v>
      </c>
      <c r="S16" s="353"/>
      <c r="T16" s="353"/>
      <c r="U16" s="353"/>
      <c r="V16" s="466">
        <v>26</v>
      </c>
      <c r="W16" s="353"/>
      <c r="X16" s="353"/>
      <c r="Y16" s="353"/>
      <c r="Z16" s="466"/>
      <c r="AA16" s="353">
        <f t="shared" ref="AA16:AD17" si="11">+W16+S16+O16+K16+G16+C16</f>
        <v>415</v>
      </c>
      <c r="AB16" s="353">
        <f t="shared" si="11"/>
        <v>417</v>
      </c>
      <c r="AC16" s="353">
        <f t="shared" si="11"/>
        <v>453</v>
      </c>
      <c r="AD16" s="466">
        <f t="shared" si="11"/>
        <v>238</v>
      </c>
    </row>
    <row r="17" spans="1:30" s="481" customFormat="1" ht="22.5" customHeight="1">
      <c r="A17" s="465"/>
      <c r="B17" s="293" t="s">
        <v>1190</v>
      </c>
      <c r="C17" s="353">
        <v>160</v>
      </c>
      <c r="D17" s="353">
        <v>170</v>
      </c>
      <c r="E17" s="353">
        <v>170</v>
      </c>
      <c r="F17" s="466">
        <v>83</v>
      </c>
      <c r="G17" s="353">
        <v>1</v>
      </c>
      <c r="H17" s="353"/>
      <c r="I17" s="353">
        <v>18</v>
      </c>
      <c r="J17" s="466">
        <v>1</v>
      </c>
      <c r="K17" s="353">
        <v>8</v>
      </c>
      <c r="L17" s="353">
        <v>4</v>
      </c>
      <c r="M17" s="353">
        <v>17</v>
      </c>
      <c r="N17" s="466">
        <v>31</v>
      </c>
      <c r="O17" s="353">
        <v>9</v>
      </c>
      <c r="P17" s="353">
        <v>17</v>
      </c>
      <c r="Q17" s="353">
        <v>12</v>
      </c>
      <c r="R17" s="466">
        <v>4</v>
      </c>
      <c r="S17" s="353">
        <v>0</v>
      </c>
      <c r="T17" s="353"/>
      <c r="U17" s="353"/>
      <c r="V17" s="466">
        <v>4</v>
      </c>
      <c r="W17" s="353"/>
      <c r="X17" s="353"/>
      <c r="Y17" s="353"/>
      <c r="Z17" s="466"/>
      <c r="AA17" s="353">
        <f t="shared" si="11"/>
        <v>178</v>
      </c>
      <c r="AB17" s="353">
        <f t="shared" si="11"/>
        <v>191</v>
      </c>
      <c r="AC17" s="353">
        <f t="shared" si="11"/>
        <v>217</v>
      </c>
      <c r="AD17" s="466">
        <f t="shared" si="11"/>
        <v>123</v>
      </c>
    </row>
    <row r="18" spans="1:30" s="481" customFormat="1" ht="22.5" customHeight="1">
      <c r="A18" s="465"/>
      <c r="B18" s="334" t="s">
        <v>625</v>
      </c>
      <c r="C18" s="353">
        <v>2219</v>
      </c>
      <c r="D18" s="353">
        <v>2261</v>
      </c>
      <c r="E18" s="353">
        <f>SUM(E15:E17)</f>
        <v>2635</v>
      </c>
      <c r="F18" s="466">
        <f>SUM(F15:F17)</f>
        <v>1401</v>
      </c>
      <c r="G18" s="353">
        <v>168</v>
      </c>
      <c r="H18" s="353">
        <v>100</v>
      </c>
      <c r="I18" s="353">
        <f t="shared" ref="I18:J18" si="12">SUM(I15:I17)</f>
        <v>517</v>
      </c>
      <c r="J18" s="466">
        <f t="shared" si="12"/>
        <v>6</v>
      </c>
      <c r="K18" s="353">
        <v>429</v>
      </c>
      <c r="L18" s="353">
        <v>606</v>
      </c>
      <c r="M18" s="353">
        <f t="shared" ref="M18:N18" si="13">SUM(M15:M17)</f>
        <v>173</v>
      </c>
      <c r="N18" s="466">
        <f t="shared" si="13"/>
        <v>308</v>
      </c>
      <c r="O18" s="353">
        <v>214</v>
      </c>
      <c r="P18" s="353">
        <v>165</v>
      </c>
      <c r="Q18" s="353">
        <f t="shared" ref="Q18:R18" si="14">SUM(Q15:Q17)</f>
        <v>225</v>
      </c>
      <c r="R18" s="466">
        <f t="shared" si="14"/>
        <v>31</v>
      </c>
      <c r="S18" s="353">
        <v>61</v>
      </c>
      <c r="T18" s="353">
        <v>169</v>
      </c>
      <c r="U18" s="353">
        <f t="shared" ref="U18:V18" si="15">SUM(U15:U17)</f>
        <v>106</v>
      </c>
      <c r="V18" s="466">
        <f t="shared" si="15"/>
        <v>153</v>
      </c>
      <c r="W18" s="353">
        <v>0</v>
      </c>
      <c r="X18" s="353">
        <v>0</v>
      </c>
      <c r="Y18" s="353"/>
      <c r="Z18" s="466">
        <f t="shared" ref="Z18" si="16">SUM(Z15:Z17)</f>
        <v>0</v>
      </c>
      <c r="AA18" s="353">
        <f t="shared" ref="AA18" si="17">SUM(AA15:AA17)</f>
        <v>3091</v>
      </c>
      <c r="AB18" s="353">
        <f t="shared" ref="AB18:AD18" si="18">SUM(AB15:AB17)</f>
        <v>3301</v>
      </c>
      <c r="AC18" s="353">
        <f t="shared" si="18"/>
        <v>3656</v>
      </c>
      <c r="AD18" s="466">
        <f t="shared" si="18"/>
        <v>1899</v>
      </c>
    </row>
    <row r="19" spans="1:30" s="481" customFormat="1" ht="22.5" customHeight="1">
      <c r="A19" s="465" t="s">
        <v>930</v>
      </c>
      <c r="B19" s="334" t="s">
        <v>807</v>
      </c>
      <c r="C19" s="353">
        <v>1809</v>
      </c>
      <c r="D19" s="353">
        <v>1906</v>
      </c>
      <c r="E19" s="353">
        <v>1624</v>
      </c>
      <c r="F19" s="466">
        <v>864</v>
      </c>
      <c r="G19" s="353">
        <v>91</v>
      </c>
      <c r="H19" s="353">
        <v>43</v>
      </c>
      <c r="I19" s="353">
        <v>22</v>
      </c>
      <c r="J19" s="466">
        <v>16</v>
      </c>
      <c r="K19" s="353">
        <v>300</v>
      </c>
      <c r="L19" s="353">
        <v>483</v>
      </c>
      <c r="M19" s="353">
        <v>618</v>
      </c>
      <c r="N19" s="466">
        <v>345</v>
      </c>
      <c r="O19" s="353">
        <v>232</v>
      </c>
      <c r="P19" s="353">
        <v>307</v>
      </c>
      <c r="Q19" s="353">
        <v>165</v>
      </c>
      <c r="R19" s="466">
        <v>31</v>
      </c>
      <c r="S19" s="353">
        <v>127</v>
      </c>
      <c r="T19" s="353">
        <v>86</v>
      </c>
      <c r="U19" s="353">
        <v>53</v>
      </c>
      <c r="V19" s="466">
        <v>99</v>
      </c>
      <c r="W19" s="353"/>
      <c r="X19" s="353"/>
      <c r="Y19" s="353"/>
      <c r="Z19" s="466"/>
      <c r="AA19" s="352">
        <f t="shared" ref="AA19:AD20" si="19">+W19+S19+O19+K19+G19+C19</f>
        <v>2559</v>
      </c>
      <c r="AB19" s="353">
        <f t="shared" si="19"/>
        <v>2825</v>
      </c>
      <c r="AC19" s="353">
        <f t="shared" si="19"/>
        <v>2482</v>
      </c>
      <c r="AD19" s="466">
        <f t="shared" si="19"/>
        <v>1355</v>
      </c>
    </row>
    <row r="20" spans="1:30" s="481" customFormat="1" ht="22.5" customHeight="1">
      <c r="A20" s="465"/>
      <c r="B20" s="293" t="s">
        <v>1192</v>
      </c>
      <c r="C20" s="353">
        <v>103</v>
      </c>
      <c r="D20" s="353">
        <v>114</v>
      </c>
      <c r="E20" s="353">
        <v>88</v>
      </c>
      <c r="F20" s="466">
        <v>20</v>
      </c>
      <c r="G20" s="353">
        <v>2</v>
      </c>
      <c r="H20" s="353">
        <v>1</v>
      </c>
      <c r="I20" s="353"/>
      <c r="J20" s="466"/>
      <c r="K20" s="353">
        <v>18</v>
      </c>
      <c r="L20" s="353">
        <v>8</v>
      </c>
      <c r="M20" s="353">
        <v>8</v>
      </c>
      <c r="N20" s="466"/>
      <c r="O20" s="353">
        <v>8</v>
      </c>
      <c r="P20" s="353">
        <v>10</v>
      </c>
      <c r="Q20" s="353">
        <v>23</v>
      </c>
      <c r="R20" s="466">
        <v>4</v>
      </c>
      <c r="S20" s="353"/>
      <c r="T20" s="353"/>
      <c r="U20" s="353"/>
      <c r="V20" s="466"/>
      <c r="W20" s="353"/>
      <c r="X20" s="353"/>
      <c r="Y20" s="353"/>
      <c r="Z20" s="466"/>
      <c r="AA20" s="353">
        <f t="shared" si="19"/>
        <v>131</v>
      </c>
      <c r="AB20" s="353">
        <f t="shared" si="19"/>
        <v>133</v>
      </c>
      <c r="AC20" s="353">
        <f t="shared" si="19"/>
        <v>119</v>
      </c>
      <c r="AD20" s="466">
        <f t="shared" si="19"/>
        <v>24</v>
      </c>
    </row>
    <row r="21" spans="1:30" s="481" customFormat="1" ht="22.5" customHeight="1">
      <c r="A21" s="465"/>
      <c r="B21" s="334" t="s">
        <v>625</v>
      </c>
      <c r="C21" s="353">
        <v>1912</v>
      </c>
      <c r="D21" s="353">
        <v>2020</v>
      </c>
      <c r="E21" s="353">
        <f>SUM(E19:E20)</f>
        <v>1712</v>
      </c>
      <c r="F21" s="466">
        <f>SUM(F19:F20)</f>
        <v>884</v>
      </c>
      <c r="G21" s="353">
        <v>93</v>
      </c>
      <c r="H21" s="353">
        <v>44</v>
      </c>
      <c r="I21" s="353">
        <f t="shared" ref="I21" si="20">SUM(I19:I20)</f>
        <v>22</v>
      </c>
      <c r="J21" s="466">
        <f t="shared" ref="J21:AD21" si="21">SUM(J19:J20)</f>
        <v>16</v>
      </c>
      <c r="K21" s="353">
        <v>318</v>
      </c>
      <c r="L21" s="353">
        <v>491</v>
      </c>
      <c r="M21" s="353">
        <f t="shared" ref="M21" si="22">SUM(M19:M20)</f>
        <v>626</v>
      </c>
      <c r="N21" s="466">
        <f t="shared" si="21"/>
        <v>345</v>
      </c>
      <c r="O21" s="353">
        <v>240</v>
      </c>
      <c r="P21" s="353">
        <v>317</v>
      </c>
      <c r="Q21" s="353">
        <f t="shared" ref="Q21" si="23">SUM(Q19:Q20)</f>
        <v>188</v>
      </c>
      <c r="R21" s="466">
        <f t="shared" si="21"/>
        <v>35</v>
      </c>
      <c r="S21" s="353">
        <v>127</v>
      </c>
      <c r="T21" s="353">
        <v>86</v>
      </c>
      <c r="U21" s="353">
        <f t="shared" ref="U21" si="24">SUM(U19:U20)</f>
        <v>53</v>
      </c>
      <c r="V21" s="466">
        <f t="shared" si="21"/>
        <v>99</v>
      </c>
      <c r="W21" s="353">
        <v>0</v>
      </c>
      <c r="X21" s="353">
        <v>0</v>
      </c>
      <c r="Y21" s="353"/>
      <c r="Z21" s="466">
        <f t="shared" si="21"/>
        <v>0</v>
      </c>
      <c r="AA21" s="353">
        <f t="shared" si="21"/>
        <v>2690</v>
      </c>
      <c r="AB21" s="353">
        <f t="shared" si="21"/>
        <v>2958</v>
      </c>
      <c r="AC21" s="353">
        <f t="shared" si="21"/>
        <v>2601</v>
      </c>
      <c r="AD21" s="466">
        <f t="shared" si="21"/>
        <v>1379</v>
      </c>
    </row>
    <row r="22" spans="1:30" s="481" customFormat="1" ht="22.5" customHeight="1">
      <c r="A22" s="465" t="s">
        <v>524</v>
      </c>
      <c r="B22" s="334" t="s">
        <v>808</v>
      </c>
      <c r="C22" s="353">
        <v>1840</v>
      </c>
      <c r="D22" s="353">
        <v>1487</v>
      </c>
      <c r="E22" s="353">
        <v>1607</v>
      </c>
      <c r="F22" s="466">
        <v>993</v>
      </c>
      <c r="G22" s="353">
        <v>23</v>
      </c>
      <c r="H22" s="353">
        <v>395</v>
      </c>
      <c r="I22" s="353">
        <v>15</v>
      </c>
      <c r="J22" s="466">
        <v>7</v>
      </c>
      <c r="K22" s="353">
        <v>238</v>
      </c>
      <c r="L22" s="353">
        <v>156</v>
      </c>
      <c r="M22" s="353">
        <v>597</v>
      </c>
      <c r="N22" s="466">
        <v>166</v>
      </c>
      <c r="O22" s="353">
        <v>241</v>
      </c>
      <c r="P22" s="353">
        <v>175</v>
      </c>
      <c r="Q22" s="353">
        <v>259</v>
      </c>
      <c r="R22" s="466">
        <v>83</v>
      </c>
      <c r="S22" s="353">
        <v>33</v>
      </c>
      <c r="T22" s="353">
        <v>42</v>
      </c>
      <c r="U22" s="353">
        <v>61</v>
      </c>
      <c r="V22" s="466">
        <v>49</v>
      </c>
      <c r="W22" s="353"/>
      <c r="X22" s="353"/>
      <c r="Y22" s="353"/>
      <c r="Z22" s="466"/>
      <c r="AA22" s="352">
        <f>+W22+S22+O22+K22+G22+C22</f>
        <v>2375</v>
      </c>
      <c r="AB22" s="353">
        <f>+X22+T22+P22+L22+H22+D22</f>
        <v>2255</v>
      </c>
      <c r="AC22" s="353">
        <f>+Y22+U22+Q22+M22+I22+E22</f>
        <v>2539</v>
      </c>
      <c r="AD22" s="466">
        <f>+Z22+V22+R22+N22+J22+F22</f>
        <v>1298</v>
      </c>
    </row>
    <row r="23" spans="1:30" s="481" customFormat="1" ht="22.5" customHeight="1">
      <c r="A23" s="475" t="s">
        <v>931</v>
      </c>
      <c r="B23" s="954"/>
      <c r="C23" s="473">
        <v>12012</v>
      </c>
      <c r="D23" s="473">
        <v>11506</v>
      </c>
      <c r="E23" s="473">
        <f>+E14+E18+E21+E22</f>
        <v>11559</v>
      </c>
      <c r="F23" s="474">
        <f>+F14+F18+F21+F22</f>
        <v>5845</v>
      </c>
      <c r="G23" s="473">
        <v>1083</v>
      </c>
      <c r="H23" s="473">
        <v>1491</v>
      </c>
      <c r="I23" s="473">
        <f t="shared" ref="I23" si="25">+I14+I18+I21+I22</f>
        <v>1388</v>
      </c>
      <c r="J23" s="474">
        <f t="shared" ref="J23:AD23" si="26">+J14+J18+J21+J22</f>
        <v>241</v>
      </c>
      <c r="K23" s="473">
        <v>1516</v>
      </c>
      <c r="L23" s="473">
        <v>1637</v>
      </c>
      <c r="M23" s="473">
        <f t="shared" ref="M23" si="27">+M14+M18+M21+M22</f>
        <v>2405</v>
      </c>
      <c r="N23" s="474">
        <f t="shared" si="26"/>
        <v>1086</v>
      </c>
      <c r="O23" s="473">
        <v>1221</v>
      </c>
      <c r="P23" s="473">
        <v>1148</v>
      </c>
      <c r="Q23" s="473">
        <f t="shared" ref="Q23" si="28">+Q14+Q18+Q21+Q22</f>
        <v>1161</v>
      </c>
      <c r="R23" s="474">
        <f t="shared" si="26"/>
        <v>232</v>
      </c>
      <c r="S23" s="473">
        <v>645</v>
      </c>
      <c r="T23" s="473">
        <v>803</v>
      </c>
      <c r="U23" s="473">
        <f t="shared" ref="U23" si="29">+U14+U18+U21+U22</f>
        <v>1565</v>
      </c>
      <c r="V23" s="474">
        <f t="shared" si="26"/>
        <v>658</v>
      </c>
      <c r="W23" s="473">
        <v>0</v>
      </c>
      <c r="X23" s="473">
        <v>35</v>
      </c>
      <c r="Y23" s="473"/>
      <c r="Z23" s="474">
        <f t="shared" si="26"/>
        <v>0</v>
      </c>
      <c r="AA23" s="473">
        <f t="shared" si="26"/>
        <v>16477</v>
      </c>
      <c r="AB23" s="473">
        <f t="shared" si="26"/>
        <v>16620</v>
      </c>
      <c r="AC23" s="473">
        <f t="shared" si="26"/>
        <v>18078</v>
      </c>
      <c r="AD23" s="474">
        <f t="shared" si="26"/>
        <v>8062</v>
      </c>
    </row>
    <row r="24" spans="1:30" s="481" customFormat="1" ht="22.5" customHeight="1">
      <c r="A24" s="465" t="s">
        <v>932</v>
      </c>
      <c r="B24" s="293" t="s">
        <v>1325</v>
      </c>
      <c r="C24" s="353">
        <v>2618</v>
      </c>
      <c r="D24" s="353">
        <v>2489</v>
      </c>
      <c r="E24" s="353">
        <v>2820</v>
      </c>
      <c r="F24" s="466">
        <v>1005</v>
      </c>
      <c r="G24" s="353">
        <v>0</v>
      </c>
      <c r="H24" s="353">
        <v>2</v>
      </c>
      <c r="I24" s="353">
        <v>11</v>
      </c>
      <c r="J24" s="466">
        <v>24</v>
      </c>
      <c r="K24" s="353">
        <v>478</v>
      </c>
      <c r="L24" s="353">
        <v>642</v>
      </c>
      <c r="M24" s="353">
        <v>484</v>
      </c>
      <c r="N24" s="466">
        <v>208</v>
      </c>
      <c r="O24" s="353">
        <v>216</v>
      </c>
      <c r="P24" s="353">
        <v>343</v>
      </c>
      <c r="Q24" s="353">
        <v>327</v>
      </c>
      <c r="R24" s="466">
        <v>107</v>
      </c>
      <c r="S24" s="353">
        <v>438</v>
      </c>
      <c r="T24" s="353">
        <v>65</v>
      </c>
      <c r="U24" s="353">
        <v>68</v>
      </c>
      <c r="V24" s="466">
        <v>27</v>
      </c>
      <c r="W24" s="353"/>
      <c r="X24" s="353"/>
      <c r="Y24" s="353"/>
      <c r="Z24" s="466"/>
      <c r="AA24" s="352">
        <f t="shared" ref="AA24:AD30" si="30">+W24+S24+O24+K24+G24+C24</f>
        <v>3750</v>
      </c>
      <c r="AB24" s="353">
        <f t="shared" si="30"/>
        <v>3541</v>
      </c>
      <c r="AC24" s="353">
        <f t="shared" si="30"/>
        <v>3710</v>
      </c>
      <c r="AD24" s="466">
        <f t="shared" si="30"/>
        <v>1371</v>
      </c>
    </row>
    <row r="25" spans="1:30" s="481" customFormat="1" ht="22.5" customHeight="1">
      <c r="A25" s="465"/>
      <c r="B25" s="293" t="s">
        <v>1324</v>
      </c>
      <c r="C25" s="353">
        <v>3641</v>
      </c>
      <c r="D25" s="353">
        <v>3275</v>
      </c>
      <c r="E25" s="353">
        <v>3586</v>
      </c>
      <c r="F25" s="466">
        <v>1717</v>
      </c>
      <c r="G25" s="353">
        <v>146</v>
      </c>
      <c r="H25" s="353">
        <v>175</v>
      </c>
      <c r="I25" s="353">
        <v>10</v>
      </c>
      <c r="J25" s="466">
        <v>7</v>
      </c>
      <c r="K25" s="353">
        <v>1080</v>
      </c>
      <c r="L25" s="353">
        <v>1215</v>
      </c>
      <c r="M25" s="353">
        <v>1036</v>
      </c>
      <c r="N25" s="466">
        <v>492</v>
      </c>
      <c r="O25" s="353">
        <v>219</v>
      </c>
      <c r="P25" s="353">
        <v>203</v>
      </c>
      <c r="Q25" s="353">
        <v>245</v>
      </c>
      <c r="R25" s="466">
        <v>97</v>
      </c>
      <c r="S25" s="353">
        <v>174</v>
      </c>
      <c r="T25" s="353">
        <v>204</v>
      </c>
      <c r="U25" s="353">
        <v>125</v>
      </c>
      <c r="V25" s="466">
        <v>101</v>
      </c>
      <c r="W25" s="353"/>
      <c r="X25" s="353"/>
      <c r="Y25" s="353"/>
      <c r="Z25" s="466"/>
      <c r="AA25" s="352">
        <f t="shared" si="30"/>
        <v>5260</v>
      </c>
      <c r="AB25" s="353">
        <f t="shared" si="30"/>
        <v>5072</v>
      </c>
      <c r="AC25" s="353">
        <f t="shared" si="30"/>
        <v>5002</v>
      </c>
      <c r="AD25" s="466">
        <f t="shared" si="30"/>
        <v>2414</v>
      </c>
    </row>
    <row r="26" spans="1:30" s="481" customFormat="1" ht="22.5" customHeight="1">
      <c r="A26" s="465"/>
      <c r="B26" s="334" t="s">
        <v>532</v>
      </c>
      <c r="C26" s="353">
        <v>389</v>
      </c>
      <c r="D26" s="353">
        <v>468</v>
      </c>
      <c r="E26" s="353">
        <v>455</v>
      </c>
      <c r="F26" s="466">
        <v>262</v>
      </c>
      <c r="G26" s="353">
        <v>5</v>
      </c>
      <c r="H26" s="353">
        <v>6</v>
      </c>
      <c r="I26" s="353">
        <v>3</v>
      </c>
      <c r="J26" s="466">
        <v>8</v>
      </c>
      <c r="K26" s="353">
        <v>15</v>
      </c>
      <c r="L26" s="353">
        <v>9</v>
      </c>
      <c r="M26" s="353">
        <v>12</v>
      </c>
      <c r="N26" s="466">
        <v>42</v>
      </c>
      <c r="O26" s="353">
        <v>38</v>
      </c>
      <c r="P26" s="353">
        <v>40</v>
      </c>
      <c r="Q26" s="353">
        <v>55</v>
      </c>
      <c r="R26" s="466">
        <v>6</v>
      </c>
      <c r="S26" s="353">
        <v>17</v>
      </c>
      <c r="T26" s="353">
        <v>13</v>
      </c>
      <c r="U26" s="353">
        <v>18</v>
      </c>
      <c r="V26" s="466">
        <v>5</v>
      </c>
      <c r="W26" s="353"/>
      <c r="X26" s="353"/>
      <c r="Y26" s="353"/>
      <c r="Z26" s="466"/>
      <c r="AA26" s="352">
        <f t="shared" si="30"/>
        <v>464</v>
      </c>
      <c r="AB26" s="353">
        <f t="shared" si="30"/>
        <v>536</v>
      </c>
      <c r="AC26" s="353">
        <f t="shared" si="30"/>
        <v>543</v>
      </c>
      <c r="AD26" s="466">
        <f t="shared" si="30"/>
        <v>323</v>
      </c>
    </row>
    <row r="27" spans="1:30" s="481" customFormat="1" ht="22.5" customHeight="1">
      <c r="A27" s="465"/>
      <c r="B27" s="293" t="s">
        <v>1500</v>
      </c>
      <c r="C27" s="353">
        <v>17</v>
      </c>
      <c r="D27" s="353">
        <v>5</v>
      </c>
      <c r="E27" s="353">
        <v>2</v>
      </c>
      <c r="F27" s="466"/>
      <c r="G27" s="353"/>
      <c r="H27" s="353"/>
      <c r="I27" s="353"/>
      <c r="J27" s="466"/>
      <c r="K27" s="353"/>
      <c r="L27" s="353"/>
      <c r="M27" s="353"/>
      <c r="N27" s="466"/>
      <c r="O27" s="353"/>
      <c r="P27" s="353"/>
      <c r="Q27" s="353"/>
      <c r="R27" s="466"/>
      <c r="S27" s="353"/>
      <c r="T27" s="353"/>
      <c r="U27" s="353"/>
      <c r="V27" s="466"/>
      <c r="W27" s="353"/>
      <c r="X27" s="353"/>
      <c r="Y27" s="353"/>
      <c r="Z27" s="466"/>
      <c r="AA27" s="352">
        <f t="shared" ref="AA27:AA29" si="31">+W27+S27+O27+K27+G27+C27</f>
        <v>17</v>
      </c>
      <c r="AB27" s="353">
        <f t="shared" ref="AB27:AB29" si="32">+X27+T27+P27+L27+H27+D27</f>
        <v>5</v>
      </c>
      <c r="AC27" s="353">
        <f t="shared" si="30"/>
        <v>2</v>
      </c>
      <c r="AD27" s="466">
        <f t="shared" si="30"/>
        <v>0</v>
      </c>
    </row>
    <row r="28" spans="1:30" s="481" customFormat="1" ht="22.5" customHeight="1">
      <c r="A28" s="465"/>
      <c r="B28" s="293" t="s">
        <v>1191</v>
      </c>
      <c r="C28" s="353">
        <v>3</v>
      </c>
      <c r="D28" s="353"/>
      <c r="E28" s="353"/>
      <c r="F28" s="466"/>
      <c r="G28" s="353"/>
      <c r="H28" s="353"/>
      <c r="I28" s="353"/>
      <c r="J28" s="466"/>
      <c r="K28" s="353"/>
      <c r="L28" s="353"/>
      <c r="M28" s="353"/>
      <c r="N28" s="466"/>
      <c r="O28" s="353"/>
      <c r="P28" s="353"/>
      <c r="Q28" s="353"/>
      <c r="R28" s="466"/>
      <c r="S28" s="353">
        <v>6</v>
      </c>
      <c r="T28" s="353">
        <v>8</v>
      </c>
      <c r="U28" s="353">
        <v>5</v>
      </c>
      <c r="V28" s="466">
        <v>2</v>
      </c>
      <c r="W28" s="353"/>
      <c r="X28" s="353"/>
      <c r="Y28" s="353"/>
      <c r="Z28" s="466"/>
      <c r="AA28" s="352">
        <f t="shared" si="31"/>
        <v>9</v>
      </c>
      <c r="AB28" s="353">
        <f t="shared" si="32"/>
        <v>8</v>
      </c>
      <c r="AC28" s="353">
        <f t="shared" si="30"/>
        <v>5</v>
      </c>
      <c r="AD28" s="466">
        <f t="shared" si="30"/>
        <v>2</v>
      </c>
    </row>
    <row r="29" spans="1:30" s="481" customFormat="1" ht="22.5" customHeight="1">
      <c r="A29" s="465"/>
      <c r="B29" s="293" t="s">
        <v>1499</v>
      </c>
      <c r="C29" s="353">
        <v>1</v>
      </c>
      <c r="D29" s="353">
        <v>1</v>
      </c>
      <c r="E29" s="353">
        <v>24</v>
      </c>
      <c r="F29" s="466"/>
      <c r="G29" s="353">
        <v>26</v>
      </c>
      <c r="H29" s="353">
        <v>205</v>
      </c>
      <c r="I29" s="353">
        <v>413</v>
      </c>
      <c r="J29" s="466">
        <v>194</v>
      </c>
      <c r="K29" s="353"/>
      <c r="L29" s="353"/>
      <c r="M29" s="353"/>
      <c r="N29" s="466"/>
      <c r="O29" s="353"/>
      <c r="P29" s="353"/>
      <c r="Q29" s="353"/>
      <c r="R29" s="466"/>
      <c r="S29" s="353">
        <v>19</v>
      </c>
      <c r="T29" s="353">
        <v>86</v>
      </c>
      <c r="U29" s="353">
        <v>323</v>
      </c>
      <c r="V29" s="466">
        <v>99</v>
      </c>
      <c r="W29" s="353"/>
      <c r="X29" s="353">
        <v>59</v>
      </c>
      <c r="Y29" s="353"/>
      <c r="Z29" s="466"/>
      <c r="AA29" s="352">
        <f t="shared" si="31"/>
        <v>46</v>
      </c>
      <c r="AB29" s="353">
        <f t="shared" si="32"/>
        <v>351</v>
      </c>
      <c r="AC29" s="353">
        <f t="shared" si="30"/>
        <v>760</v>
      </c>
      <c r="AD29" s="466">
        <f t="shared" si="30"/>
        <v>293</v>
      </c>
    </row>
    <row r="30" spans="1:30" s="481" customFormat="1" ht="22.5" customHeight="1">
      <c r="A30" s="465"/>
      <c r="B30" s="334" t="s">
        <v>812</v>
      </c>
      <c r="C30" s="353">
        <v>1001</v>
      </c>
      <c r="D30" s="353">
        <v>940</v>
      </c>
      <c r="E30" s="353">
        <v>1002</v>
      </c>
      <c r="F30" s="466">
        <v>375</v>
      </c>
      <c r="G30" s="353">
        <v>9</v>
      </c>
      <c r="H30" s="353">
        <v>296</v>
      </c>
      <c r="I30" s="353">
        <v>150</v>
      </c>
      <c r="J30" s="466">
        <v>58</v>
      </c>
      <c r="K30" s="353">
        <v>233</v>
      </c>
      <c r="L30" s="353">
        <v>73</v>
      </c>
      <c r="M30" s="353">
        <v>212</v>
      </c>
      <c r="N30" s="466">
        <v>126</v>
      </c>
      <c r="O30" s="353">
        <v>76</v>
      </c>
      <c r="P30" s="353">
        <v>81</v>
      </c>
      <c r="Q30" s="353">
        <v>89</v>
      </c>
      <c r="R30" s="466">
        <v>21</v>
      </c>
      <c r="S30" s="353">
        <v>101</v>
      </c>
      <c r="T30" s="353">
        <v>63</v>
      </c>
      <c r="U30" s="353">
        <v>79</v>
      </c>
      <c r="V30" s="466">
        <v>30</v>
      </c>
      <c r="W30" s="353"/>
      <c r="X30" s="353"/>
      <c r="Y30" s="353"/>
      <c r="Z30" s="466"/>
      <c r="AA30" s="352">
        <f t="shared" si="30"/>
        <v>1420</v>
      </c>
      <c r="AB30" s="353">
        <f t="shared" si="30"/>
        <v>1453</v>
      </c>
      <c r="AC30" s="353">
        <f t="shared" si="30"/>
        <v>1532</v>
      </c>
      <c r="AD30" s="466">
        <f t="shared" si="30"/>
        <v>610</v>
      </c>
    </row>
    <row r="31" spans="1:30" s="481" customFormat="1" ht="22.5" customHeight="1">
      <c r="A31" s="465"/>
      <c r="B31" s="334" t="s">
        <v>625</v>
      </c>
      <c r="C31" s="353">
        <v>7670</v>
      </c>
      <c r="D31" s="353">
        <v>7178</v>
      </c>
      <c r="E31" s="353">
        <f>SUM(E24:E30)</f>
        <v>7889</v>
      </c>
      <c r="F31" s="466">
        <f>SUM(F24:F30)</f>
        <v>3359</v>
      </c>
      <c r="G31" s="353">
        <v>186</v>
      </c>
      <c r="H31" s="353">
        <v>684</v>
      </c>
      <c r="I31" s="353">
        <f>SUM(I24:I30)</f>
        <v>587</v>
      </c>
      <c r="J31" s="466">
        <f>SUM(J24:J30)</f>
        <v>291</v>
      </c>
      <c r="K31" s="353">
        <v>1806</v>
      </c>
      <c r="L31" s="353">
        <v>1939</v>
      </c>
      <c r="M31" s="353">
        <f>SUM(M24:M30)</f>
        <v>1744</v>
      </c>
      <c r="N31" s="466">
        <f>SUM(N24:N30)</f>
        <v>868</v>
      </c>
      <c r="O31" s="353">
        <v>549</v>
      </c>
      <c r="P31" s="353">
        <v>667</v>
      </c>
      <c r="Q31" s="353">
        <f>SUM(Q24:Q30)</f>
        <v>716</v>
      </c>
      <c r="R31" s="466">
        <f>SUM(R24:R30)</f>
        <v>231</v>
      </c>
      <c r="S31" s="353">
        <v>755</v>
      </c>
      <c r="T31" s="353">
        <v>439</v>
      </c>
      <c r="U31" s="353">
        <f t="shared" ref="U31" si="33">SUM(U24:U30)</f>
        <v>618</v>
      </c>
      <c r="V31" s="466">
        <f t="shared" ref="V31:AD31" si="34">SUM(V24:V30)</f>
        <v>264</v>
      </c>
      <c r="W31" s="353">
        <v>0</v>
      </c>
      <c r="X31" s="353">
        <v>59</v>
      </c>
      <c r="Y31" s="353"/>
      <c r="Z31" s="466">
        <f t="shared" si="34"/>
        <v>0</v>
      </c>
      <c r="AA31" s="352">
        <f t="shared" si="34"/>
        <v>10966</v>
      </c>
      <c r="AB31" s="353">
        <f t="shared" si="34"/>
        <v>10966</v>
      </c>
      <c r="AC31" s="353">
        <f t="shared" si="34"/>
        <v>11554</v>
      </c>
      <c r="AD31" s="466">
        <f t="shared" si="34"/>
        <v>5013</v>
      </c>
    </row>
    <row r="32" spans="1:30" s="481" customFormat="1" ht="22.5" customHeight="1">
      <c r="A32" s="465" t="s">
        <v>527</v>
      </c>
      <c r="B32" s="334" t="s">
        <v>813</v>
      </c>
      <c r="C32" s="353">
        <v>2265</v>
      </c>
      <c r="D32" s="353">
        <v>2088</v>
      </c>
      <c r="E32" s="353">
        <v>1980</v>
      </c>
      <c r="F32" s="466">
        <v>769</v>
      </c>
      <c r="G32" s="353">
        <v>8</v>
      </c>
      <c r="H32" s="353">
        <v>10</v>
      </c>
      <c r="I32" s="353">
        <v>16</v>
      </c>
      <c r="J32" s="466">
        <v>18</v>
      </c>
      <c r="K32" s="353">
        <v>391</v>
      </c>
      <c r="L32" s="353">
        <v>316</v>
      </c>
      <c r="M32" s="353">
        <v>318</v>
      </c>
      <c r="N32" s="466">
        <v>325</v>
      </c>
      <c r="O32" s="353">
        <v>80</v>
      </c>
      <c r="P32" s="353">
        <v>95</v>
      </c>
      <c r="Q32" s="353">
        <v>110</v>
      </c>
      <c r="R32" s="466">
        <v>69</v>
      </c>
      <c r="S32" s="353">
        <v>92</v>
      </c>
      <c r="T32" s="353">
        <v>126</v>
      </c>
      <c r="U32" s="353">
        <v>169</v>
      </c>
      <c r="V32" s="466">
        <v>95</v>
      </c>
      <c r="W32" s="353"/>
      <c r="X32" s="353"/>
      <c r="Y32" s="353"/>
      <c r="Z32" s="466"/>
      <c r="AA32" s="352">
        <f t="shared" ref="AA32:AD35" si="35">+W32+S32+O32+K32+G32+C32</f>
        <v>2836</v>
      </c>
      <c r="AB32" s="353">
        <f t="shared" si="35"/>
        <v>2635</v>
      </c>
      <c r="AC32" s="353">
        <f t="shared" si="35"/>
        <v>2593</v>
      </c>
      <c r="AD32" s="466">
        <f t="shared" si="35"/>
        <v>1276</v>
      </c>
    </row>
    <row r="33" spans="1:30" s="481" customFormat="1" ht="22.5" customHeight="1">
      <c r="A33" s="465"/>
      <c r="B33" s="293" t="s">
        <v>1455</v>
      </c>
      <c r="C33" s="353">
        <v>228</v>
      </c>
      <c r="D33" s="353">
        <v>510</v>
      </c>
      <c r="E33" s="353">
        <v>450</v>
      </c>
      <c r="F33" s="466">
        <v>236</v>
      </c>
      <c r="G33" s="353">
        <v>15</v>
      </c>
      <c r="H33" s="353">
        <v>13</v>
      </c>
      <c r="I33" s="353">
        <v>6</v>
      </c>
      <c r="J33" s="466">
        <v>1</v>
      </c>
      <c r="K33" s="353">
        <v>1</v>
      </c>
      <c r="L33" s="353">
        <v>17</v>
      </c>
      <c r="M33" s="353">
        <v>9</v>
      </c>
      <c r="N33" s="466">
        <v>27</v>
      </c>
      <c r="O33" s="353">
        <v>0</v>
      </c>
      <c r="P33" s="353">
        <v>5</v>
      </c>
      <c r="Q33" s="353">
        <v>10</v>
      </c>
      <c r="R33" s="466">
        <v>6</v>
      </c>
      <c r="S33" s="353">
        <v>0</v>
      </c>
      <c r="T33" s="353">
        <v>1</v>
      </c>
      <c r="U33" s="353">
        <v>23</v>
      </c>
      <c r="V33" s="466">
        <v>25</v>
      </c>
      <c r="W33" s="353"/>
      <c r="X33" s="353"/>
      <c r="Y33" s="353"/>
      <c r="Z33" s="466"/>
      <c r="AA33" s="352">
        <f t="shared" ref="AA33" si="36">+W33+S33+O33+K33+G33+C33</f>
        <v>244</v>
      </c>
      <c r="AB33" s="353">
        <f t="shared" ref="AB33" si="37">+X33+T33+P33+L33+H33+D33</f>
        <v>546</v>
      </c>
      <c r="AC33" s="353">
        <f t="shared" si="35"/>
        <v>498</v>
      </c>
      <c r="AD33" s="466">
        <f t="shared" si="35"/>
        <v>295</v>
      </c>
    </row>
    <row r="34" spans="1:30" s="481" customFormat="1" ht="22.5" customHeight="1">
      <c r="A34" s="465"/>
      <c r="B34" s="293" t="s">
        <v>1182</v>
      </c>
      <c r="C34" s="353">
        <v>332</v>
      </c>
      <c r="D34" s="353">
        <v>215</v>
      </c>
      <c r="E34" s="353">
        <v>410</v>
      </c>
      <c r="F34" s="466">
        <v>140</v>
      </c>
      <c r="G34" s="353">
        <v>0</v>
      </c>
      <c r="H34" s="353">
        <v>69</v>
      </c>
      <c r="I34" s="353">
        <v>2</v>
      </c>
      <c r="J34" s="466"/>
      <c r="K34" s="353">
        <v>5</v>
      </c>
      <c r="L34" s="353">
        <v>32</v>
      </c>
      <c r="M34" s="353">
        <v>59</v>
      </c>
      <c r="N34" s="466">
        <v>30</v>
      </c>
      <c r="O34" s="353">
        <v>27</v>
      </c>
      <c r="P34" s="353">
        <v>14</v>
      </c>
      <c r="Q34" s="353">
        <v>16</v>
      </c>
      <c r="R34" s="466">
        <v>18</v>
      </c>
      <c r="S34" s="353"/>
      <c r="T34" s="353">
        <v>2</v>
      </c>
      <c r="U34" s="353">
        <v>6</v>
      </c>
      <c r="V34" s="466">
        <v>6</v>
      </c>
      <c r="W34" s="353"/>
      <c r="X34" s="353"/>
      <c r="Y34" s="353"/>
      <c r="Z34" s="466"/>
      <c r="AA34" s="353">
        <f t="shared" si="35"/>
        <v>364</v>
      </c>
      <c r="AB34" s="353">
        <f t="shared" si="35"/>
        <v>332</v>
      </c>
      <c r="AC34" s="353">
        <f t="shared" si="35"/>
        <v>493</v>
      </c>
      <c r="AD34" s="466">
        <f t="shared" si="35"/>
        <v>194</v>
      </c>
    </row>
    <row r="35" spans="1:30" s="481" customFormat="1" ht="22.5" customHeight="1">
      <c r="A35" s="465"/>
      <c r="B35" s="293" t="s">
        <v>1237</v>
      </c>
      <c r="C35" s="353">
        <v>0</v>
      </c>
      <c r="D35" s="353"/>
      <c r="E35" s="353"/>
      <c r="F35" s="466"/>
      <c r="G35" s="353">
        <v>0</v>
      </c>
      <c r="H35" s="353"/>
      <c r="I35" s="353"/>
      <c r="J35" s="466"/>
      <c r="K35" s="353">
        <v>0</v>
      </c>
      <c r="L35" s="353"/>
      <c r="M35" s="353"/>
      <c r="N35" s="466"/>
      <c r="O35" s="353">
        <v>0</v>
      </c>
      <c r="P35" s="353"/>
      <c r="Q35" s="353"/>
      <c r="R35" s="466"/>
      <c r="S35" s="353">
        <v>0</v>
      </c>
      <c r="T35" s="353"/>
      <c r="U35" s="353">
        <v>9</v>
      </c>
      <c r="V35" s="466">
        <v>3</v>
      </c>
      <c r="W35" s="353"/>
      <c r="X35" s="353"/>
      <c r="Y35" s="353"/>
      <c r="Z35" s="466"/>
      <c r="AA35" s="353">
        <f t="shared" si="35"/>
        <v>0</v>
      </c>
      <c r="AB35" s="353">
        <f t="shared" si="35"/>
        <v>0</v>
      </c>
      <c r="AC35" s="353">
        <f>+Y35+U35+Q35+M35+I35+E35</f>
        <v>9</v>
      </c>
      <c r="AD35" s="466">
        <f>+Z35+V35+R35+N35+J35+F35</f>
        <v>3</v>
      </c>
    </row>
    <row r="36" spans="1:30" s="481" customFormat="1" ht="22.5" customHeight="1">
      <c r="A36" s="465"/>
      <c r="B36" s="334" t="s">
        <v>933</v>
      </c>
      <c r="C36" s="353">
        <v>9</v>
      </c>
      <c r="D36" s="353"/>
      <c r="E36" s="353"/>
      <c r="F36" s="466"/>
      <c r="G36" s="353">
        <v>36</v>
      </c>
      <c r="H36" s="353"/>
      <c r="I36" s="353"/>
      <c r="J36" s="466"/>
      <c r="K36" s="353"/>
      <c r="L36" s="353"/>
      <c r="M36" s="353"/>
      <c r="N36" s="466"/>
      <c r="O36" s="353"/>
      <c r="P36" s="353"/>
      <c r="Q36" s="353"/>
      <c r="R36" s="466"/>
      <c r="S36" s="353">
        <v>12</v>
      </c>
      <c r="T36" s="353"/>
      <c r="U36" s="353"/>
      <c r="V36" s="466"/>
      <c r="W36" s="353"/>
      <c r="X36" s="353"/>
      <c r="Y36" s="353"/>
      <c r="Z36" s="466"/>
      <c r="AA36" s="352">
        <f>+W36+S36+O36+K36+G36+C36</f>
        <v>57</v>
      </c>
      <c r="AB36" s="353">
        <f>+X36+T36+P36+L36+H36+D36</f>
        <v>0</v>
      </c>
      <c r="AC36" s="353">
        <f>+Y36+U36+Q36+M36+I36+E36</f>
        <v>0</v>
      </c>
      <c r="AD36" s="466">
        <f>+Z36+V36+R36+N36+J36+F36</f>
        <v>0</v>
      </c>
    </row>
    <row r="37" spans="1:30" s="481" customFormat="1" ht="22.5" customHeight="1">
      <c r="A37" s="465"/>
      <c r="B37" s="334" t="s">
        <v>625</v>
      </c>
      <c r="C37" s="353">
        <v>2834</v>
      </c>
      <c r="D37" s="353">
        <v>2813</v>
      </c>
      <c r="E37" s="353">
        <f>SUM(E32:E36)</f>
        <v>2840</v>
      </c>
      <c r="F37" s="466">
        <f>SUM(F32:F36)</f>
        <v>1145</v>
      </c>
      <c r="G37" s="353">
        <v>59</v>
      </c>
      <c r="H37" s="353">
        <v>92</v>
      </c>
      <c r="I37" s="353">
        <f t="shared" ref="I37:J37" si="38">SUM(I32:I36)</f>
        <v>24</v>
      </c>
      <c r="J37" s="466">
        <f t="shared" si="38"/>
        <v>19</v>
      </c>
      <c r="K37" s="353">
        <v>397</v>
      </c>
      <c r="L37" s="353">
        <v>365</v>
      </c>
      <c r="M37" s="353">
        <f t="shared" ref="M37:N37" si="39">SUM(M32:M36)</f>
        <v>386</v>
      </c>
      <c r="N37" s="466">
        <f t="shared" si="39"/>
        <v>382</v>
      </c>
      <c r="O37" s="353">
        <v>107</v>
      </c>
      <c r="P37" s="353">
        <v>114</v>
      </c>
      <c r="Q37" s="353">
        <f t="shared" ref="Q37:R37" si="40">SUM(Q32:Q36)</f>
        <v>136</v>
      </c>
      <c r="R37" s="466">
        <f t="shared" si="40"/>
        <v>93</v>
      </c>
      <c r="S37" s="353">
        <v>104</v>
      </c>
      <c r="T37" s="353">
        <v>129</v>
      </c>
      <c r="U37" s="353">
        <f t="shared" ref="U37:V37" si="41">SUM(U32:U36)</f>
        <v>207</v>
      </c>
      <c r="V37" s="466">
        <f t="shared" si="41"/>
        <v>129</v>
      </c>
      <c r="W37" s="353">
        <v>0</v>
      </c>
      <c r="X37" s="353">
        <v>0</v>
      </c>
      <c r="Y37" s="353"/>
      <c r="Z37" s="466">
        <f t="shared" ref="Z37" si="42">SUM(Z32:Z36)</f>
        <v>0</v>
      </c>
      <c r="AA37" s="352">
        <f t="shared" ref="AA37" si="43">SUM(AA32:AA36)</f>
        <v>3501</v>
      </c>
      <c r="AB37" s="353">
        <f t="shared" ref="AB37:AD37" si="44">SUM(AB32:AB36)</f>
        <v>3513</v>
      </c>
      <c r="AC37" s="353">
        <f t="shared" si="44"/>
        <v>3593</v>
      </c>
      <c r="AD37" s="466">
        <f t="shared" si="44"/>
        <v>1768</v>
      </c>
    </row>
    <row r="38" spans="1:30" s="481" customFormat="1" ht="22.5" customHeight="1">
      <c r="A38" s="465" t="s">
        <v>528</v>
      </c>
      <c r="B38" s="334" t="s">
        <v>629</v>
      </c>
      <c r="C38" s="353">
        <v>1726</v>
      </c>
      <c r="D38" s="353">
        <v>1546</v>
      </c>
      <c r="E38" s="353">
        <v>1469</v>
      </c>
      <c r="F38" s="466">
        <v>764</v>
      </c>
      <c r="G38" s="353">
        <v>1</v>
      </c>
      <c r="H38" s="353">
        <v>2</v>
      </c>
      <c r="I38" s="353">
        <v>2</v>
      </c>
      <c r="J38" s="466">
        <v>4</v>
      </c>
      <c r="K38" s="353">
        <v>369</v>
      </c>
      <c r="L38" s="353">
        <v>480</v>
      </c>
      <c r="M38" s="353">
        <v>485</v>
      </c>
      <c r="N38" s="466">
        <v>128</v>
      </c>
      <c r="O38" s="353">
        <v>120</v>
      </c>
      <c r="P38" s="353">
        <v>84</v>
      </c>
      <c r="Q38" s="353">
        <v>125</v>
      </c>
      <c r="R38" s="466">
        <v>34</v>
      </c>
      <c r="S38" s="353">
        <v>103</v>
      </c>
      <c r="T38" s="353">
        <v>68</v>
      </c>
      <c r="U38" s="353">
        <v>53</v>
      </c>
      <c r="V38" s="466">
        <v>12</v>
      </c>
      <c r="W38" s="353"/>
      <c r="X38" s="353"/>
      <c r="Y38" s="353"/>
      <c r="Z38" s="466"/>
      <c r="AA38" s="352">
        <f t="shared" ref="AA38:AB45" si="45">+W38+S38+O38+K38+G38+C38</f>
        <v>2319</v>
      </c>
      <c r="AB38" s="353">
        <f t="shared" si="45"/>
        <v>2180</v>
      </c>
      <c r="AC38" s="353">
        <f t="shared" ref="AA38:AD46" si="46">+Y38+U38+Q38+M38+I38+E38</f>
        <v>2134</v>
      </c>
      <c r="AD38" s="466">
        <f t="shared" si="46"/>
        <v>942</v>
      </c>
    </row>
    <row r="39" spans="1:30" s="481" customFormat="1" ht="22.5" customHeight="1">
      <c r="A39" s="465"/>
      <c r="B39" s="334" t="s">
        <v>815</v>
      </c>
      <c r="C39" s="353">
        <v>250</v>
      </c>
      <c r="D39" s="353">
        <v>224</v>
      </c>
      <c r="E39" s="353">
        <v>222</v>
      </c>
      <c r="F39" s="466">
        <v>61</v>
      </c>
      <c r="G39" s="353">
        <v>0</v>
      </c>
      <c r="H39" s="353">
        <v>1</v>
      </c>
      <c r="I39" s="353">
        <v>2</v>
      </c>
      <c r="J39" s="466">
        <v>0</v>
      </c>
      <c r="K39" s="353">
        <v>20</v>
      </c>
      <c r="L39" s="353">
        <v>18</v>
      </c>
      <c r="M39" s="353">
        <v>38</v>
      </c>
      <c r="N39" s="466">
        <v>22</v>
      </c>
      <c r="O39" s="353">
        <v>29</v>
      </c>
      <c r="P39" s="353">
        <v>32</v>
      </c>
      <c r="Q39" s="353">
        <v>14</v>
      </c>
      <c r="R39" s="466">
        <v>10</v>
      </c>
      <c r="S39" s="353">
        <v>16</v>
      </c>
      <c r="T39" s="353">
        <v>19</v>
      </c>
      <c r="U39" s="353">
        <v>18</v>
      </c>
      <c r="V39" s="466">
        <v>3</v>
      </c>
      <c r="W39" s="353"/>
      <c r="X39" s="353"/>
      <c r="Y39" s="353"/>
      <c r="Z39" s="466"/>
      <c r="AA39" s="352">
        <f t="shared" ref="AA39:AC40" si="47">+W39+S39+O39+K39+G39+C39</f>
        <v>315</v>
      </c>
      <c r="AB39" s="353">
        <f t="shared" si="47"/>
        <v>294</v>
      </c>
      <c r="AC39" s="353">
        <f t="shared" si="47"/>
        <v>294</v>
      </c>
      <c r="AD39" s="466">
        <f t="shared" si="46"/>
        <v>96</v>
      </c>
    </row>
    <row r="40" spans="1:30" s="481" customFormat="1" ht="22.5" customHeight="1">
      <c r="A40" s="465"/>
      <c r="B40" s="293" t="s">
        <v>1183</v>
      </c>
      <c r="C40" s="353">
        <v>132</v>
      </c>
      <c r="D40" s="353">
        <v>166</v>
      </c>
      <c r="E40" s="353">
        <v>138</v>
      </c>
      <c r="F40" s="466">
        <v>82</v>
      </c>
      <c r="G40" s="353">
        <v>0</v>
      </c>
      <c r="H40" s="353"/>
      <c r="I40" s="353"/>
      <c r="J40" s="466">
        <v>0</v>
      </c>
      <c r="K40" s="353">
        <v>14</v>
      </c>
      <c r="L40" s="353">
        <v>25</v>
      </c>
      <c r="M40" s="353">
        <v>21</v>
      </c>
      <c r="N40" s="466">
        <v>6</v>
      </c>
      <c r="O40" s="353">
        <v>15</v>
      </c>
      <c r="P40" s="353">
        <v>16</v>
      </c>
      <c r="Q40" s="353">
        <v>17</v>
      </c>
      <c r="R40" s="466">
        <v>3</v>
      </c>
      <c r="S40" s="353">
        <v>4</v>
      </c>
      <c r="T40" s="353"/>
      <c r="U40" s="353">
        <v>3</v>
      </c>
      <c r="V40" s="466"/>
      <c r="W40" s="353"/>
      <c r="X40" s="353"/>
      <c r="Y40" s="353"/>
      <c r="Z40" s="466"/>
      <c r="AA40" s="353">
        <f t="shared" si="47"/>
        <v>165</v>
      </c>
      <c r="AB40" s="353">
        <f t="shared" si="47"/>
        <v>207</v>
      </c>
      <c r="AC40" s="353">
        <f t="shared" si="47"/>
        <v>179</v>
      </c>
      <c r="AD40" s="466">
        <f t="shared" si="46"/>
        <v>91</v>
      </c>
    </row>
    <row r="41" spans="1:30" s="481" customFormat="1" ht="22.5" customHeight="1">
      <c r="A41" s="465"/>
      <c r="B41" s="334" t="s">
        <v>625</v>
      </c>
      <c r="C41" s="353">
        <v>2108</v>
      </c>
      <c r="D41" s="353">
        <v>1936</v>
      </c>
      <c r="E41" s="353">
        <f t="shared" ref="E41" si="48">SUM(E38:E40)</f>
        <v>1829</v>
      </c>
      <c r="F41" s="466">
        <f t="shared" ref="F41:AD41" si="49">SUM(F38:F40)</f>
        <v>907</v>
      </c>
      <c r="G41" s="353">
        <v>1</v>
      </c>
      <c r="H41" s="353">
        <v>3</v>
      </c>
      <c r="I41" s="353">
        <f t="shared" ref="I41" si="50">SUM(I38:I40)</f>
        <v>4</v>
      </c>
      <c r="J41" s="466">
        <f t="shared" si="49"/>
        <v>4</v>
      </c>
      <c r="K41" s="353">
        <v>403</v>
      </c>
      <c r="L41" s="353">
        <v>523</v>
      </c>
      <c r="M41" s="353">
        <f t="shared" ref="M41" si="51">SUM(M38:M40)</f>
        <v>544</v>
      </c>
      <c r="N41" s="466">
        <f t="shared" si="49"/>
        <v>156</v>
      </c>
      <c r="O41" s="353">
        <v>164</v>
      </c>
      <c r="P41" s="353">
        <v>132</v>
      </c>
      <c r="Q41" s="353">
        <f t="shared" ref="Q41" si="52">SUM(Q38:Q40)</f>
        <v>156</v>
      </c>
      <c r="R41" s="466">
        <f t="shared" si="49"/>
        <v>47</v>
      </c>
      <c r="S41" s="353">
        <v>123</v>
      </c>
      <c r="T41" s="353">
        <v>87</v>
      </c>
      <c r="U41" s="353">
        <f t="shared" ref="U41" si="53">SUM(U38:U40)</f>
        <v>74</v>
      </c>
      <c r="V41" s="466">
        <f t="shared" si="49"/>
        <v>15</v>
      </c>
      <c r="W41" s="353">
        <v>0</v>
      </c>
      <c r="X41" s="353">
        <v>0</v>
      </c>
      <c r="Y41" s="353"/>
      <c r="Z41" s="353">
        <f t="shared" si="49"/>
        <v>0</v>
      </c>
      <c r="AA41" s="352">
        <f t="shared" si="49"/>
        <v>2799</v>
      </c>
      <c r="AB41" s="353">
        <f t="shared" si="49"/>
        <v>2681</v>
      </c>
      <c r="AC41" s="353">
        <f t="shared" si="49"/>
        <v>2607</v>
      </c>
      <c r="AD41" s="466">
        <f t="shared" si="49"/>
        <v>1129</v>
      </c>
    </row>
    <row r="42" spans="1:30" s="481" customFormat="1" ht="22.5" customHeight="1">
      <c r="A42" s="465" t="s">
        <v>529</v>
      </c>
      <c r="B42" s="334" t="s">
        <v>816</v>
      </c>
      <c r="C42" s="353">
        <v>1730</v>
      </c>
      <c r="D42" s="353">
        <v>1644</v>
      </c>
      <c r="E42" s="353">
        <v>1943</v>
      </c>
      <c r="F42" s="466">
        <v>982</v>
      </c>
      <c r="G42" s="353">
        <v>164</v>
      </c>
      <c r="H42" s="353">
        <v>244</v>
      </c>
      <c r="I42" s="353">
        <v>47</v>
      </c>
      <c r="J42" s="466">
        <v>11</v>
      </c>
      <c r="K42" s="353">
        <v>204</v>
      </c>
      <c r="L42" s="353">
        <v>309</v>
      </c>
      <c r="M42" s="353">
        <v>434</v>
      </c>
      <c r="N42" s="466">
        <v>87</v>
      </c>
      <c r="O42" s="353">
        <v>133</v>
      </c>
      <c r="P42" s="353">
        <v>143</v>
      </c>
      <c r="Q42" s="353">
        <v>172</v>
      </c>
      <c r="R42" s="466">
        <v>39</v>
      </c>
      <c r="S42" s="353">
        <v>42</v>
      </c>
      <c r="T42" s="353">
        <v>42</v>
      </c>
      <c r="U42" s="353">
        <v>99</v>
      </c>
      <c r="V42" s="466">
        <v>112</v>
      </c>
      <c r="W42" s="353"/>
      <c r="X42" s="353"/>
      <c r="Y42" s="353"/>
      <c r="Z42" s="466"/>
      <c r="AA42" s="352">
        <f t="shared" si="45"/>
        <v>2273</v>
      </c>
      <c r="AB42" s="353">
        <f t="shared" si="45"/>
        <v>2382</v>
      </c>
      <c r="AC42" s="353">
        <f t="shared" si="46"/>
        <v>2695</v>
      </c>
      <c r="AD42" s="466">
        <f t="shared" si="46"/>
        <v>1231</v>
      </c>
    </row>
    <row r="43" spans="1:30" s="481" customFormat="1" ht="22.5" customHeight="1">
      <c r="A43" s="465" t="s">
        <v>934</v>
      </c>
      <c r="B43" s="334" t="s">
        <v>817</v>
      </c>
      <c r="C43" s="353">
        <v>2506</v>
      </c>
      <c r="D43" s="353">
        <v>2549</v>
      </c>
      <c r="E43" s="353">
        <v>2359</v>
      </c>
      <c r="F43" s="466">
        <v>1019</v>
      </c>
      <c r="G43" s="353">
        <v>38</v>
      </c>
      <c r="H43" s="353">
        <v>48</v>
      </c>
      <c r="I43" s="353">
        <v>79</v>
      </c>
      <c r="J43" s="466">
        <v>41</v>
      </c>
      <c r="K43" s="353">
        <v>218</v>
      </c>
      <c r="L43" s="353">
        <v>145</v>
      </c>
      <c r="M43" s="353">
        <v>243</v>
      </c>
      <c r="N43" s="466">
        <v>4</v>
      </c>
      <c r="O43" s="353">
        <v>309</v>
      </c>
      <c r="P43" s="353">
        <v>357</v>
      </c>
      <c r="Q43" s="353">
        <v>266</v>
      </c>
      <c r="R43" s="466">
        <v>49</v>
      </c>
      <c r="S43" s="353">
        <v>126</v>
      </c>
      <c r="T43" s="353">
        <v>81</v>
      </c>
      <c r="U43" s="353">
        <v>126</v>
      </c>
      <c r="V43" s="466">
        <v>31</v>
      </c>
      <c r="W43" s="353"/>
      <c r="X43" s="353"/>
      <c r="Y43" s="353"/>
      <c r="Z43" s="466"/>
      <c r="AA43" s="352">
        <f t="shared" si="45"/>
        <v>3197</v>
      </c>
      <c r="AB43" s="353">
        <f t="shared" si="45"/>
        <v>3180</v>
      </c>
      <c r="AC43" s="353">
        <f t="shared" si="46"/>
        <v>3073</v>
      </c>
      <c r="AD43" s="466">
        <f t="shared" si="46"/>
        <v>1144</v>
      </c>
    </row>
    <row r="44" spans="1:30" s="481" customFormat="1" ht="22.5" customHeight="1">
      <c r="A44" s="465"/>
      <c r="B44" s="293" t="s">
        <v>967</v>
      </c>
      <c r="C44" s="353">
        <v>2</v>
      </c>
      <c r="D44" s="353">
        <v>5</v>
      </c>
      <c r="E44" s="353">
        <v>21</v>
      </c>
      <c r="F44" s="466">
        <v>12</v>
      </c>
      <c r="G44" s="353">
        <v>2</v>
      </c>
      <c r="H44" s="353"/>
      <c r="I44" s="353">
        <v>95</v>
      </c>
      <c r="J44" s="466">
        <v>70</v>
      </c>
      <c r="K44" s="353">
        <v>1</v>
      </c>
      <c r="L44" s="353"/>
      <c r="M44" s="353"/>
      <c r="N44" s="466"/>
      <c r="O44" s="353"/>
      <c r="P44" s="353"/>
      <c r="Q44" s="353"/>
      <c r="R44" s="466"/>
      <c r="S44" s="353">
        <v>13</v>
      </c>
      <c r="T44" s="353">
        <v>5</v>
      </c>
      <c r="U44" s="353">
        <v>72</v>
      </c>
      <c r="V44" s="466">
        <v>251</v>
      </c>
      <c r="W44" s="353"/>
      <c r="X44" s="353"/>
      <c r="Y44" s="353"/>
      <c r="Z44" s="466"/>
      <c r="AA44" s="352">
        <f t="shared" ref="AA44" si="54">+W44+S44+O44+K44+G44+C44</f>
        <v>18</v>
      </c>
      <c r="AB44" s="353">
        <f t="shared" ref="AB44" si="55">+X44+T44+P44+L44+H44+D44</f>
        <v>10</v>
      </c>
      <c r="AC44" s="353">
        <f t="shared" si="46"/>
        <v>188</v>
      </c>
      <c r="AD44" s="466">
        <f t="shared" si="46"/>
        <v>333</v>
      </c>
    </row>
    <row r="45" spans="1:30" s="481" customFormat="1" ht="22.5" customHeight="1">
      <c r="A45" s="465" t="s">
        <v>531</v>
      </c>
      <c r="B45" s="334" t="s">
        <v>818</v>
      </c>
      <c r="C45" s="353">
        <v>2337</v>
      </c>
      <c r="D45" s="353">
        <v>2823</v>
      </c>
      <c r="E45" s="353">
        <v>2327</v>
      </c>
      <c r="F45" s="466">
        <v>1336</v>
      </c>
      <c r="G45" s="353">
        <v>107</v>
      </c>
      <c r="H45" s="353">
        <v>8</v>
      </c>
      <c r="I45" s="353">
        <v>6</v>
      </c>
      <c r="J45" s="466">
        <v>11</v>
      </c>
      <c r="K45" s="353">
        <v>331</v>
      </c>
      <c r="L45" s="353">
        <v>394</v>
      </c>
      <c r="M45" s="353">
        <v>479</v>
      </c>
      <c r="N45" s="466">
        <v>116</v>
      </c>
      <c r="O45" s="353">
        <v>141</v>
      </c>
      <c r="P45" s="353">
        <v>131</v>
      </c>
      <c r="Q45" s="353">
        <v>153</v>
      </c>
      <c r="R45" s="466">
        <v>32</v>
      </c>
      <c r="S45" s="353">
        <v>23</v>
      </c>
      <c r="T45" s="353">
        <v>43</v>
      </c>
      <c r="U45" s="353">
        <v>67</v>
      </c>
      <c r="V45" s="466">
        <v>36</v>
      </c>
      <c r="W45" s="353"/>
      <c r="X45" s="353"/>
      <c r="Y45" s="353"/>
      <c r="Z45" s="466"/>
      <c r="AA45" s="352">
        <f t="shared" si="45"/>
        <v>2939</v>
      </c>
      <c r="AB45" s="353">
        <f t="shared" si="45"/>
        <v>3399</v>
      </c>
      <c r="AC45" s="353">
        <f t="shared" si="46"/>
        <v>3032</v>
      </c>
      <c r="AD45" s="466">
        <f>+Z45+V45+R45+N45+J45+F45</f>
        <v>1531</v>
      </c>
    </row>
    <row r="46" spans="1:30" s="481" customFormat="1" ht="22.5" customHeight="1">
      <c r="A46" s="465"/>
      <c r="B46" s="293" t="s">
        <v>1177</v>
      </c>
      <c r="C46" s="353">
        <v>299</v>
      </c>
      <c r="D46" s="353">
        <v>441</v>
      </c>
      <c r="E46" s="353">
        <v>329</v>
      </c>
      <c r="F46" s="466">
        <v>135</v>
      </c>
      <c r="G46" s="353">
        <v>41</v>
      </c>
      <c r="H46" s="353">
        <v>27</v>
      </c>
      <c r="I46" s="353">
        <v>11</v>
      </c>
      <c r="J46" s="466">
        <v>1</v>
      </c>
      <c r="K46" s="353">
        <v>15</v>
      </c>
      <c r="L46" s="353">
        <v>7</v>
      </c>
      <c r="M46" s="353">
        <v>30</v>
      </c>
      <c r="N46" s="466">
        <v>0</v>
      </c>
      <c r="O46" s="353">
        <v>15</v>
      </c>
      <c r="P46" s="353">
        <v>28</v>
      </c>
      <c r="Q46" s="353">
        <v>29</v>
      </c>
      <c r="R46" s="466">
        <v>10</v>
      </c>
      <c r="S46" s="353">
        <v>5</v>
      </c>
      <c r="T46" s="353">
        <v>11</v>
      </c>
      <c r="U46" s="353">
        <v>5</v>
      </c>
      <c r="V46" s="466">
        <v>2</v>
      </c>
      <c r="W46" s="353"/>
      <c r="X46" s="353"/>
      <c r="Y46" s="353"/>
      <c r="Z46" s="466"/>
      <c r="AA46" s="353">
        <f t="shared" si="46"/>
        <v>375</v>
      </c>
      <c r="AB46" s="353">
        <f>+X46+T46+P46+L46+H46+D46</f>
        <v>514</v>
      </c>
      <c r="AC46" s="353">
        <f t="shared" si="46"/>
        <v>404</v>
      </c>
      <c r="AD46" s="466">
        <f t="shared" si="46"/>
        <v>148</v>
      </c>
    </row>
    <row r="47" spans="1:30" s="481" customFormat="1" ht="22.5" customHeight="1">
      <c r="A47" s="465"/>
      <c r="B47" s="334" t="s">
        <v>625</v>
      </c>
      <c r="C47" s="353">
        <f>SUM(C45:C46)</f>
        <v>2636</v>
      </c>
      <c r="D47" s="353">
        <f>SUM(D45:D46)</f>
        <v>3264</v>
      </c>
      <c r="E47" s="353">
        <f>SUM(E45:E46)</f>
        <v>2656</v>
      </c>
      <c r="F47" s="466">
        <f>SUM(F45:F46)</f>
        <v>1471</v>
      </c>
      <c r="G47" s="353">
        <f t="shared" ref="G47:H47" si="56">SUM(G45:G46)</f>
        <v>148</v>
      </c>
      <c r="H47" s="353">
        <f t="shared" si="56"/>
        <v>35</v>
      </c>
      <c r="I47" s="353">
        <f t="shared" ref="I47:L47" si="57">SUM(I45:I46)</f>
        <v>17</v>
      </c>
      <c r="J47" s="466">
        <f t="shared" si="57"/>
        <v>12</v>
      </c>
      <c r="K47" s="353">
        <f t="shared" si="57"/>
        <v>346</v>
      </c>
      <c r="L47" s="353">
        <f t="shared" si="57"/>
        <v>401</v>
      </c>
      <c r="M47" s="353">
        <f t="shared" ref="M47:P47" si="58">SUM(M45:M46)</f>
        <v>509</v>
      </c>
      <c r="N47" s="466">
        <f t="shared" si="58"/>
        <v>116</v>
      </c>
      <c r="O47" s="353">
        <f t="shared" si="58"/>
        <v>156</v>
      </c>
      <c r="P47" s="353">
        <f t="shared" si="58"/>
        <v>159</v>
      </c>
      <c r="Q47" s="353">
        <f t="shared" ref="Q47:V47" si="59">SUM(Q45:Q46)</f>
        <v>182</v>
      </c>
      <c r="R47" s="466">
        <f t="shared" si="59"/>
        <v>42</v>
      </c>
      <c r="S47" s="353">
        <f t="shared" si="59"/>
        <v>28</v>
      </c>
      <c r="T47" s="353">
        <f t="shared" si="59"/>
        <v>54</v>
      </c>
      <c r="U47" s="353">
        <f t="shared" si="59"/>
        <v>72</v>
      </c>
      <c r="V47" s="466">
        <f t="shared" si="59"/>
        <v>38</v>
      </c>
      <c r="W47" s="353">
        <f t="shared" ref="W47:X47" si="60">SUM(W45:W46)</f>
        <v>0</v>
      </c>
      <c r="X47" s="353">
        <f t="shared" si="60"/>
        <v>0</v>
      </c>
      <c r="Y47" s="353"/>
      <c r="Z47" s="466">
        <f t="shared" ref="Z47" si="61">SUM(Z45:Z46)</f>
        <v>0</v>
      </c>
      <c r="AA47" s="352">
        <f t="shared" ref="AA47" si="62">SUM(AA45:AA46)</f>
        <v>3314</v>
      </c>
      <c r="AB47" s="353">
        <f t="shared" ref="AB47:AD47" si="63">SUM(AB45:AB46)</f>
        <v>3913</v>
      </c>
      <c r="AC47" s="353">
        <f t="shared" si="63"/>
        <v>3436</v>
      </c>
      <c r="AD47" s="466">
        <f t="shared" si="63"/>
        <v>1679</v>
      </c>
    </row>
    <row r="48" spans="1:30" s="6" customFormat="1" ht="22.5" customHeight="1">
      <c r="A48" s="475" t="s">
        <v>935</v>
      </c>
      <c r="B48" s="471"/>
      <c r="C48" s="472">
        <f t="shared" ref="C48" si="64">+C31+C37+C41+C42+C43+C47+C44</f>
        <v>19486</v>
      </c>
      <c r="D48" s="473">
        <f>+D31+D37+D41+D42+D43+D47+D44</f>
        <v>19389</v>
      </c>
      <c r="E48" s="473">
        <f>+E31+E37+E41+E42+E43+E47+E44</f>
        <v>19537</v>
      </c>
      <c r="F48" s="474">
        <f>+F31+F37+F41+F42+F43+F47+F44</f>
        <v>8895</v>
      </c>
      <c r="G48" s="472">
        <f t="shared" ref="G48" si="65">+G31+G37+G41+G42+G43+G47+G44</f>
        <v>598</v>
      </c>
      <c r="H48" s="473">
        <f t="shared" ref="H48:J48" si="66">+H31+H37+H41+H42+H43+H47+H44</f>
        <v>1106</v>
      </c>
      <c r="I48" s="473">
        <f t="shared" si="66"/>
        <v>853</v>
      </c>
      <c r="J48" s="474">
        <f t="shared" si="66"/>
        <v>448</v>
      </c>
      <c r="K48" s="473">
        <f t="shared" ref="K48" si="67">+K31+K37+K41+K42+K43+K47+K44</f>
        <v>3375</v>
      </c>
      <c r="L48" s="473">
        <f>+L31+L37+L41+L42+L43+L47+L44</f>
        <v>3682</v>
      </c>
      <c r="M48" s="473">
        <f t="shared" ref="M48:N48" si="68">+M31+M37+M41+M42+M43+M47+M44</f>
        <v>3860</v>
      </c>
      <c r="N48" s="474">
        <f t="shared" si="68"/>
        <v>1613</v>
      </c>
      <c r="O48" s="473">
        <f t="shared" ref="O48" si="69">+O31+O37+O41+O42+O43+O47+O44</f>
        <v>1418</v>
      </c>
      <c r="P48" s="473">
        <f t="shared" ref="P48:R48" si="70">+P31+P37+P41+P42+P43+P47+P44</f>
        <v>1572</v>
      </c>
      <c r="Q48" s="473">
        <f t="shared" si="70"/>
        <v>1628</v>
      </c>
      <c r="R48" s="474">
        <f t="shared" si="70"/>
        <v>501</v>
      </c>
      <c r="S48" s="473">
        <f t="shared" ref="S48" si="71">+S31+S37+S41+S42+S43+S47+S44</f>
        <v>1191</v>
      </c>
      <c r="T48" s="473">
        <f t="shared" ref="T48:V48" si="72">+T31+T37+T41+T42+T43+T47+T44</f>
        <v>837</v>
      </c>
      <c r="U48" s="473">
        <f t="shared" si="72"/>
        <v>1268</v>
      </c>
      <c r="V48" s="474">
        <f t="shared" si="72"/>
        <v>840</v>
      </c>
      <c r="W48" s="473">
        <f t="shared" ref="W48" si="73">+W31+W37+W41+W42+W43+W47+W44</f>
        <v>0</v>
      </c>
      <c r="X48" s="473">
        <f t="shared" ref="X48:Z48" si="74">+X31+X37+X41+X42+X43+X47+X44</f>
        <v>59</v>
      </c>
      <c r="Y48" s="473">
        <f t="shared" si="74"/>
        <v>0</v>
      </c>
      <c r="Z48" s="474">
        <f t="shared" si="74"/>
        <v>0</v>
      </c>
      <c r="AA48" s="473">
        <f t="shared" ref="AA48" si="75">+AA31+AA37+AA41+AA42+AA43+AA47+AA44</f>
        <v>26068</v>
      </c>
      <c r="AB48" s="473">
        <f t="shared" ref="AB48:AD48" si="76">+AB31+AB37+AB41+AB42+AB43+AB47+AB44</f>
        <v>26645</v>
      </c>
      <c r="AC48" s="473">
        <f t="shared" si="76"/>
        <v>27146</v>
      </c>
      <c r="AD48" s="474">
        <f t="shared" si="76"/>
        <v>12297</v>
      </c>
    </row>
    <row r="49" spans="1:30" s="481" customFormat="1" ht="22.5" customHeight="1">
      <c r="A49" s="1631" t="s">
        <v>637</v>
      </c>
      <c r="B49" s="1632"/>
      <c r="C49" s="476">
        <f t="shared" ref="C49:AD49" si="77">+C23+C48</f>
        <v>31498</v>
      </c>
      <c r="D49" s="477">
        <f t="shared" si="77"/>
        <v>30895</v>
      </c>
      <c r="E49" s="477">
        <f t="shared" si="77"/>
        <v>31096</v>
      </c>
      <c r="F49" s="478">
        <f t="shared" si="77"/>
        <v>14740</v>
      </c>
      <c r="G49" s="476">
        <f t="shared" si="77"/>
        <v>1681</v>
      </c>
      <c r="H49" s="477">
        <f t="shared" si="77"/>
        <v>2597</v>
      </c>
      <c r="I49" s="477">
        <f t="shared" si="77"/>
        <v>2241</v>
      </c>
      <c r="J49" s="478">
        <f t="shared" si="77"/>
        <v>689</v>
      </c>
      <c r="K49" s="477">
        <f t="shared" si="77"/>
        <v>4891</v>
      </c>
      <c r="L49" s="477">
        <f t="shared" si="77"/>
        <v>5319</v>
      </c>
      <c r="M49" s="477">
        <f t="shared" si="77"/>
        <v>6265</v>
      </c>
      <c r="N49" s="478">
        <f t="shared" si="77"/>
        <v>2699</v>
      </c>
      <c r="O49" s="476">
        <f t="shared" si="77"/>
        <v>2639</v>
      </c>
      <c r="P49" s="477">
        <f t="shared" si="77"/>
        <v>2720</v>
      </c>
      <c r="Q49" s="477">
        <f t="shared" si="77"/>
        <v>2789</v>
      </c>
      <c r="R49" s="478">
        <f t="shared" si="77"/>
        <v>733</v>
      </c>
      <c r="S49" s="477">
        <f t="shared" si="77"/>
        <v>1836</v>
      </c>
      <c r="T49" s="477">
        <f t="shared" si="77"/>
        <v>1640</v>
      </c>
      <c r="U49" s="477">
        <f t="shared" si="77"/>
        <v>2833</v>
      </c>
      <c r="V49" s="478">
        <f t="shared" si="77"/>
        <v>1498</v>
      </c>
      <c r="W49" s="477">
        <f t="shared" si="77"/>
        <v>0</v>
      </c>
      <c r="X49" s="477">
        <f t="shared" si="77"/>
        <v>94</v>
      </c>
      <c r="Y49" s="477">
        <f t="shared" si="77"/>
        <v>0</v>
      </c>
      <c r="Z49" s="478">
        <f t="shared" si="77"/>
        <v>0</v>
      </c>
      <c r="AA49" s="476">
        <f t="shared" si="77"/>
        <v>42545</v>
      </c>
      <c r="AB49" s="477">
        <f t="shared" si="77"/>
        <v>43265</v>
      </c>
      <c r="AC49" s="477">
        <f t="shared" si="77"/>
        <v>45224</v>
      </c>
      <c r="AD49" s="478">
        <f t="shared" si="77"/>
        <v>20359</v>
      </c>
    </row>
    <row r="51" spans="1:30">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row>
    <row r="52" spans="1:30">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row>
    <row r="53" spans="1:30">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row>
    <row r="54" spans="1:30">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row>
    <row r="55" spans="1:30">
      <c r="F55" s="495"/>
      <c r="G55" s="495"/>
      <c r="H55" s="495"/>
      <c r="I55" s="495"/>
      <c r="J55" s="495"/>
      <c r="K55" s="495"/>
      <c r="L55" s="495"/>
    </row>
    <row r="56" spans="1:30">
      <c r="F56" s="495"/>
      <c r="G56" s="495"/>
      <c r="H56" s="495"/>
      <c r="I56" s="495"/>
      <c r="J56" s="495"/>
      <c r="K56" s="495"/>
      <c r="L56" s="495"/>
      <c r="AB56" s="495"/>
      <c r="AC56" s="495"/>
    </row>
    <row r="57" spans="1:30">
      <c r="AB57" s="495"/>
      <c r="AC57" s="495"/>
    </row>
    <row r="58" spans="1:30">
      <c r="J58" s="495"/>
    </row>
  </sheetData>
  <mergeCells count="12">
    <mergeCell ref="K7:N7"/>
    <mergeCell ref="G7:J7"/>
    <mergeCell ref="C7:F7"/>
    <mergeCell ref="A49:B49"/>
    <mergeCell ref="A1:AD1"/>
    <mergeCell ref="A2:AD2"/>
    <mergeCell ref="A3:AD3"/>
    <mergeCell ref="A4:AD4"/>
    <mergeCell ref="AA7:AD7"/>
    <mergeCell ref="W7:Z7"/>
    <mergeCell ref="S7:V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5"/>
  <sheetViews>
    <sheetView topLeftCell="Q47" workbookViewId="0">
      <selection activeCell="F52" sqref="F52:F53"/>
    </sheetView>
  </sheetViews>
  <sheetFormatPr baseColWidth="10" defaultColWidth="11.44140625" defaultRowHeight="11.4"/>
  <cols>
    <col min="1" max="1" width="12.77734375" style="378" customWidth="1"/>
    <col min="2" max="2" width="19.5546875" style="378" customWidth="1"/>
    <col min="3" max="45" width="7.21875" style="378" customWidth="1"/>
    <col min="46" max="16384" width="11.44140625" style="378"/>
  </cols>
  <sheetData>
    <row r="1" spans="1:30" ht="12">
      <c r="A1" s="1616" t="s">
        <v>922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row>
    <row r="2" spans="1:30" ht="12">
      <c r="A2" s="1616" t="s">
        <v>937</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row>
    <row r="3" spans="1:30"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row>
    <row r="4" spans="1:30" ht="12">
      <c r="A4" s="1616" t="str">
        <f>+'42'!A4:AD4</f>
        <v>2017 - 2020</v>
      </c>
      <c r="B4" s="1616"/>
      <c r="C4" s="1616"/>
      <c r="D4" s="1616"/>
      <c r="E4" s="1616"/>
      <c r="F4" s="1616"/>
      <c r="G4" s="1616"/>
      <c r="H4" s="1616"/>
      <c r="I4" s="1616"/>
      <c r="J4" s="1616"/>
      <c r="K4" s="1616"/>
      <c r="L4" s="1616"/>
      <c r="M4" s="1616"/>
      <c r="N4" s="1616"/>
      <c r="O4" s="1616"/>
      <c r="P4" s="1616"/>
      <c r="Q4" s="1616"/>
      <c r="R4" s="1616"/>
      <c r="S4" s="1616"/>
      <c r="T4" s="1616"/>
      <c r="U4" s="1616"/>
      <c r="V4" s="1616"/>
      <c r="W4" s="1616"/>
      <c r="X4" s="1616"/>
      <c r="Y4" s="1616"/>
      <c r="Z4" s="1616"/>
      <c r="AA4" s="1616"/>
      <c r="AB4" s="1616"/>
      <c r="AC4" s="1616"/>
      <c r="AD4" s="1616"/>
    </row>
    <row r="7" spans="1:30" s="481" customFormat="1" ht="22.5" customHeight="1">
      <c r="A7" s="479" t="s">
        <v>536</v>
      </c>
      <c r="B7" s="480" t="s">
        <v>835</v>
      </c>
      <c r="C7" s="1611" t="s">
        <v>924</v>
      </c>
      <c r="D7" s="1612"/>
      <c r="E7" s="1612"/>
      <c r="F7" s="1613"/>
      <c r="G7" s="1611" t="s">
        <v>925</v>
      </c>
      <c r="H7" s="1612"/>
      <c r="I7" s="1612"/>
      <c r="J7" s="1613"/>
      <c r="K7" s="1612" t="s">
        <v>926</v>
      </c>
      <c r="L7" s="1612"/>
      <c r="M7" s="1612"/>
      <c r="N7" s="1612"/>
      <c r="O7" s="1611" t="s">
        <v>927</v>
      </c>
      <c r="P7" s="1612"/>
      <c r="Q7" s="1612"/>
      <c r="R7" s="1613"/>
      <c r="S7" s="1612" t="s">
        <v>928</v>
      </c>
      <c r="T7" s="1612"/>
      <c r="U7" s="1612"/>
      <c r="V7" s="1612"/>
      <c r="W7" s="1630" t="s">
        <v>1430</v>
      </c>
      <c r="X7" s="1612"/>
      <c r="Y7" s="1612"/>
      <c r="Z7" s="1612"/>
      <c r="AA7" s="1611" t="s">
        <v>637</v>
      </c>
      <c r="AB7" s="1612"/>
      <c r="AC7" s="1612"/>
      <c r="AD7" s="1613"/>
    </row>
    <row r="8" spans="1:30" s="481" customFormat="1" ht="22.5" customHeight="1">
      <c r="A8" s="461"/>
      <c r="B8" s="461"/>
      <c r="C8" s="462">
        <f>+'41'!C8</f>
        <v>2017</v>
      </c>
      <c r="D8" s="463">
        <f>+'41'!D8</f>
        <v>2018</v>
      </c>
      <c r="E8" s="463">
        <f>+'41'!E8</f>
        <v>2019</v>
      </c>
      <c r="F8" s="464">
        <f>+'41'!F8</f>
        <v>2020</v>
      </c>
      <c r="G8" s="463">
        <f>+'41'!G8</f>
        <v>2017</v>
      </c>
      <c r="H8" s="463">
        <f>+'41'!H8</f>
        <v>2018</v>
      </c>
      <c r="I8" s="463">
        <f>+'41'!I8</f>
        <v>2019</v>
      </c>
      <c r="J8" s="463">
        <f>+'41'!J8</f>
        <v>2020</v>
      </c>
      <c r="K8" s="462">
        <f>+'41'!K8</f>
        <v>2017</v>
      </c>
      <c r="L8" s="463">
        <f>+'41'!L8</f>
        <v>2018</v>
      </c>
      <c r="M8" s="463">
        <f>+'41'!M8</f>
        <v>2019</v>
      </c>
      <c r="N8" s="464">
        <f>+'41'!N8</f>
        <v>2020</v>
      </c>
      <c r="O8" s="463">
        <f>+'41'!O8</f>
        <v>2017</v>
      </c>
      <c r="P8" s="463">
        <f>+'41'!P8</f>
        <v>2018</v>
      </c>
      <c r="Q8" s="463">
        <f>+'41'!Q8</f>
        <v>2019</v>
      </c>
      <c r="R8" s="463">
        <f>+'41'!R8</f>
        <v>2020</v>
      </c>
      <c r="S8" s="462">
        <f>+'41'!S8</f>
        <v>2017</v>
      </c>
      <c r="T8" s="463">
        <f>+'41'!T8</f>
        <v>2018</v>
      </c>
      <c r="U8" s="463">
        <f>+'41'!U8</f>
        <v>2019</v>
      </c>
      <c r="V8" s="464">
        <f>+'41'!V8</f>
        <v>2020</v>
      </c>
      <c r="W8" s="463">
        <f>+'41'!W8</f>
        <v>2017</v>
      </c>
      <c r="X8" s="463">
        <f>+'41'!X8</f>
        <v>2018</v>
      </c>
      <c r="Y8" s="463">
        <f>+'41'!Y8</f>
        <v>2019</v>
      </c>
      <c r="Z8" s="464">
        <f>+'41'!Z8</f>
        <v>2020</v>
      </c>
      <c r="AA8" s="462">
        <f>+'41'!AA8</f>
        <v>2017</v>
      </c>
      <c r="AB8" s="463">
        <f>+'41'!AB8</f>
        <v>2018</v>
      </c>
      <c r="AC8" s="463">
        <f>+'41'!AC8</f>
        <v>2019</v>
      </c>
      <c r="AD8" s="464">
        <f>+'41'!AD8</f>
        <v>2020</v>
      </c>
    </row>
    <row r="9" spans="1:30" s="481" customFormat="1" ht="22.5" customHeight="1">
      <c r="A9" s="479" t="s">
        <v>929</v>
      </c>
      <c r="B9" s="293" t="s">
        <v>1322</v>
      </c>
      <c r="C9" s="353"/>
      <c r="D9" s="353">
        <v>220</v>
      </c>
      <c r="E9" s="353">
        <v>221</v>
      </c>
      <c r="F9" s="466">
        <v>35</v>
      </c>
      <c r="G9" s="353"/>
      <c r="H9" s="353"/>
      <c r="I9" s="353"/>
      <c r="J9" s="466"/>
      <c r="K9" s="353">
        <v>6984</v>
      </c>
      <c r="L9" s="353">
        <v>6500</v>
      </c>
      <c r="M9" s="353">
        <v>6617</v>
      </c>
      <c r="N9" s="466">
        <v>3503</v>
      </c>
      <c r="O9" s="353"/>
      <c r="P9" s="353"/>
      <c r="Q9" s="353"/>
      <c r="R9" s="466"/>
      <c r="S9" s="353"/>
      <c r="T9" s="353"/>
      <c r="U9" s="353"/>
      <c r="V9" s="466"/>
      <c r="W9" s="353"/>
      <c r="X9" s="353"/>
      <c r="Y9" s="353"/>
      <c r="Z9" s="466"/>
      <c r="AA9" s="353">
        <f t="shared" ref="AA9:AD13" si="0">+W9+S9+O9+K9+G9+C9</f>
        <v>6984</v>
      </c>
      <c r="AB9" s="353">
        <f t="shared" si="0"/>
        <v>6720</v>
      </c>
      <c r="AC9" s="353">
        <f t="shared" si="0"/>
        <v>6838</v>
      </c>
      <c r="AD9" s="466">
        <f t="shared" si="0"/>
        <v>3538</v>
      </c>
    </row>
    <row r="10" spans="1:30" s="481" customFormat="1" ht="22.5" customHeight="1">
      <c r="A10" s="465"/>
      <c r="B10" s="293" t="s">
        <v>1323</v>
      </c>
      <c r="C10" s="353">
        <v>83</v>
      </c>
      <c r="D10" s="353">
        <v>224</v>
      </c>
      <c r="E10" s="353">
        <v>318</v>
      </c>
      <c r="F10" s="466">
        <v>108</v>
      </c>
      <c r="G10" s="353"/>
      <c r="H10" s="353"/>
      <c r="I10" s="353"/>
      <c r="J10" s="466"/>
      <c r="K10" s="353">
        <v>8740</v>
      </c>
      <c r="L10" s="353">
        <v>8286</v>
      </c>
      <c r="M10" s="353">
        <v>9847</v>
      </c>
      <c r="N10" s="466">
        <v>5475</v>
      </c>
      <c r="O10" s="353"/>
      <c r="P10" s="353"/>
      <c r="Q10" s="353"/>
      <c r="R10" s="466"/>
      <c r="S10" s="353"/>
      <c r="T10" s="353"/>
      <c r="U10" s="353"/>
      <c r="V10" s="466"/>
      <c r="W10" s="353"/>
      <c r="X10" s="353"/>
      <c r="Y10" s="353"/>
      <c r="Z10" s="466"/>
      <c r="AA10" s="353">
        <f t="shared" si="0"/>
        <v>8823</v>
      </c>
      <c r="AB10" s="353">
        <f t="shared" si="0"/>
        <v>8510</v>
      </c>
      <c r="AC10" s="353">
        <f t="shared" si="0"/>
        <v>10165</v>
      </c>
      <c r="AD10" s="466">
        <f t="shared" si="0"/>
        <v>5583</v>
      </c>
    </row>
    <row r="11" spans="1:30" s="481" customFormat="1" ht="22.5" customHeight="1">
      <c r="A11" s="465"/>
      <c r="B11" s="334" t="s">
        <v>804</v>
      </c>
      <c r="C11" s="353"/>
      <c r="D11" s="353">
        <v>56</v>
      </c>
      <c r="E11" s="353">
        <v>47</v>
      </c>
      <c r="F11" s="466"/>
      <c r="G11" s="353"/>
      <c r="H11" s="353"/>
      <c r="I11" s="353"/>
      <c r="J11" s="466"/>
      <c r="K11" s="353">
        <v>1039</v>
      </c>
      <c r="L11" s="353">
        <v>952</v>
      </c>
      <c r="M11" s="353">
        <v>885</v>
      </c>
      <c r="N11" s="466">
        <v>598</v>
      </c>
      <c r="O11" s="353"/>
      <c r="P11" s="353"/>
      <c r="Q11" s="353"/>
      <c r="R11" s="466"/>
      <c r="S11" s="353"/>
      <c r="T11" s="353"/>
      <c r="U11" s="353"/>
      <c r="V11" s="466"/>
      <c r="W11" s="353"/>
      <c r="X11" s="353"/>
      <c r="Y11" s="353"/>
      <c r="Z11" s="466"/>
      <c r="AA11" s="353">
        <f t="shared" si="0"/>
        <v>1039</v>
      </c>
      <c r="AB11" s="353">
        <f t="shared" si="0"/>
        <v>1008</v>
      </c>
      <c r="AC11" s="353">
        <f t="shared" si="0"/>
        <v>932</v>
      </c>
      <c r="AD11" s="466">
        <f t="shared" si="0"/>
        <v>598</v>
      </c>
    </row>
    <row r="12" spans="1:30" s="481" customFormat="1" ht="22.5" customHeight="1">
      <c r="A12" s="465"/>
      <c r="B12" s="293" t="s">
        <v>1577</v>
      </c>
      <c r="C12" s="353"/>
      <c r="D12" s="353"/>
      <c r="E12" s="353"/>
      <c r="F12" s="466"/>
      <c r="G12" s="353"/>
      <c r="H12" s="353"/>
      <c r="I12" s="353"/>
      <c r="J12" s="466"/>
      <c r="K12" s="353"/>
      <c r="L12" s="353"/>
      <c r="M12" s="353"/>
      <c r="N12" s="466"/>
      <c r="O12" s="353"/>
      <c r="P12" s="353"/>
      <c r="Q12" s="353"/>
      <c r="R12" s="466"/>
      <c r="S12" s="353"/>
      <c r="T12" s="353"/>
      <c r="U12" s="353"/>
      <c r="V12" s="466"/>
      <c r="W12" s="353"/>
      <c r="X12" s="353"/>
      <c r="Y12" s="353"/>
      <c r="Z12" s="466"/>
      <c r="AA12" s="353">
        <f t="shared" ref="AA12" si="1">+W12+S12+O12+K12+G12+C12</f>
        <v>0</v>
      </c>
      <c r="AB12" s="353">
        <f t="shared" ref="AB12" si="2">+X12+T12+P12+L12+H12+D12</f>
        <v>0</v>
      </c>
      <c r="AC12" s="353">
        <f t="shared" ref="AC12" si="3">+Y12+U12+Q12+M12+I12+E12</f>
        <v>0</v>
      </c>
      <c r="AD12" s="466">
        <f t="shared" si="0"/>
        <v>0</v>
      </c>
    </row>
    <row r="13" spans="1:30" s="481" customFormat="1" ht="22.5" customHeight="1">
      <c r="A13" s="465"/>
      <c r="B13" s="293" t="s">
        <v>1188</v>
      </c>
      <c r="C13" s="353"/>
      <c r="D13" s="353">
        <v>2</v>
      </c>
      <c r="E13" s="353">
        <v>6</v>
      </c>
      <c r="F13" s="466">
        <v>2</v>
      </c>
      <c r="G13" s="353"/>
      <c r="H13" s="353"/>
      <c r="I13" s="353"/>
      <c r="J13" s="466"/>
      <c r="K13" s="353">
        <v>215</v>
      </c>
      <c r="L13" s="353">
        <v>161</v>
      </c>
      <c r="M13" s="353">
        <v>220</v>
      </c>
      <c r="N13" s="466">
        <v>97</v>
      </c>
      <c r="O13" s="353"/>
      <c r="P13" s="353"/>
      <c r="Q13" s="353"/>
      <c r="R13" s="466"/>
      <c r="S13" s="353"/>
      <c r="T13" s="353"/>
      <c r="U13" s="353"/>
      <c r="V13" s="466"/>
      <c r="W13" s="353"/>
      <c r="X13" s="353"/>
      <c r="Y13" s="353"/>
      <c r="Z13" s="466"/>
      <c r="AA13" s="353">
        <f t="shared" si="0"/>
        <v>215</v>
      </c>
      <c r="AB13" s="353">
        <f t="shared" si="0"/>
        <v>163</v>
      </c>
      <c r="AC13" s="353">
        <f t="shared" si="0"/>
        <v>226</v>
      </c>
      <c r="AD13" s="466">
        <f>+Z13+V13+R13+N13+J13+F13</f>
        <v>99</v>
      </c>
    </row>
    <row r="14" spans="1:30" s="481" customFormat="1" ht="22.5" customHeight="1">
      <c r="A14" s="465"/>
      <c r="B14" s="334" t="s">
        <v>625</v>
      </c>
      <c r="C14" s="353">
        <v>83</v>
      </c>
      <c r="D14" s="353">
        <v>502</v>
      </c>
      <c r="E14" s="353">
        <f>SUM(E9:E13)</f>
        <v>592</v>
      </c>
      <c r="F14" s="466">
        <f>SUM(F9:F13)</f>
        <v>145</v>
      </c>
      <c r="G14" s="352">
        <f t="shared" ref="G14" si="4">SUM(G9:G13)</f>
        <v>0</v>
      </c>
      <c r="H14" s="353">
        <f t="shared" ref="H14:J14" si="5">SUM(H9:H13)</f>
        <v>0</v>
      </c>
      <c r="I14" s="353">
        <f t="shared" si="5"/>
        <v>0</v>
      </c>
      <c r="J14" s="466">
        <f t="shared" si="5"/>
        <v>0</v>
      </c>
      <c r="K14" s="353">
        <v>16978</v>
      </c>
      <c r="L14" s="353">
        <v>15899</v>
      </c>
      <c r="M14" s="353">
        <f t="shared" ref="M14:N14" si="6">SUM(M9:M13)</f>
        <v>17569</v>
      </c>
      <c r="N14" s="466">
        <f t="shared" si="6"/>
        <v>9673</v>
      </c>
      <c r="O14" s="352">
        <f t="shared" ref="O14" si="7">SUM(O9:O13)</f>
        <v>0</v>
      </c>
      <c r="P14" s="353">
        <f t="shared" ref="P14:R14" si="8">SUM(P9:P13)</f>
        <v>0</v>
      </c>
      <c r="Q14" s="353">
        <f t="shared" si="8"/>
        <v>0</v>
      </c>
      <c r="R14" s="466">
        <f t="shared" si="8"/>
        <v>0</v>
      </c>
      <c r="S14" s="352">
        <f t="shared" ref="S14" si="9">SUM(S9:S13)</f>
        <v>0</v>
      </c>
      <c r="T14" s="353">
        <f t="shared" ref="T14:V14" si="10">SUM(T9:T13)</f>
        <v>0</v>
      </c>
      <c r="U14" s="353">
        <f t="shared" si="10"/>
        <v>0</v>
      </c>
      <c r="V14" s="466">
        <f t="shared" si="10"/>
        <v>0</v>
      </c>
      <c r="W14" s="352">
        <f t="shared" ref="W14" si="11">SUM(W9:W13)</f>
        <v>0</v>
      </c>
      <c r="X14" s="353">
        <f t="shared" ref="X14:Z14" si="12">SUM(X9:X13)</f>
        <v>0</v>
      </c>
      <c r="Y14" s="353">
        <f t="shared" si="12"/>
        <v>0</v>
      </c>
      <c r="Z14" s="466">
        <f t="shared" si="12"/>
        <v>0</v>
      </c>
      <c r="AA14" s="352">
        <f t="shared" ref="AA14" si="13">SUM(AA9:AA13)</f>
        <v>17061</v>
      </c>
      <c r="AB14" s="353">
        <f t="shared" ref="AB14:AD14" si="14">SUM(AB9:AB13)</f>
        <v>16401</v>
      </c>
      <c r="AC14" s="353">
        <f t="shared" si="14"/>
        <v>18161</v>
      </c>
      <c r="AD14" s="466">
        <f t="shared" si="14"/>
        <v>9818</v>
      </c>
    </row>
    <row r="15" spans="1:30" s="481" customFormat="1" ht="22.5" customHeight="1">
      <c r="A15" s="465" t="s">
        <v>522</v>
      </c>
      <c r="B15" s="334" t="s">
        <v>805</v>
      </c>
      <c r="C15" s="353">
        <v>18</v>
      </c>
      <c r="D15" s="353">
        <v>58</v>
      </c>
      <c r="E15" s="353">
        <v>59</v>
      </c>
      <c r="F15" s="466">
        <v>12</v>
      </c>
      <c r="G15" s="353"/>
      <c r="H15" s="353"/>
      <c r="I15" s="353"/>
      <c r="J15" s="466"/>
      <c r="K15" s="353">
        <v>4214</v>
      </c>
      <c r="L15" s="353">
        <v>3856</v>
      </c>
      <c r="M15" s="353">
        <v>3220</v>
      </c>
      <c r="N15" s="466">
        <v>2178</v>
      </c>
      <c r="O15" s="353"/>
      <c r="P15" s="353"/>
      <c r="Q15" s="353"/>
      <c r="R15" s="466"/>
      <c r="S15" s="353"/>
      <c r="T15" s="353"/>
      <c r="U15" s="353"/>
      <c r="V15" s="466"/>
      <c r="W15" s="353"/>
      <c r="X15" s="353"/>
      <c r="Y15" s="353"/>
      <c r="Z15" s="466"/>
      <c r="AA15" s="353">
        <f>+W15+S15+O15+K15+G15+C15</f>
        <v>4232</v>
      </c>
      <c r="AB15" s="353">
        <f>+X15+T15+P15+L15+H15+D15</f>
        <v>3914</v>
      </c>
      <c r="AC15" s="353">
        <f>+Y15+U15+Q15+M15+I15+E15</f>
        <v>3279</v>
      </c>
      <c r="AD15" s="466">
        <f>+Z15+V15+R15+N15+J15+F15</f>
        <v>2190</v>
      </c>
    </row>
    <row r="16" spans="1:30" s="481" customFormat="1" ht="22.5" customHeight="1">
      <c r="A16" s="465"/>
      <c r="B16" s="293" t="s">
        <v>1193</v>
      </c>
      <c r="C16" s="353"/>
      <c r="D16" s="353">
        <v>7</v>
      </c>
      <c r="E16" s="353">
        <v>19</v>
      </c>
      <c r="F16" s="466"/>
      <c r="G16" s="353"/>
      <c r="H16" s="353"/>
      <c r="I16" s="353"/>
      <c r="J16" s="466"/>
      <c r="K16" s="353">
        <v>753</v>
      </c>
      <c r="L16" s="353">
        <v>810</v>
      </c>
      <c r="M16" s="353">
        <v>800</v>
      </c>
      <c r="N16" s="466">
        <v>406</v>
      </c>
      <c r="O16" s="353"/>
      <c r="P16" s="353"/>
      <c r="Q16" s="353"/>
      <c r="R16" s="466"/>
      <c r="S16" s="353"/>
      <c r="T16" s="353"/>
      <c r="U16" s="353"/>
      <c r="V16" s="466"/>
      <c r="W16" s="353"/>
      <c r="X16" s="353"/>
      <c r="Y16" s="353"/>
      <c r="Z16" s="466"/>
      <c r="AA16" s="353">
        <f t="shared" ref="AA16:AD17" si="15">+W16+S16+O16+K16+G16+C16</f>
        <v>753</v>
      </c>
      <c r="AB16" s="353">
        <f t="shared" si="15"/>
        <v>817</v>
      </c>
      <c r="AC16" s="353">
        <f t="shared" si="15"/>
        <v>819</v>
      </c>
      <c r="AD16" s="466">
        <f t="shared" si="15"/>
        <v>406</v>
      </c>
    </row>
    <row r="17" spans="1:30" s="481" customFormat="1" ht="22.5" customHeight="1">
      <c r="A17" s="465"/>
      <c r="B17" s="293" t="s">
        <v>1190</v>
      </c>
      <c r="C17" s="353"/>
      <c r="D17" s="353"/>
      <c r="E17" s="353">
        <v>2</v>
      </c>
      <c r="F17" s="466"/>
      <c r="G17" s="353"/>
      <c r="H17" s="353"/>
      <c r="I17" s="353"/>
      <c r="J17" s="466"/>
      <c r="K17" s="353">
        <v>643</v>
      </c>
      <c r="L17" s="353">
        <v>641</v>
      </c>
      <c r="M17" s="353">
        <v>561</v>
      </c>
      <c r="N17" s="466">
        <v>406</v>
      </c>
      <c r="O17" s="353"/>
      <c r="P17" s="353"/>
      <c r="Q17" s="353"/>
      <c r="R17" s="466"/>
      <c r="S17" s="353"/>
      <c r="T17" s="353"/>
      <c r="U17" s="353"/>
      <c r="V17" s="466"/>
      <c r="W17" s="353"/>
      <c r="X17" s="353"/>
      <c r="Y17" s="353"/>
      <c r="Z17" s="466"/>
      <c r="AA17" s="353">
        <f t="shared" si="15"/>
        <v>643</v>
      </c>
      <c r="AB17" s="353">
        <f t="shared" si="15"/>
        <v>641</v>
      </c>
      <c r="AC17" s="353">
        <f t="shared" si="15"/>
        <v>563</v>
      </c>
      <c r="AD17" s="466">
        <f t="shared" si="15"/>
        <v>406</v>
      </c>
    </row>
    <row r="18" spans="1:30" s="481" customFormat="1" ht="22.5" customHeight="1">
      <c r="A18" s="465"/>
      <c r="B18" s="334" t="s">
        <v>625</v>
      </c>
      <c r="C18" s="353">
        <v>18</v>
      </c>
      <c r="D18" s="353">
        <v>65</v>
      </c>
      <c r="E18" s="353">
        <f>SUM(E15:E17)</f>
        <v>80</v>
      </c>
      <c r="F18" s="466">
        <f>SUM(F15:F17)</f>
        <v>12</v>
      </c>
      <c r="G18" s="352">
        <f t="shared" ref="G18" si="16">SUM(G15:G17)</f>
        <v>0</v>
      </c>
      <c r="H18" s="353">
        <f t="shared" ref="H18:J18" si="17">SUM(H15:H17)</f>
        <v>0</v>
      </c>
      <c r="I18" s="353">
        <f t="shared" si="17"/>
        <v>0</v>
      </c>
      <c r="J18" s="466">
        <f t="shared" si="17"/>
        <v>0</v>
      </c>
      <c r="K18" s="353">
        <v>5610</v>
      </c>
      <c r="L18" s="353">
        <v>5307</v>
      </c>
      <c r="M18" s="353">
        <f t="shared" ref="M18:N18" si="18">SUM(M15:M17)</f>
        <v>4581</v>
      </c>
      <c r="N18" s="466">
        <f t="shared" si="18"/>
        <v>2990</v>
      </c>
      <c r="O18" s="352">
        <f t="shared" ref="O18" si="19">SUM(O15:O17)</f>
        <v>0</v>
      </c>
      <c r="P18" s="353">
        <f t="shared" ref="P18:R18" si="20">SUM(P15:P17)</f>
        <v>0</v>
      </c>
      <c r="Q18" s="353">
        <f t="shared" si="20"/>
        <v>0</v>
      </c>
      <c r="R18" s="466">
        <f t="shared" si="20"/>
        <v>0</v>
      </c>
      <c r="S18" s="352">
        <f t="shared" ref="S18" si="21">SUM(S15:S17)</f>
        <v>0</v>
      </c>
      <c r="T18" s="353">
        <f t="shared" ref="T18:V18" si="22">SUM(T15:T17)</f>
        <v>0</v>
      </c>
      <c r="U18" s="353">
        <f t="shared" si="22"/>
        <v>0</v>
      </c>
      <c r="V18" s="466">
        <f t="shared" si="22"/>
        <v>0</v>
      </c>
      <c r="W18" s="352">
        <f t="shared" ref="W18" si="23">SUM(W15:W17)</f>
        <v>0</v>
      </c>
      <c r="X18" s="353">
        <f t="shared" ref="X18:Z18" si="24">SUM(X15:X17)</f>
        <v>0</v>
      </c>
      <c r="Y18" s="353">
        <f t="shared" si="24"/>
        <v>0</v>
      </c>
      <c r="Z18" s="466">
        <f t="shared" si="24"/>
        <v>0</v>
      </c>
      <c r="AA18" s="352">
        <f t="shared" ref="AA18" si="25">SUM(AA15:AA17)</f>
        <v>5628</v>
      </c>
      <c r="AB18" s="353">
        <f t="shared" ref="AB18:AD18" si="26">SUM(AB15:AB17)</f>
        <v>5372</v>
      </c>
      <c r="AC18" s="353">
        <f t="shared" si="26"/>
        <v>4661</v>
      </c>
      <c r="AD18" s="466">
        <f t="shared" si="26"/>
        <v>3002</v>
      </c>
    </row>
    <row r="19" spans="1:30" s="481" customFormat="1" ht="22.5" customHeight="1">
      <c r="A19" s="465" t="s">
        <v>930</v>
      </c>
      <c r="B19" s="334" t="s">
        <v>807</v>
      </c>
      <c r="C19" s="353">
        <v>49</v>
      </c>
      <c r="D19" s="353">
        <v>92</v>
      </c>
      <c r="E19" s="353">
        <v>100</v>
      </c>
      <c r="F19" s="466">
        <v>52</v>
      </c>
      <c r="G19" s="353"/>
      <c r="H19" s="353"/>
      <c r="I19" s="353"/>
      <c r="J19" s="466"/>
      <c r="K19" s="353">
        <v>3882</v>
      </c>
      <c r="L19" s="353">
        <v>3559</v>
      </c>
      <c r="M19" s="353">
        <v>3407</v>
      </c>
      <c r="N19" s="466">
        <v>2569</v>
      </c>
      <c r="O19" s="353"/>
      <c r="P19" s="353"/>
      <c r="Q19" s="353"/>
      <c r="R19" s="466"/>
      <c r="S19" s="353"/>
      <c r="T19" s="353"/>
      <c r="U19" s="353"/>
      <c r="V19" s="466"/>
      <c r="W19" s="353"/>
      <c r="X19" s="353"/>
      <c r="Y19" s="353"/>
      <c r="Z19" s="466"/>
      <c r="AA19" s="353">
        <f t="shared" ref="AA19:AD20" si="27">+W19+S19+O19+K19+G19+C19</f>
        <v>3931</v>
      </c>
      <c r="AB19" s="353">
        <f t="shared" si="27"/>
        <v>3651</v>
      </c>
      <c r="AC19" s="353">
        <f t="shared" si="27"/>
        <v>3507</v>
      </c>
      <c r="AD19" s="466">
        <f t="shared" si="27"/>
        <v>2621</v>
      </c>
    </row>
    <row r="20" spans="1:30" s="481" customFormat="1" ht="22.5" customHeight="1">
      <c r="A20" s="465"/>
      <c r="B20" s="293" t="s">
        <v>1192</v>
      </c>
      <c r="C20" s="353"/>
      <c r="D20" s="353"/>
      <c r="E20" s="353"/>
      <c r="F20" s="466"/>
      <c r="G20" s="353"/>
      <c r="H20" s="353"/>
      <c r="I20" s="353"/>
      <c r="J20" s="466"/>
      <c r="K20" s="353">
        <v>294</v>
      </c>
      <c r="L20" s="353">
        <v>285</v>
      </c>
      <c r="M20" s="353">
        <v>368</v>
      </c>
      <c r="N20" s="466">
        <v>159</v>
      </c>
      <c r="O20" s="353"/>
      <c r="P20" s="353"/>
      <c r="Q20" s="353"/>
      <c r="R20" s="466"/>
      <c r="S20" s="353"/>
      <c r="T20" s="353"/>
      <c r="U20" s="353"/>
      <c r="V20" s="466"/>
      <c r="W20" s="353"/>
      <c r="X20" s="353"/>
      <c r="Y20" s="353"/>
      <c r="Z20" s="466"/>
      <c r="AA20" s="353">
        <f t="shared" si="27"/>
        <v>294</v>
      </c>
      <c r="AB20" s="353">
        <f t="shared" si="27"/>
        <v>285</v>
      </c>
      <c r="AC20" s="353">
        <f t="shared" si="27"/>
        <v>368</v>
      </c>
      <c r="AD20" s="466">
        <f t="shared" si="27"/>
        <v>159</v>
      </c>
    </row>
    <row r="21" spans="1:30" s="481" customFormat="1" ht="22.5" customHeight="1">
      <c r="A21" s="465"/>
      <c r="B21" s="334" t="s">
        <v>625</v>
      </c>
      <c r="C21" s="353">
        <v>49</v>
      </c>
      <c r="D21" s="353">
        <v>92</v>
      </c>
      <c r="E21" s="353">
        <f>SUM(E19:E20)</f>
        <v>100</v>
      </c>
      <c r="F21" s="466">
        <f>SUM(F19:F20)</f>
        <v>52</v>
      </c>
      <c r="G21" s="352">
        <f t="shared" ref="G21" si="28">SUM(G19:G20)</f>
        <v>0</v>
      </c>
      <c r="H21" s="353">
        <f t="shared" ref="H21:J21" si="29">SUM(H19:H20)</f>
        <v>0</v>
      </c>
      <c r="I21" s="353">
        <f t="shared" si="29"/>
        <v>0</v>
      </c>
      <c r="J21" s="466">
        <f t="shared" si="29"/>
        <v>0</v>
      </c>
      <c r="K21" s="353">
        <v>4176</v>
      </c>
      <c r="L21" s="353">
        <v>3844</v>
      </c>
      <c r="M21" s="353">
        <f t="shared" ref="M21:N21" si="30">SUM(M19:M20)</f>
        <v>3775</v>
      </c>
      <c r="N21" s="466">
        <f t="shared" si="30"/>
        <v>2728</v>
      </c>
      <c r="O21" s="352">
        <f t="shared" ref="O21" si="31">SUM(O19:O20)</f>
        <v>0</v>
      </c>
      <c r="P21" s="353">
        <f t="shared" ref="P21:R21" si="32">SUM(P19:P20)</f>
        <v>0</v>
      </c>
      <c r="Q21" s="353">
        <f t="shared" si="32"/>
        <v>0</v>
      </c>
      <c r="R21" s="466">
        <f t="shared" si="32"/>
        <v>0</v>
      </c>
      <c r="S21" s="352">
        <f t="shared" ref="S21" si="33">SUM(S19:S20)</f>
        <v>0</v>
      </c>
      <c r="T21" s="353">
        <f t="shared" ref="T21:V21" si="34">SUM(T19:T20)</f>
        <v>0</v>
      </c>
      <c r="U21" s="353">
        <f t="shared" si="34"/>
        <v>0</v>
      </c>
      <c r="V21" s="466">
        <f t="shared" si="34"/>
        <v>0</v>
      </c>
      <c r="W21" s="352">
        <f t="shared" ref="W21" si="35">SUM(W19:W20)</f>
        <v>0</v>
      </c>
      <c r="X21" s="353">
        <f t="shared" ref="X21:Z21" si="36">SUM(X19:X20)</f>
        <v>0</v>
      </c>
      <c r="Y21" s="353">
        <f t="shared" si="36"/>
        <v>0</v>
      </c>
      <c r="Z21" s="466">
        <f t="shared" si="36"/>
        <v>0</v>
      </c>
      <c r="AA21" s="352">
        <f t="shared" ref="AA21" si="37">SUM(AA19:AA20)</f>
        <v>4225</v>
      </c>
      <c r="AB21" s="353">
        <f t="shared" ref="AB21:AD21" si="38">SUM(AB19:AB20)</f>
        <v>3936</v>
      </c>
      <c r="AC21" s="353">
        <f t="shared" si="38"/>
        <v>3875</v>
      </c>
      <c r="AD21" s="466">
        <f t="shared" si="38"/>
        <v>2780</v>
      </c>
    </row>
    <row r="22" spans="1:30" s="481" customFormat="1" ht="22.5" customHeight="1">
      <c r="A22" s="465" t="s">
        <v>524</v>
      </c>
      <c r="B22" s="334" t="s">
        <v>808</v>
      </c>
      <c r="C22" s="353">
        <v>93</v>
      </c>
      <c r="D22" s="353">
        <v>88</v>
      </c>
      <c r="E22" s="353">
        <v>76</v>
      </c>
      <c r="F22" s="466">
        <v>5</v>
      </c>
      <c r="G22" s="353"/>
      <c r="H22" s="353"/>
      <c r="I22" s="353"/>
      <c r="J22" s="466"/>
      <c r="K22" s="353">
        <v>4096</v>
      </c>
      <c r="L22" s="353">
        <v>3500</v>
      </c>
      <c r="M22" s="353">
        <v>3169</v>
      </c>
      <c r="N22" s="466">
        <v>2581</v>
      </c>
      <c r="O22" s="353"/>
      <c r="P22" s="353"/>
      <c r="Q22" s="353"/>
      <c r="R22" s="466"/>
      <c r="S22" s="353"/>
      <c r="T22" s="353"/>
      <c r="U22" s="353"/>
      <c r="V22" s="466"/>
      <c r="W22" s="353"/>
      <c r="X22" s="353"/>
      <c r="Y22" s="353"/>
      <c r="Z22" s="466"/>
      <c r="AA22" s="353">
        <f>+W22+S22+O22+K22+G22+C22</f>
        <v>4189</v>
      </c>
      <c r="AB22" s="353">
        <f>+X22+T22+P22+L22+H22+D22</f>
        <v>3588</v>
      </c>
      <c r="AC22" s="353">
        <f>+Y22+U22+Q22+M22+I22+E22</f>
        <v>3245</v>
      </c>
      <c r="AD22" s="466">
        <f>+Z22+V22+R22+N22+J22+F22</f>
        <v>2586</v>
      </c>
    </row>
    <row r="23" spans="1:30" s="481" customFormat="1" ht="22.5" customHeight="1">
      <c r="A23" s="475" t="s">
        <v>931</v>
      </c>
      <c r="B23" s="954"/>
      <c r="C23" s="473">
        <v>243</v>
      </c>
      <c r="D23" s="473">
        <v>747</v>
      </c>
      <c r="E23" s="473">
        <f>+E14+E18+E21+E22</f>
        <v>848</v>
      </c>
      <c r="F23" s="474">
        <f>+F14+F18+F21+F22</f>
        <v>214</v>
      </c>
      <c r="G23" s="473">
        <f t="shared" ref="G23" si="39">+G14+G18+G21+G22</f>
        <v>0</v>
      </c>
      <c r="H23" s="473">
        <f t="shared" ref="H23:J23" si="40">+H14+H18+H21+H22</f>
        <v>0</v>
      </c>
      <c r="I23" s="473">
        <f t="shared" si="40"/>
        <v>0</v>
      </c>
      <c r="J23" s="474">
        <f t="shared" si="40"/>
        <v>0</v>
      </c>
      <c r="K23" s="473">
        <v>30860</v>
      </c>
      <c r="L23" s="473">
        <v>28550</v>
      </c>
      <c r="M23" s="473">
        <f t="shared" ref="M23:N23" si="41">+M14+M18+M21+M22</f>
        <v>29094</v>
      </c>
      <c r="N23" s="474">
        <f t="shared" si="41"/>
        <v>17972</v>
      </c>
      <c r="O23" s="473">
        <f t="shared" ref="O23" si="42">+O14+O18+O21+O22</f>
        <v>0</v>
      </c>
      <c r="P23" s="473">
        <f t="shared" ref="P23:R23" si="43">+P14+P18+P21+P22</f>
        <v>0</v>
      </c>
      <c r="Q23" s="473">
        <f t="shared" si="43"/>
        <v>0</v>
      </c>
      <c r="R23" s="474">
        <f t="shared" si="43"/>
        <v>0</v>
      </c>
      <c r="S23" s="473">
        <f t="shared" ref="S23" si="44">+S14+S18+S21+S22</f>
        <v>0</v>
      </c>
      <c r="T23" s="473">
        <f t="shared" ref="T23:V23" si="45">+T14+T18+T21+T22</f>
        <v>0</v>
      </c>
      <c r="U23" s="473">
        <f t="shared" si="45"/>
        <v>0</v>
      </c>
      <c r="V23" s="474">
        <f t="shared" si="45"/>
        <v>0</v>
      </c>
      <c r="W23" s="473">
        <f t="shared" ref="W23" si="46">+W14+W18+W21+W22</f>
        <v>0</v>
      </c>
      <c r="X23" s="473">
        <f t="shared" ref="X23:Z23" si="47">+X14+X18+X21+X22</f>
        <v>0</v>
      </c>
      <c r="Y23" s="473">
        <f t="shared" si="47"/>
        <v>0</v>
      </c>
      <c r="Z23" s="474">
        <f t="shared" si="47"/>
        <v>0</v>
      </c>
      <c r="AA23" s="473">
        <f t="shared" ref="AA23" si="48">+AA14+AA18+AA21+AA22</f>
        <v>31103</v>
      </c>
      <c r="AB23" s="473">
        <f t="shared" ref="AB23:AD23" si="49">+AB14+AB18+AB21+AB22</f>
        <v>29297</v>
      </c>
      <c r="AC23" s="473">
        <f t="shared" si="49"/>
        <v>29942</v>
      </c>
      <c r="AD23" s="474">
        <f t="shared" si="49"/>
        <v>18186</v>
      </c>
    </row>
    <row r="24" spans="1:30" s="481" customFormat="1" ht="22.5" customHeight="1">
      <c r="A24" s="465" t="s">
        <v>932</v>
      </c>
      <c r="B24" s="293" t="s">
        <v>1325</v>
      </c>
      <c r="C24" s="353">
        <v>192</v>
      </c>
      <c r="D24" s="353">
        <v>439</v>
      </c>
      <c r="E24" s="353">
        <v>404</v>
      </c>
      <c r="F24" s="466">
        <v>114</v>
      </c>
      <c r="G24" s="353"/>
      <c r="H24" s="353"/>
      <c r="I24" s="353"/>
      <c r="J24" s="466"/>
      <c r="K24" s="353">
        <v>8399</v>
      </c>
      <c r="L24" s="353">
        <v>8713</v>
      </c>
      <c r="M24" s="353">
        <v>8514</v>
      </c>
      <c r="N24" s="466">
        <v>3726</v>
      </c>
      <c r="O24" s="353"/>
      <c r="P24" s="353"/>
      <c r="Q24" s="353"/>
      <c r="R24" s="466"/>
      <c r="S24" s="353"/>
      <c r="T24" s="353"/>
      <c r="U24" s="353"/>
      <c r="V24" s="466"/>
      <c r="W24" s="353"/>
      <c r="X24" s="353"/>
      <c r="Y24" s="353"/>
      <c r="Z24" s="466"/>
      <c r="AA24" s="353">
        <f t="shared" ref="AA24:AD30" si="50">+W24+S24+O24+K24+G24+C24</f>
        <v>8591</v>
      </c>
      <c r="AB24" s="353">
        <f t="shared" si="50"/>
        <v>9152</v>
      </c>
      <c r="AC24" s="353">
        <f t="shared" si="50"/>
        <v>8918</v>
      </c>
      <c r="AD24" s="466">
        <f t="shared" si="50"/>
        <v>3840</v>
      </c>
    </row>
    <row r="25" spans="1:30" s="481" customFormat="1" ht="22.5" customHeight="1">
      <c r="A25" s="465"/>
      <c r="B25" s="293" t="s">
        <v>1324</v>
      </c>
      <c r="C25" s="353"/>
      <c r="D25" s="353">
        <v>6</v>
      </c>
      <c r="E25" s="353"/>
      <c r="F25" s="466"/>
      <c r="G25" s="353"/>
      <c r="H25" s="353"/>
      <c r="I25" s="353"/>
      <c r="J25" s="466"/>
      <c r="K25" s="353">
        <v>8764</v>
      </c>
      <c r="L25" s="353">
        <v>8652</v>
      </c>
      <c r="M25" s="353">
        <v>8294</v>
      </c>
      <c r="N25" s="466">
        <v>4610</v>
      </c>
      <c r="O25" s="353"/>
      <c r="P25" s="353"/>
      <c r="Q25" s="353"/>
      <c r="R25" s="466"/>
      <c r="S25" s="353"/>
      <c r="T25" s="353"/>
      <c r="U25" s="353"/>
      <c r="V25" s="466"/>
      <c r="W25" s="353"/>
      <c r="X25" s="353"/>
      <c r="Y25" s="353"/>
      <c r="Z25" s="466"/>
      <c r="AA25" s="353">
        <f t="shared" si="50"/>
        <v>8764</v>
      </c>
      <c r="AB25" s="353">
        <f t="shared" si="50"/>
        <v>8658</v>
      </c>
      <c r="AC25" s="353">
        <f t="shared" si="50"/>
        <v>8294</v>
      </c>
      <c r="AD25" s="466">
        <f t="shared" si="50"/>
        <v>4610</v>
      </c>
    </row>
    <row r="26" spans="1:30" s="481" customFormat="1" ht="22.5" customHeight="1">
      <c r="A26" s="465"/>
      <c r="B26" s="334" t="s">
        <v>532</v>
      </c>
      <c r="C26" s="353"/>
      <c r="D26" s="353"/>
      <c r="E26" s="353"/>
      <c r="F26" s="466"/>
      <c r="G26" s="353"/>
      <c r="H26" s="353"/>
      <c r="I26" s="353"/>
      <c r="J26" s="466"/>
      <c r="K26" s="353">
        <v>849</v>
      </c>
      <c r="L26" s="353">
        <v>806</v>
      </c>
      <c r="M26" s="353">
        <v>730</v>
      </c>
      <c r="N26" s="466">
        <v>338</v>
      </c>
      <c r="O26" s="353"/>
      <c r="P26" s="353"/>
      <c r="Q26" s="353"/>
      <c r="R26" s="466"/>
      <c r="S26" s="353"/>
      <c r="T26" s="353"/>
      <c r="U26" s="353"/>
      <c r="V26" s="466"/>
      <c r="W26" s="353"/>
      <c r="X26" s="353"/>
      <c r="Y26" s="353"/>
      <c r="Z26" s="466"/>
      <c r="AA26" s="353">
        <f t="shared" si="50"/>
        <v>849</v>
      </c>
      <c r="AB26" s="353">
        <f t="shared" si="50"/>
        <v>806</v>
      </c>
      <c r="AC26" s="353">
        <f t="shared" si="50"/>
        <v>730</v>
      </c>
      <c r="AD26" s="466">
        <f t="shared" si="50"/>
        <v>338</v>
      </c>
    </row>
    <row r="27" spans="1:30" s="481" customFormat="1" ht="22.5" customHeight="1">
      <c r="A27" s="465"/>
      <c r="B27" s="293" t="s">
        <v>1500</v>
      </c>
      <c r="C27" s="353"/>
      <c r="D27" s="353"/>
      <c r="E27" s="353"/>
      <c r="F27" s="466"/>
      <c r="G27" s="353"/>
      <c r="H27" s="353"/>
      <c r="I27" s="353"/>
      <c r="J27" s="466"/>
      <c r="K27" s="353"/>
      <c r="L27" s="353"/>
      <c r="M27" s="353"/>
      <c r="N27" s="466"/>
      <c r="O27" s="353"/>
      <c r="P27" s="353"/>
      <c r="Q27" s="353"/>
      <c r="R27" s="466"/>
      <c r="S27" s="353"/>
      <c r="T27" s="353"/>
      <c r="U27" s="353"/>
      <c r="V27" s="466"/>
      <c r="W27" s="353"/>
      <c r="X27" s="353"/>
      <c r="Y27" s="353"/>
      <c r="Z27" s="466"/>
      <c r="AA27" s="353">
        <f t="shared" ref="AA27:AA29" si="51">+W27+S27+O27+K27+G27+C27</f>
        <v>0</v>
      </c>
      <c r="AB27" s="353">
        <f t="shared" ref="AB27:AB29" si="52">+X27+T27+P27+L27+H27+D27</f>
        <v>0</v>
      </c>
      <c r="AC27" s="353">
        <f t="shared" ref="AC27:AC29" si="53">+Y27+U27+Q27+M27+I27+E27</f>
        <v>0</v>
      </c>
      <c r="AD27" s="466">
        <f t="shared" si="50"/>
        <v>0</v>
      </c>
    </row>
    <row r="28" spans="1:30" s="481" customFormat="1" ht="22.5" customHeight="1">
      <c r="A28" s="465"/>
      <c r="B28" s="293" t="s">
        <v>1191</v>
      </c>
      <c r="C28" s="353"/>
      <c r="D28" s="353"/>
      <c r="E28" s="353"/>
      <c r="F28" s="466"/>
      <c r="G28" s="353"/>
      <c r="H28" s="353"/>
      <c r="I28" s="353"/>
      <c r="J28" s="466"/>
      <c r="K28" s="353"/>
      <c r="L28" s="353"/>
      <c r="M28" s="353"/>
      <c r="N28" s="466"/>
      <c r="O28" s="353"/>
      <c r="P28" s="353"/>
      <c r="Q28" s="353"/>
      <c r="R28" s="466"/>
      <c r="S28" s="353"/>
      <c r="T28" s="353"/>
      <c r="U28" s="353"/>
      <c r="V28" s="466"/>
      <c r="W28" s="353"/>
      <c r="X28" s="353"/>
      <c r="Y28" s="353"/>
      <c r="Z28" s="466"/>
      <c r="AA28" s="353">
        <f t="shared" si="51"/>
        <v>0</v>
      </c>
      <c r="AB28" s="353">
        <f t="shared" si="52"/>
        <v>0</v>
      </c>
      <c r="AC28" s="353">
        <f t="shared" si="53"/>
        <v>0</v>
      </c>
      <c r="AD28" s="466">
        <f t="shared" si="50"/>
        <v>0</v>
      </c>
    </row>
    <row r="29" spans="1:30" s="481" customFormat="1" ht="22.5" customHeight="1">
      <c r="A29" s="465"/>
      <c r="B29" s="293" t="s">
        <v>1499</v>
      </c>
      <c r="C29" s="353"/>
      <c r="D29" s="353"/>
      <c r="E29" s="353"/>
      <c r="F29" s="466"/>
      <c r="G29" s="353"/>
      <c r="H29" s="353"/>
      <c r="I29" s="353"/>
      <c r="J29" s="466"/>
      <c r="K29" s="353"/>
      <c r="L29" s="353"/>
      <c r="M29" s="353"/>
      <c r="N29" s="466"/>
      <c r="O29" s="353"/>
      <c r="P29" s="353"/>
      <c r="Q29" s="353"/>
      <c r="R29" s="466"/>
      <c r="S29" s="353"/>
      <c r="T29" s="353"/>
      <c r="U29" s="353"/>
      <c r="V29" s="466"/>
      <c r="W29" s="353"/>
      <c r="X29" s="353"/>
      <c r="Y29" s="353"/>
      <c r="Z29" s="466"/>
      <c r="AA29" s="353">
        <f t="shared" si="51"/>
        <v>0</v>
      </c>
      <c r="AB29" s="353">
        <f t="shared" si="52"/>
        <v>0</v>
      </c>
      <c r="AC29" s="353">
        <f t="shared" si="53"/>
        <v>0</v>
      </c>
      <c r="AD29" s="466">
        <f t="shared" si="50"/>
        <v>0</v>
      </c>
    </row>
    <row r="30" spans="1:30" s="481" customFormat="1" ht="22.5" customHeight="1">
      <c r="A30" s="465"/>
      <c r="B30" s="334" t="s">
        <v>812</v>
      </c>
      <c r="C30" s="353">
        <v>14</v>
      </c>
      <c r="D30" s="353">
        <v>15</v>
      </c>
      <c r="E30" s="353">
        <v>36</v>
      </c>
      <c r="F30" s="466">
        <v>7</v>
      </c>
      <c r="G30" s="353"/>
      <c r="H30" s="353"/>
      <c r="I30" s="353"/>
      <c r="J30" s="466"/>
      <c r="K30" s="353">
        <v>2258</v>
      </c>
      <c r="L30" s="353">
        <v>2138</v>
      </c>
      <c r="M30" s="353">
        <v>2154</v>
      </c>
      <c r="N30" s="466">
        <v>1151</v>
      </c>
      <c r="O30" s="353"/>
      <c r="P30" s="353"/>
      <c r="Q30" s="353"/>
      <c r="R30" s="466"/>
      <c r="S30" s="353"/>
      <c r="T30" s="353"/>
      <c r="U30" s="353"/>
      <c r="V30" s="466"/>
      <c r="W30" s="353"/>
      <c r="X30" s="353"/>
      <c r="Y30" s="353"/>
      <c r="Z30" s="466"/>
      <c r="AA30" s="353">
        <f t="shared" si="50"/>
        <v>2272</v>
      </c>
      <c r="AB30" s="353">
        <f t="shared" si="50"/>
        <v>2153</v>
      </c>
      <c r="AC30" s="353">
        <f t="shared" si="50"/>
        <v>2190</v>
      </c>
      <c r="AD30" s="466">
        <f t="shared" si="50"/>
        <v>1158</v>
      </c>
    </row>
    <row r="31" spans="1:30" s="481" customFormat="1" ht="22.5" customHeight="1">
      <c r="A31" s="465"/>
      <c r="B31" s="334" t="s">
        <v>625</v>
      </c>
      <c r="C31" s="353">
        <v>206</v>
      </c>
      <c r="D31" s="353">
        <v>460</v>
      </c>
      <c r="E31" s="353">
        <f>SUM(E24:E30)</f>
        <v>440</v>
      </c>
      <c r="F31" s="466">
        <f>SUM(F24:F30)</f>
        <v>121</v>
      </c>
      <c r="G31" s="352">
        <f t="shared" ref="G31:AD31" si="54">SUM(G24:G30)</f>
        <v>0</v>
      </c>
      <c r="H31" s="353">
        <f t="shared" si="54"/>
        <v>0</v>
      </c>
      <c r="I31" s="353">
        <f t="shared" si="54"/>
        <v>0</v>
      </c>
      <c r="J31" s="466">
        <f t="shared" si="54"/>
        <v>0</v>
      </c>
      <c r="K31" s="353">
        <v>20270</v>
      </c>
      <c r="L31" s="353">
        <v>20309</v>
      </c>
      <c r="M31" s="353">
        <f t="shared" ref="M31" si="55">SUM(M24:M30)</f>
        <v>19692</v>
      </c>
      <c r="N31" s="466">
        <f t="shared" si="54"/>
        <v>9825</v>
      </c>
      <c r="O31" s="352">
        <f t="shared" si="54"/>
        <v>0</v>
      </c>
      <c r="P31" s="353">
        <f t="shared" si="54"/>
        <v>0</v>
      </c>
      <c r="Q31" s="353">
        <f t="shared" si="54"/>
        <v>0</v>
      </c>
      <c r="R31" s="466">
        <f t="shared" si="54"/>
        <v>0</v>
      </c>
      <c r="S31" s="352">
        <f t="shared" si="54"/>
        <v>0</v>
      </c>
      <c r="T31" s="353">
        <f t="shared" si="54"/>
        <v>0</v>
      </c>
      <c r="U31" s="353">
        <f t="shared" si="54"/>
        <v>0</v>
      </c>
      <c r="V31" s="466">
        <f t="shared" si="54"/>
        <v>0</v>
      </c>
      <c r="W31" s="352">
        <f t="shared" si="54"/>
        <v>0</v>
      </c>
      <c r="X31" s="353">
        <f t="shared" si="54"/>
        <v>0</v>
      </c>
      <c r="Y31" s="353">
        <f t="shared" si="54"/>
        <v>0</v>
      </c>
      <c r="Z31" s="466">
        <f t="shared" si="54"/>
        <v>0</v>
      </c>
      <c r="AA31" s="352">
        <f t="shared" si="54"/>
        <v>20476</v>
      </c>
      <c r="AB31" s="353">
        <f t="shared" si="54"/>
        <v>20769</v>
      </c>
      <c r="AC31" s="353">
        <f t="shared" si="54"/>
        <v>20132</v>
      </c>
      <c r="AD31" s="466">
        <f t="shared" si="54"/>
        <v>9946</v>
      </c>
    </row>
    <row r="32" spans="1:30" s="481" customFormat="1" ht="22.5" customHeight="1">
      <c r="A32" s="465" t="s">
        <v>527</v>
      </c>
      <c r="B32" s="334" t="s">
        <v>813</v>
      </c>
      <c r="C32" s="353"/>
      <c r="D32" s="353">
        <v>27</v>
      </c>
      <c r="E32" s="353">
        <v>185</v>
      </c>
      <c r="F32" s="466">
        <v>51</v>
      </c>
      <c r="G32" s="353"/>
      <c r="H32" s="353"/>
      <c r="I32" s="353"/>
      <c r="J32" s="466"/>
      <c r="K32" s="353">
        <v>4764</v>
      </c>
      <c r="L32" s="353">
        <v>4722</v>
      </c>
      <c r="M32" s="353">
        <v>4269</v>
      </c>
      <c r="N32" s="466">
        <v>2591</v>
      </c>
      <c r="O32" s="353"/>
      <c r="P32" s="353"/>
      <c r="Q32" s="353"/>
      <c r="R32" s="466"/>
      <c r="S32" s="353"/>
      <c r="T32" s="353"/>
      <c r="U32" s="353"/>
      <c r="V32" s="466"/>
      <c r="W32" s="353"/>
      <c r="X32" s="353"/>
      <c r="Y32" s="353"/>
      <c r="Z32" s="466"/>
      <c r="AA32" s="353">
        <f t="shared" ref="AA32:AD35" si="56">+W32+S32+O32+K32+G32+C32</f>
        <v>4764</v>
      </c>
      <c r="AB32" s="353">
        <f t="shared" si="56"/>
        <v>4749</v>
      </c>
      <c r="AC32" s="353">
        <f t="shared" si="56"/>
        <v>4454</v>
      </c>
      <c r="AD32" s="466">
        <f t="shared" si="56"/>
        <v>2642</v>
      </c>
    </row>
    <row r="33" spans="1:30" s="481" customFormat="1" ht="22.5" customHeight="1">
      <c r="A33" s="465"/>
      <c r="B33" s="293" t="s">
        <v>1455</v>
      </c>
      <c r="C33" s="353"/>
      <c r="D33" s="353"/>
      <c r="E33" s="353">
        <v>7</v>
      </c>
      <c r="F33" s="466">
        <v>5</v>
      </c>
      <c r="G33" s="353"/>
      <c r="H33" s="353"/>
      <c r="I33" s="353"/>
      <c r="J33" s="466"/>
      <c r="K33" s="353">
        <v>156</v>
      </c>
      <c r="L33" s="353">
        <v>581</v>
      </c>
      <c r="M33" s="353">
        <v>495</v>
      </c>
      <c r="N33" s="466">
        <v>339</v>
      </c>
      <c r="O33" s="353"/>
      <c r="P33" s="353"/>
      <c r="Q33" s="353"/>
      <c r="R33" s="466"/>
      <c r="S33" s="353"/>
      <c r="T33" s="353"/>
      <c r="U33" s="353"/>
      <c r="V33" s="466"/>
      <c r="W33" s="353"/>
      <c r="X33" s="353"/>
      <c r="Y33" s="353"/>
      <c r="Z33" s="466"/>
      <c r="AA33" s="353">
        <f t="shared" si="56"/>
        <v>156</v>
      </c>
      <c r="AB33" s="353">
        <f t="shared" si="56"/>
        <v>581</v>
      </c>
      <c r="AC33" s="353">
        <f t="shared" si="56"/>
        <v>502</v>
      </c>
      <c r="AD33" s="466">
        <f t="shared" si="56"/>
        <v>344</v>
      </c>
    </row>
    <row r="34" spans="1:30" s="481" customFormat="1" ht="22.5" customHeight="1">
      <c r="A34" s="465"/>
      <c r="B34" s="293" t="s">
        <v>1182</v>
      </c>
      <c r="C34" s="353">
        <v>3</v>
      </c>
      <c r="D34" s="353">
        <v>12</v>
      </c>
      <c r="E34" s="353">
        <v>7</v>
      </c>
      <c r="F34" s="466">
        <v>4</v>
      </c>
      <c r="G34" s="353"/>
      <c r="H34" s="353"/>
      <c r="I34" s="353"/>
      <c r="J34" s="466"/>
      <c r="K34" s="353">
        <v>681</v>
      </c>
      <c r="L34" s="353">
        <v>706</v>
      </c>
      <c r="M34" s="353">
        <v>705</v>
      </c>
      <c r="N34" s="466">
        <v>554</v>
      </c>
      <c r="O34" s="353"/>
      <c r="P34" s="353"/>
      <c r="Q34" s="353"/>
      <c r="R34" s="466"/>
      <c r="S34" s="353"/>
      <c r="T34" s="353"/>
      <c r="U34" s="353"/>
      <c r="V34" s="466"/>
      <c r="W34" s="353"/>
      <c r="X34" s="353"/>
      <c r="Y34" s="353"/>
      <c r="Z34" s="466"/>
      <c r="AA34" s="353">
        <f t="shared" si="56"/>
        <v>684</v>
      </c>
      <c r="AB34" s="353">
        <f t="shared" si="56"/>
        <v>718</v>
      </c>
      <c r="AC34" s="353">
        <f t="shared" si="56"/>
        <v>712</v>
      </c>
      <c r="AD34" s="466">
        <f t="shared" si="56"/>
        <v>558</v>
      </c>
    </row>
    <row r="35" spans="1:30" s="481" customFormat="1" ht="22.5" customHeight="1">
      <c r="A35" s="465"/>
      <c r="B35" s="293" t="s">
        <v>1237</v>
      </c>
      <c r="C35" s="353"/>
      <c r="D35" s="353"/>
      <c r="E35" s="353"/>
      <c r="F35" s="466"/>
      <c r="G35" s="353"/>
      <c r="H35" s="353"/>
      <c r="I35" s="353"/>
      <c r="J35" s="466"/>
      <c r="K35" s="353"/>
      <c r="L35" s="353"/>
      <c r="M35" s="353"/>
      <c r="N35" s="466"/>
      <c r="O35" s="353"/>
      <c r="P35" s="353"/>
      <c r="Q35" s="353"/>
      <c r="R35" s="466"/>
      <c r="S35" s="353"/>
      <c r="T35" s="353"/>
      <c r="U35" s="353"/>
      <c r="V35" s="466"/>
      <c r="W35" s="353"/>
      <c r="X35" s="353"/>
      <c r="Y35" s="353"/>
      <c r="Z35" s="466"/>
      <c r="AA35" s="353">
        <f t="shared" ref="AA35" si="57">+W35+S35+O35+K35+G35+C35</f>
        <v>0</v>
      </c>
      <c r="AB35" s="353">
        <f t="shared" ref="AB35" si="58">+X35+T35+P35+L35+H35+D35</f>
        <v>0</v>
      </c>
      <c r="AC35" s="353">
        <f t="shared" ref="AC35" si="59">+Y35+U35+Q35+M35+I35+E35</f>
        <v>0</v>
      </c>
      <c r="AD35" s="466">
        <f t="shared" si="56"/>
        <v>0</v>
      </c>
    </row>
    <row r="36" spans="1:30" s="481" customFormat="1" ht="22.5" customHeight="1">
      <c r="A36" s="465"/>
      <c r="B36" s="334" t="s">
        <v>933</v>
      </c>
      <c r="C36" s="353"/>
      <c r="D36" s="353"/>
      <c r="E36" s="353"/>
      <c r="F36" s="466"/>
      <c r="G36" s="353"/>
      <c r="H36" s="353"/>
      <c r="I36" s="353"/>
      <c r="J36" s="466"/>
      <c r="K36" s="353"/>
      <c r="L36" s="353"/>
      <c r="M36" s="353"/>
      <c r="N36" s="466"/>
      <c r="O36" s="353"/>
      <c r="P36" s="353"/>
      <c r="Q36" s="353"/>
      <c r="R36" s="466"/>
      <c r="S36" s="353"/>
      <c r="T36" s="353"/>
      <c r="U36" s="353"/>
      <c r="V36" s="466"/>
      <c r="W36" s="353"/>
      <c r="X36" s="353"/>
      <c r="Y36" s="353"/>
      <c r="Z36" s="466"/>
      <c r="AA36" s="353">
        <f>+W36+S36+O36+K36+G36+C36</f>
        <v>0</v>
      </c>
      <c r="AB36" s="353">
        <f>+X36+T36+P36+L36+H36+D36</f>
        <v>0</v>
      </c>
      <c r="AC36" s="353">
        <f>+Y36+U36+Q36+M36+I36+E36</f>
        <v>0</v>
      </c>
      <c r="AD36" s="466">
        <f>+Z36+V36+R36+N36+J36+F36</f>
        <v>0</v>
      </c>
    </row>
    <row r="37" spans="1:30" s="481" customFormat="1" ht="22.5" customHeight="1">
      <c r="A37" s="465"/>
      <c r="B37" s="334" t="s">
        <v>625</v>
      </c>
      <c r="C37" s="353">
        <v>3</v>
      </c>
      <c r="D37" s="353">
        <v>39</v>
      </c>
      <c r="E37" s="353">
        <f>SUM(E32:E36)</f>
        <v>199</v>
      </c>
      <c r="F37" s="466">
        <f>SUM(F32:F36)</f>
        <v>60</v>
      </c>
      <c r="G37" s="353"/>
      <c r="H37" s="353"/>
      <c r="I37" s="353"/>
      <c r="J37" s="466">
        <f>SUM(J32:J36)</f>
        <v>0</v>
      </c>
      <c r="K37" s="353">
        <v>5601</v>
      </c>
      <c r="L37" s="353">
        <v>6009</v>
      </c>
      <c r="M37" s="353">
        <f>SUM(M32:M36)</f>
        <v>5469</v>
      </c>
      <c r="N37" s="466">
        <f>SUM(N32:N36)</f>
        <v>3484</v>
      </c>
      <c r="O37" s="353">
        <v>0</v>
      </c>
      <c r="P37" s="353">
        <v>0</v>
      </c>
      <c r="Q37" s="353">
        <v>0</v>
      </c>
      <c r="R37" s="466">
        <f>SUM(R32:R36)</f>
        <v>0</v>
      </c>
      <c r="S37" s="353">
        <v>0</v>
      </c>
      <c r="T37" s="353">
        <v>0</v>
      </c>
      <c r="U37" s="353">
        <v>0</v>
      </c>
      <c r="V37" s="466">
        <f>SUM(V32:V36)</f>
        <v>0</v>
      </c>
      <c r="W37" s="353"/>
      <c r="X37" s="353"/>
      <c r="Y37" s="353"/>
      <c r="Z37" s="466">
        <f>SUM(Z32:Z36)</f>
        <v>0</v>
      </c>
      <c r="AA37" s="353">
        <f>SUM(AA32:AA36)</f>
        <v>5604</v>
      </c>
      <c r="AB37" s="353">
        <f>SUM(AB32:AB36)</f>
        <v>6048</v>
      </c>
      <c r="AC37" s="353">
        <f>SUM(AC32:AC36)</f>
        <v>5668</v>
      </c>
      <c r="AD37" s="466">
        <f>SUM(AD32:AD36)</f>
        <v>3544</v>
      </c>
    </row>
    <row r="38" spans="1:30" s="481" customFormat="1" ht="22.5" customHeight="1">
      <c r="A38" s="465" t="s">
        <v>528</v>
      </c>
      <c r="B38" s="293" t="s">
        <v>629</v>
      </c>
      <c r="C38" s="353">
        <v>31</v>
      </c>
      <c r="D38" s="353">
        <v>62</v>
      </c>
      <c r="E38" s="353">
        <v>67</v>
      </c>
      <c r="F38" s="466">
        <v>7</v>
      </c>
      <c r="G38" s="353"/>
      <c r="H38" s="353"/>
      <c r="I38" s="353"/>
      <c r="J38" s="466"/>
      <c r="K38" s="353">
        <v>4310</v>
      </c>
      <c r="L38" s="353">
        <v>4826</v>
      </c>
      <c r="M38" s="353">
        <v>4497</v>
      </c>
      <c r="N38" s="466">
        <v>3120</v>
      </c>
      <c r="O38" s="353"/>
      <c r="P38" s="353"/>
      <c r="Q38" s="353"/>
      <c r="R38" s="466"/>
      <c r="S38" s="353"/>
      <c r="T38" s="353"/>
      <c r="U38" s="353"/>
      <c r="V38" s="466"/>
      <c r="W38" s="353"/>
      <c r="X38" s="353"/>
      <c r="Y38" s="353"/>
      <c r="Z38" s="466"/>
      <c r="AA38" s="353">
        <f t="shared" ref="AA38:AD40" si="60">+W38+S38+O38+K38+G38+C38</f>
        <v>4341</v>
      </c>
      <c r="AB38" s="353">
        <f t="shared" si="60"/>
        <v>4888</v>
      </c>
      <c r="AC38" s="353">
        <f t="shared" si="60"/>
        <v>4564</v>
      </c>
      <c r="AD38" s="466">
        <f t="shared" si="60"/>
        <v>3127</v>
      </c>
    </row>
    <row r="39" spans="1:30" s="481" customFormat="1" ht="22.5" customHeight="1">
      <c r="A39" s="465"/>
      <c r="B39" s="334" t="s">
        <v>815</v>
      </c>
      <c r="C39" s="353"/>
      <c r="D39" s="353">
        <v>1</v>
      </c>
      <c r="E39" s="353">
        <v>2</v>
      </c>
      <c r="F39" s="466"/>
      <c r="G39" s="353"/>
      <c r="H39" s="353"/>
      <c r="I39" s="353"/>
      <c r="J39" s="466"/>
      <c r="K39" s="353">
        <v>804</v>
      </c>
      <c r="L39" s="353">
        <v>759</v>
      </c>
      <c r="M39" s="353">
        <v>832</v>
      </c>
      <c r="N39" s="466">
        <v>513</v>
      </c>
      <c r="O39" s="353"/>
      <c r="P39" s="353"/>
      <c r="Q39" s="353"/>
      <c r="R39" s="466"/>
      <c r="S39" s="353"/>
      <c r="T39" s="353"/>
      <c r="U39" s="353"/>
      <c r="V39" s="466"/>
      <c r="W39" s="353"/>
      <c r="X39" s="353"/>
      <c r="Y39" s="353"/>
      <c r="Z39" s="466"/>
      <c r="AA39" s="353">
        <f t="shared" si="60"/>
        <v>804</v>
      </c>
      <c r="AB39" s="353">
        <f t="shared" si="60"/>
        <v>760</v>
      </c>
      <c r="AC39" s="353">
        <f t="shared" si="60"/>
        <v>834</v>
      </c>
      <c r="AD39" s="466">
        <f t="shared" si="60"/>
        <v>513</v>
      </c>
    </row>
    <row r="40" spans="1:30" s="481" customFormat="1" ht="22.5" customHeight="1">
      <c r="A40" s="465"/>
      <c r="B40" s="293" t="s">
        <v>1183</v>
      </c>
      <c r="C40" s="353">
        <v>2</v>
      </c>
      <c r="D40" s="353"/>
      <c r="E40" s="353"/>
      <c r="F40" s="466"/>
      <c r="G40" s="353"/>
      <c r="H40" s="353"/>
      <c r="I40" s="353"/>
      <c r="J40" s="466"/>
      <c r="K40" s="353">
        <v>559</v>
      </c>
      <c r="L40" s="353">
        <v>681</v>
      </c>
      <c r="M40" s="353">
        <v>575</v>
      </c>
      <c r="N40" s="466">
        <v>369</v>
      </c>
      <c r="O40" s="353"/>
      <c r="P40" s="353"/>
      <c r="Q40" s="353"/>
      <c r="R40" s="466"/>
      <c r="S40" s="353"/>
      <c r="T40" s="353"/>
      <c r="U40" s="353"/>
      <c r="V40" s="466"/>
      <c r="W40" s="353"/>
      <c r="X40" s="353"/>
      <c r="Y40" s="353"/>
      <c r="Z40" s="466"/>
      <c r="AA40" s="353">
        <f t="shared" si="60"/>
        <v>561</v>
      </c>
      <c r="AB40" s="353">
        <f t="shared" si="60"/>
        <v>681</v>
      </c>
      <c r="AC40" s="353">
        <f t="shared" si="60"/>
        <v>575</v>
      </c>
      <c r="AD40" s="466">
        <f>+Z40+V40+R40+N40+J40+F40</f>
        <v>369</v>
      </c>
    </row>
    <row r="41" spans="1:30" s="481" customFormat="1" ht="22.5" customHeight="1">
      <c r="A41" s="465"/>
      <c r="B41" s="334" t="s">
        <v>625</v>
      </c>
      <c r="C41" s="353">
        <v>33</v>
      </c>
      <c r="D41" s="353">
        <v>63</v>
      </c>
      <c r="E41" s="353">
        <f t="shared" ref="E41" si="61">SUM(E38:E40)</f>
        <v>69</v>
      </c>
      <c r="F41" s="353">
        <f t="shared" ref="F41:AD41" si="62">SUM(F38:F40)</f>
        <v>7</v>
      </c>
      <c r="G41" s="352">
        <f t="shared" si="62"/>
        <v>0</v>
      </c>
      <c r="H41" s="353">
        <f t="shared" si="62"/>
        <v>0</v>
      </c>
      <c r="I41" s="353">
        <f t="shared" si="62"/>
        <v>0</v>
      </c>
      <c r="J41" s="466">
        <f t="shared" si="62"/>
        <v>0</v>
      </c>
      <c r="K41" s="353">
        <v>5673</v>
      </c>
      <c r="L41" s="353">
        <v>6266</v>
      </c>
      <c r="M41" s="353">
        <f t="shared" ref="M41" si="63">SUM(M38:M40)</f>
        <v>5904</v>
      </c>
      <c r="N41" s="353">
        <f t="shared" si="62"/>
        <v>4002</v>
      </c>
      <c r="O41" s="352">
        <f t="shared" si="62"/>
        <v>0</v>
      </c>
      <c r="P41" s="353">
        <f t="shared" si="62"/>
        <v>0</v>
      </c>
      <c r="Q41" s="353">
        <f t="shared" si="62"/>
        <v>0</v>
      </c>
      <c r="R41" s="353">
        <f t="shared" si="62"/>
        <v>0</v>
      </c>
      <c r="S41" s="352">
        <f t="shared" si="62"/>
        <v>0</v>
      </c>
      <c r="T41" s="353">
        <f t="shared" si="62"/>
        <v>0</v>
      </c>
      <c r="U41" s="353">
        <f t="shared" si="62"/>
        <v>0</v>
      </c>
      <c r="V41" s="353">
        <f t="shared" si="62"/>
        <v>0</v>
      </c>
      <c r="W41" s="352">
        <f t="shared" si="62"/>
        <v>0</v>
      </c>
      <c r="X41" s="353">
        <f t="shared" si="62"/>
        <v>0</v>
      </c>
      <c r="Y41" s="353">
        <f t="shared" si="62"/>
        <v>0</v>
      </c>
      <c r="Z41" s="353">
        <f t="shared" si="62"/>
        <v>0</v>
      </c>
      <c r="AA41" s="352">
        <f t="shared" si="62"/>
        <v>5706</v>
      </c>
      <c r="AB41" s="353">
        <f t="shared" si="62"/>
        <v>6329</v>
      </c>
      <c r="AC41" s="353">
        <f t="shared" si="62"/>
        <v>5973</v>
      </c>
      <c r="AD41" s="466">
        <f t="shared" si="62"/>
        <v>4009</v>
      </c>
    </row>
    <row r="42" spans="1:30" s="481" customFormat="1" ht="22.5" customHeight="1">
      <c r="A42" s="465" t="s">
        <v>529</v>
      </c>
      <c r="B42" s="334" t="s">
        <v>816</v>
      </c>
      <c r="C42" s="353">
        <v>3</v>
      </c>
      <c r="D42" s="353"/>
      <c r="E42" s="353">
        <v>8</v>
      </c>
      <c r="F42" s="466">
        <v>13</v>
      </c>
      <c r="G42" s="353"/>
      <c r="H42" s="353"/>
      <c r="I42" s="353"/>
      <c r="J42" s="466"/>
      <c r="K42" s="353">
        <v>2980</v>
      </c>
      <c r="L42" s="353">
        <v>3216</v>
      </c>
      <c r="M42" s="522">
        <v>3226</v>
      </c>
      <c r="N42" s="466">
        <v>2663</v>
      </c>
      <c r="O42" s="353"/>
      <c r="P42" s="353"/>
      <c r="Q42" s="353"/>
      <c r="R42" s="466"/>
      <c r="S42" s="353"/>
      <c r="T42" s="353"/>
      <c r="U42" s="353"/>
      <c r="V42" s="466"/>
      <c r="W42" s="353"/>
      <c r="X42" s="353"/>
      <c r="Y42" s="353"/>
      <c r="Z42" s="466"/>
      <c r="AA42" s="353">
        <f t="shared" ref="AA42:AD46" si="64">+W42+S42+O42+K42+G42+C42</f>
        <v>2983</v>
      </c>
      <c r="AB42" s="353">
        <f t="shared" si="64"/>
        <v>3216</v>
      </c>
      <c r="AC42" s="353">
        <f t="shared" si="64"/>
        <v>3234</v>
      </c>
      <c r="AD42" s="466">
        <f t="shared" si="64"/>
        <v>2676</v>
      </c>
    </row>
    <row r="43" spans="1:30" s="481" customFormat="1" ht="22.5" customHeight="1">
      <c r="A43" s="465" t="s">
        <v>934</v>
      </c>
      <c r="B43" s="334" t="s">
        <v>817</v>
      </c>
      <c r="C43" s="353"/>
      <c r="D43" s="353">
        <v>305</v>
      </c>
      <c r="E43" s="353">
        <v>290</v>
      </c>
      <c r="F43" s="466">
        <v>61</v>
      </c>
      <c r="G43" s="353"/>
      <c r="H43" s="353"/>
      <c r="I43" s="353"/>
      <c r="J43" s="466"/>
      <c r="K43" s="353">
        <v>10831</v>
      </c>
      <c r="L43" s="353">
        <v>10240</v>
      </c>
      <c r="M43" s="522">
        <v>8727</v>
      </c>
      <c r="N43" s="466">
        <v>6071</v>
      </c>
      <c r="O43" s="353"/>
      <c r="P43" s="353"/>
      <c r="Q43" s="353"/>
      <c r="R43" s="466"/>
      <c r="S43" s="353"/>
      <c r="T43" s="353"/>
      <c r="U43" s="353"/>
      <c r="V43" s="466"/>
      <c r="W43" s="353"/>
      <c r="X43" s="353"/>
      <c r="Y43" s="353"/>
      <c r="Z43" s="466"/>
      <c r="AA43" s="353">
        <f t="shared" si="64"/>
        <v>10831</v>
      </c>
      <c r="AB43" s="353">
        <f t="shared" si="64"/>
        <v>10545</v>
      </c>
      <c r="AC43" s="353">
        <f t="shared" si="64"/>
        <v>9017</v>
      </c>
      <c r="AD43" s="466">
        <f t="shared" si="64"/>
        <v>6132</v>
      </c>
    </row>
    <row r="44" spans="1:30" s="481" customFormat="1" ht="22.5" customHeight="1">
      <c r="A44" s="465"/>
      <c r="B44" s="293" t="s">
        <v>967</v>
      </c>
      <c r="C44" s="353"/>
      <c r="D44" s="353"/>
      <c r="E44" s="353"/>
      <c r="F44" s="466"/>
      <c r="G44" s="353"/>
      <c r="H44" s="353"/>
      <c r="I44" s="353"/>
      <c r="J44" s="466"/>
      <c r="K44" s="353"/>
      <c r="L44" s="353"/>
      <c r="M44" s="522"/>
      <c r="N44" s="466"/>
      <c r="O44" s="353"/>
      <c r="P44" s="353"/>
      <c r="Q44" s="353"/>
      <c r="R44" s="466"/>
      <c r="S44" s="353"/>
      <c r="T44" s="353"/>
      <c r="U44" s="353"/>
      <c r="V44" s="466"/>
      <c r="W44" s="353"/>
      <c r="X44" s="353"/>
      <c r="Y44" s="353"/>
      <c r="Z44" s="466"/>
      <c r="AA44" s="353">
        <f t="shared" ref="AA44" si="65">+W44+S44+O44+K44+G44+C44</f>
        <v>0</v>
      </c>
      <c r="AB44" s="353">
        <f t="shared" ref="AB44" si="66">+X44+T44+P44+L44+H44+D44</f>
        <v>0</v>
      </c>
      <c r="AC44" s="353">
        <f t="shared" ref="AC44" si="67">+Y44+U44+Q44+M44+I44+E44</f>
        <v>0</v>
      </c>
      <c r="AD44" s="466">
        <f t="shared" ref="AD44" si="68">+Z44+V44+R44+N44+J44+F44</f>
        <v>0</v>
      </c>
    </row>
    <row r="45" spans="1:30" s="481" customFormat="1" ht="22.5" customHeight="1">
      <c r="A45" s="465" t="s">
        <v>531</v>
      </c>
      <c r="B45" s="334" t="s">
        <v>818</v>
      </c>
      <c r="C45" s="353">
        <v>9</v>
      </c>
      <c r="D45" s="353">
        <v>45</v>
      </c>
      <c r="E45" s="353">
        <v>101</v>
      </c>
      <c r="F45" s="466">
        <v>155</v>
      </c>
      <c r="G45" s="353"/>
      <c r="H45" s="353"/>
      <c r="I45" s="353"/>
      <c r="J45" s="466"/>
      <c r="K45" s="353">
        <v>3834</v>
      </c>
      <c r="L45" s="353">
        <v>4983</v>
      </c>
      <c r="M45" s="522">
        <v>4651</v>
      </c>
      <c r="N45" s="466">
        <v>2403</v>
      </c>
      <c r="O45" s="353"/>
      <c r="P45" s="353"/>
      <c r="Q45" s="353"/>
      <c r="R45" s="466"/>
      <c r="S45" s="353"/>
      <c r="T45" s="353"/>
      <c r="U45" s="353"/>
      <c r="V45" s="466"/>
      <c r="W45" s="353"/>
      <c r="X45" s="353"/>
      <c r="Y45" s="353"/>
      <c r="Z45" s="466"/>
      <c r="AA45" s="353">
        <f t="shared" si="64"/>
        <v>3843</v>
      </c>
      <c r="AB45" s="353">
        <f t="shared" si="64"/>
        <v>5028</v>
      </c>
      <c r="AC45" s="353">
        <f t="shared" si="64"/>
        <v>4752</v>
      </c>
      <c r="AD45" s="466">
        <f t="shared" si="64"/>
        <v>2558</v>
      </c>
    </row>
    <row r="46" spans="1:30" s="481" customFormat="1" ht="22.5" customHeight="1">
      <c r="A46" s="465"/>
      <c r="B46" s="293" t="s">
        <v>1177</v>
      </c>
      <c r="C46" s="353">
        <v>2</v>
      </c>
      <c r="D46" s="353">
        <v>15</v>
      </c>
      <c r="E46" s="353">
        <v>7</v>
      </c>
      <c r="F46" s="466"/>
      <c r="G46" s="353"/>
      <c r="H46" s="353"/>
      <c r="I46" s="353"/>
      <c r="J46" s="466"/>
      <c r="K46" s="353">
        <v>658</v>
      </c>
      <c r="L46" s="353">
        <v>708</v>
      </c>
      <c r="M46" s="522">
        <v>709</v>
      </c>
      <c r="N46" s="466">
        <v>409</v>
      </c>
      <c r="O46" s="353"/>
      <c r="P46" s="353"/>
      <c r="Q46" s="353"/>
      <c r="R46" s="466"/>
      <c r="S46" s="353"/>
      <c r="T46" s="353"/>
      <c r="U46" s="353"/>
      <c r="V46" s="466"/>
      <c r="W46" s="353"/>
      <c r="X46" s="353"/>
      <c r="Y46" s="353"/>
      <c r="Z46" s="466"/>
      <c r="AA46" s="353">
        <f t="shared" si="64"/>
        <v>660</v>
      </c>
      <c r="AB46" s="353">
        <f t="shared" si="64"/>
        <v>723</v>
      </c>
      <c r="AC46" s="353">
        <f t="shared" si="64"/>
        <v>716</v>
      </c>
      <c r="AD46" s="466">
        <f>+Z46+V46+R46+N46+J46+F46</f>
        <v>409</v>
      </c>
    </row>
    <row r="47" spans="1:30" s="481" customFormat="1" ht="22.5" customHeight="1">
      <c r="A47" s="465"/>
      <c r="B47" s="334" t="s">
        <v>625</v>
      </c>
      <c r="C47" s="353">
        <f>SUM(C45:C46)</f>
        <v>11</v>
      </c>
      <c r="D47" s="353">
        <f>SUM(D45:D46)</f>
        <v>60</v>
      </c>
      <c r="E47" s="353">
        <f>SUM(E45:E46)</f>
        <v>108</v>
      </c>
      <c r="F47" s="466">
        <f>SUM(F45:F46)</f>
        <v>155</v>
      </c>
      <c r="G47" s="353"/>
      <c r="H47" s="353"/>
      <c r="I47" s="353"/>
      <c r="J47" s="466">
        <f>SUM(J45:J46)</f>
        <v>0</v>
      </c>
      <c r="K47" s="353">
        <f>SUM(K45:K46)</f>
        <v>4492</v>
      </c>
      <c r="L47" s="353">
        <f>SUM(L45:L46)</f>
        <v>5691</v>
      </c>
      <c r="M47" s="522">
        <f>SUM(M45:M46)</f>
        <v>5360</v>
      </c>
      <c r="N47" s="466">
        <f>SUM(N45:N46)</f>
        <v>2812</v>
      </c>
      <c r="O47" s="353"/>
      <c r="P47" s="353"/>
      <c r="Q47" s="353"/>
      <c r="R47" s="466">
        <f>SUM(R45:R46)</f>
        <v>0</v>
      </c>
      <c r="S47" s="353"/>
      <c r="T47" s="353"/>
      <c r="U47" s="353"/>
      <c r="V47" s="466">
        <f>SUM(V45:V46)</f>
        <v>0</v>
      </c>
      <c r="W47" s="353"/>
      <c r="X47" s="353"/>
      <c r="Y47" s="353"/>
      <c r="Z47" s="466">
        <f>SUM(Z45:Z46)</f>
        <v>0</v>
      </c>
      <c r="AA47" s="353">
        <f>SUM(AA45:AA46)</f>
        <v>4503</v>
      </c>
      <c r="AB47" s="353">
        <f>SUM(AB45:AB46)</f>
        <v>5751</v>
      </c>
      <c r="AC47" s="353">
        <f>SUM(AC45:AC46)</f>
        <v>5468</v>
      </c>
      <c r="AD47" s="466">
        <f>SUM(AD45:AD46)</f>
        <v>2967</v>
      </c>
    </row>
    <row r="48" spans="1:30" s="6" customFormat="1" ht="22.5" customHeight="1">
      <c r="A48" s="475" t="s">
        <v>935</v>
      </c>
      <c r="B48" s="954"/>
      <c r="C48" s="473">
        <f t="shared" ref="C48:AA48" si="69">SUM(C41:C46)+C31+C37</f>
        <v>256</v>
      </c>
      <c r="D48" s="473">
        <f>+D31+D37+D41+D42+D43+D47+D44</f>
        <v>927</v>
      </c>
      <c r="E48" s="473">
        <f>+E31+E37+E41+E42+E43+E47+E44</f>
        <v>1114</v>
      </c>
      <c r="F48" s="474">
        <f>+F31+F37+F41+F42+F43+F47+F44</f>
        <v>417</v>
      </c>
      <c r="G48" s="472">
        <f t="shared" si="69"/>
        <v>0</v>
      </c>
      <c r="H48" s="473">
        <f t="shared" ref="H48:J48" si="70">+H31+H37+H41+H42+H43+H47+H44</f>
        <v>0</v>
      </c>
      <c r="I48" s="473">
        <f t="shared" si="70"/>
        <v>0</v>
      </c>
      <c r="J48" s="474">
        <f t="shared" si="70"/>
        <v>0</v>
      </c>
      <c r="K48" s="472">
        <f t="shared" si="69"/>
        <v>49847</v>
      </c>
      <c r="L48" s="473">
        <f t="shared" ref="L48:N48" si="71">+L31+L37+L41+L42+L43+L47+L44</f>
        <v>51731</v>
      </c>
      <c r="M48" s="473">
        <f t="shared" si="71"/>
        <v>48378</v>
      </c>
      <c r="N48" s="474">
        <f t="shared" si="71"/>
        <v>28857</v>
      </c>
      <c r="O48" s="472">
        <f t="shared" si="69"/>
        <v>0</v>
      </c>
      <c r="P48" s="473">
        <f t="shared" ref="P48:R48" si="72">+P31+P37+P41+P42+P43+P47+P44</f>
        <v>0</v>
      </c>
      <c r="Q48" s="473">
        <f t="shared" si="72"/>
        <v>0</v>
      </c>
      <c r="R48" s="474">
        <f t="shared" si="72"/>
        <v>0</v>
      </c>
      <c r="S48" s="472">
        <f t="shared" si="69"/>
        <v>0</v>
      </c>
      <c r="T48" s="473">
        <f t="shared" ref="T48:V48" si="73">+T31+T37+T41+T42+T43+T47+T44</f>
        <v>0</v>
      </c>
      <c r="U48" s="473">
        <f t="shared" si="73"/>
        <v>0</v>
      </c>
      <c r="V48" s="474">
        <f t="shared" si="73"/>
        <v>0</v>
      </c>
      <c r="W48" s="472">
        <f t="shared" si="69"/>
        <v>0</v>
      </c>
      <c r="X48" s="473">
        <f t="shared" ref="X48:Z48" si="74">+X31+X37+X41+X42+X43+X47+X44</f>
        <v>0</v>
      </c>
      <c r="Y48" s="473">
        <f t="shared" si="74"/>
        <v>0</v>
      </c>
      <c r="Z48" s="474">
        <f t="shared" si="74"/>
        <v>0</v>
      </c>
      <c r="AA48" s="472">
        <f t="shared" si="69"/>
        <v>50103</v>
      </c>
      <c r="AB48" s="473">
        <f t="shared" ref="AB48:AD48" si="75">+AB31+AB37+AB41+AB42+AB43+AB47+AB44</f>
        <v>52658</v>
      </c>
      <c r="AC48" s="473">
        <f t="shared" si="75"/>
        <v>49492</v>
      </c>
      <c r="AD48" s="474">
        <f t="shared" si="75"/>
        <v>29274</v>
      </c>
    </row>
    <row r="49" spans="1:30" s="481" customFormat="1" ht="22.5" customHeight="1">
      <c r="A49" s="1631" t="s">
        <v>637</v>
      </c>
      <c r="B49" s="1633"/>
      <c r="C49" s="477">
        <f t="shared" ref="C49:AD49" si="76">+C23+C48</f>
        <v>499</v>
      </c>
      <c r="D49" s="477">
        <f t="shared" si="76"/>
        <v>1674</v>
      </c>
      <c r="E49" s="477">
        <f t="shared" si="76"/>
        <v>1962</v>
      </c>
      <c r="F49" s="478">
        <f t="shared" si="76"/>
        <v>631</v>
      </c>
      <c r="G49" s="477">
        <f t="shared" si="76"/>
        <v>0</v>
      </c>
      <c r="H49" s="477">
        <f t="shared" si="76"/>
        <v>0</v>
      </c>
      <c r="I49" s="477">
        <f t="shared" si="76"/>
        <v>0</v>
      </c>
      <c r="J49" s="478">
        <f t="shared" si="76"/>
        <v>0</v>
      </c>
      <c r="K49" s="476">
        <f t="shared" si="76"/>
        <v>80707</v>
      </c>
      <c r="L49" s="477">
        <f t="shared" si="76"/>
        <v>80281</v>
      </c>
      <c r="M49" s="477">
        <f t="shared" si="76"/>
        <v>77472</v>
      </c>
      <c r="N49" s="478">
        <f t="shared" si="76"/>
        <v>46829</v>
      </c>
      <c r="O49" s="477">
        <f t="shared" si="76"/>
        <v>0</v>
      </c>
      <c r="P49" s="477">
        <f t="shared" si="76"/>
        <v>0</v>
      </c>
      <c r="Q49" s="477">
        <f t="shared" si="76"/>
        <v>0</v>
      </c>
      <c r="R49" s="478">
        <f t="shared" si="76"/>
        <v>0</v>
      </c>
      <c r="S49" s="476">
        <f t="shared" si="76"/>
        <v>0</v>
      </c>
      <c r="T49" s="477">
        <f t="shared" si="76"/>
        <v>0</v>
      </c>
      <c r="U49" s="477">
        <f t="shared" si="76"/>
        <v>0</v>
      </c>
      <c r="V49" s="478">
        <f t="shared" si="76"/>
        <v>0</v>
      </c>
      <c r="W49" s="477">
        <f t="shared" si="76"/>
        <v>0</v>
      </c>
      <c r="X49" s="477">
        <f t="shared" si="76"/>
        <v>0</v>
      </c>
      <c r="Y49" s="477">
        <f t="shared" si="76"/>
        <v>0</v>
      </c>
      <c r="Z49" s="478">
        <f t="shared" si="76"/>
        <v>0</v>
      </c>
      <c r="AA49" s="477">
        <f t="shared" si="76"/>
        <v>81206</v>
      </c>
      <c r="AB49" s="477">
        <f t="shared" si="76"/>
        <v>81955</v>
      </c>
      <c r="AC49" s="477">
        <f t="shared" si="76"/>
        <v>79434</v>
      </c>
      <c r="AD49" s="478">
        <f t="shared" si="76"/>
        <v>47460</v>
      </c>
    </row>
    <row r="50" spans="1:30" ht="12">
      <c r="C50" s="483"/>
      <c r="D50" s="483"/>
      <c r="E50" s="483"/>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73"/>
    </row>
    <row r="51" spans="1:30">
      <c r="C51" s="483"/>
      <c r="D51" s="483"/>
      <c r="E51" s="483"/>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row>
    <row r="52" spans="1:30">
      <c r="C52" s="483"/>
      <c r="D52" s="483"/>
      <c r="E52" s="483"/>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row>
    <row r="53" spans="1:30">
      <c r="C53" s="483"/>
      <c r="D53" s="483"/>
      <c r="E53" s="483"/>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row>
    <row r="54" spans="1:30">
      <c r="C54" s="483"/>
      <c r="D54" s="483"/>
      <c r="E54" s="483"/>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row>
    <row r="55" spans="1:30">
      <c r="C55" s="483"/>
      <c r="D55" s="483"/>
      <c r="E55" s="483"/>
      <c r="F55" s="495"/>
      <c r="G55" s="495"/>
      <c r="H55" s="495"/>
      <c r="I55" s="483"/>
      <c r="J55" s="483"/>
      <c r="K55" s="483"/>
      <c r="L55" s="483"/>
      <c r="M55" s="483"/>
      <c r="N55" s="483"/>
      <c r="O55" s="483"/>
      <c r="P55" s="483"/>
      <c r="Q55" s="483"/>
      <c r="R55" s="483"/>
      <c r="S55" s="483"/>
      <c r="T55" s="483"/>
      <c r="U55" s="483"/>
      <c r="V55" s="483"/>
      <c r="W55" s="483"/>
      <c r="X55" s="483"/>
      <c r="Y55" s="483"/>
      <c r="Z55" s="483"/>
      <c r="AA55" s="483"/>
      <c r="AB55" s="483"/>
      <c r="AC55" s="483"/>
      <c r="AD55" s="483"/>
    </row>
    <row r="56" spans="1:30">
      <c r="C56" s="483"/>
      <c r="D56" s="483"/>
      <c r="E56" s="483"/>
      <c r="F56" s="495"/>
      <c r="G56" s="495"/>
      <c r="H56" s="495"/>
      <c r="I56" s="483"/>
      <c r="J56" s="483"/>
      <c r="K56" s="483"/>
      <c r="L56" s="483"/>
      <c r="M56" s="483"/>
      <c r="N56" s="483"/>
      <c r="O56" s="483"/>
      <c r="P56" s="483"/>
      <c r="Q56" s="483"/>
      <c r="R56" s="483"/>
      <c r="S56" s="483"/>
      <c r="T56" s="483"/>
      <c r="U56" s="483"/>
      <c r="V56" s="483"/>
      <c r="W56" s="483"/>
      <c r="X56" s="483"/>
      <c r="Y56" s="483"/>
      <c r="Z56" s="483"/>
      <c r="AA56" s="483"/>
      <c r="AB56" s="483"/>
      <c r="AC56" s="483"/>
      <c r="AD56" s="483"/>
    </row>
    <row r="57" spans="1:30">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row>
    <row r="58" spans="1:30">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row>
    <row r="59" spans="1:30">
      <c r="C59" s="483"/>
      <c r="D59" s="483"/>
      <c r="E59" s="483"/>
      <c r="F59" s="483"/>
      <c r="G59" s="483"/>
      <c r="H59" s="483"/>
      <c r="I59" s="483"/>
      <c r="J59" s="483"/>
      <c r="K59" s="483"/>
      <c r="L59" s="483"/>
      <c r="M59" s="483"/>
      <c r="N59" s="483"/>
      <c r="O59" s="483"/>
      <c r="P59" s="483"/>
      <c r="Q59" s="483"/>
      <c r="R59" s="483"/>
      <c r="S59" s="483"/>
      <c r="T59" s="483"/>
      <c r="U59" s="483"/>
      <c r="V59" s="483"/>
      <c r="W59" s="483"/>
      <c r="X59" s="483"/>
      <c r="Y59" s="483"/>
      <c r="Z59" s="483"/>
      <c r="AA59" s="483"/>
      <c r="AB59" s="483"/>
      <c r="AC59" s="483"/>
      <c r="AD59" s="483"/>
    </row>
    <row r="60" spans="1:30">
      <c r="C60" s="483"/>
      <c r="D60" s="483"/>
      <c r="E60" s="483"/>
      <c r="F60" s="483"/>
      <c r="G60" s="483"/>
      <c r="H60" s="483"/>
      <c r="I60" s="483"/>
      <c r="J60" s="483"/>
      <c r="K60" s="483"/>
      <c r="L60" s="483"/>
      <c r="M60" s="483"/>
      <c r="N60" s="483"/>
      <c r="O60" s="483"/>
      <c r="P60" s="483"/>
      <c r="Q60" s="483"/>
      <c r="R60" s="483"/>
      <c r="S60" s="483"/>
      <c r="T60" s="483"/>
      <c r="U60" s="483"/>
      <c r="V60" s="483"/>
      <c r="W60" s="483"/>
      <c r="X60" s="483"/>
      <c r="Y60" s="483"/>
      <c r="Z60" s="483"/>
      <c r="AA60" s="483"/>
      <c r="AB60" s="483"/>
      <c r="AC60" s="483"/>
      <c r="AD60" s="483"/>
    </row>
    <row r="61" spans="1:30">
      <c r="C61" s="483"/>
      <c r="D61" s="483"/>
      <c r="E61" s="483"/>
      <c r="F61" s="483"/>
      <c r="G61" s="483"/>
      <c r="H61" s="483"/>
      <c r="I61" s="483"/>
      <c r="J61" s="483"/>
      <c r="K61" s="483"/>
      <c r="L61" s="483"/>
      <c r="M61" s="483"/>
      <c r="N61" s="483"/>
      <c r="O61" s="483"/>
      <c r="P61" s="483"/>
      <c r="Q61" s="483"/>
      <c r="R61" s="483"/>
      <c r="S61" s="483"/>
      <c r="T61" s="483"/>
      <c r="U61" s="483"/>
      <c r="V61" s="483"/>
      <c r="W61" s="483"/>
      <c r="X61" s="483"/>
      <c r="Y61" s="483"/>
      <c r="Z61" s="483"/>
      <c r="AA61" s="483"/>
      <c r="AB61" s="483"/>
      <c r="AC61" s="483"/>
      <c r="AD61" s="483"/>
    </row>
    <row r="62" spans="1:30">
      <c r="C62" s="483"/>
      <c r="D62" s="483"/>
      <c r="E62" s="483"/>
      <c r="F62" s="483"/>
      <c r="G62" s="483"/>
      <c r="H62" s="483"/>
      <c r="I62" s="483"/>
      <c r="J62" s="483"/>
      <c r="K62" s="483"/>
      <c r="L62" s="483"/>
      <c r="M62" s="483"/>
      <c r="N62" s="483"/>
      <c r="O62" s="483"/>
      <c r="P62" s="483"/>
      <c r="Q62" s="483"/>
      <c r="R62" s="483"/>
      <c r="S62" s="483"/>
      <c r="T62" s="483"/>
      <c r="U62" s="483"/>
      <c r="V62" s="483"/>
      <c r="W62" s="483"/>
      <c r="X62" s="483"/>
      <c r="Y62" s="483"/>
      <c r="Z62" s="483"/>
      <c r="AA62" s="483"/>
      <c r="AB62" s="483"/>
      <c r="AC62" s="483"/>
      <c r="AD62" s="483"/>
    </row>
    <row r="63" spans="1:30">
      <c r="C63" s="483"/>
      <c r="D63" s="483"/>
      <c r="E63" s="483"/>
      <c r="F63" s="483"/>
      <c r="G63" s="483"/>
      <c r="H63" s="483"/>
      <c r="I63" s="483"/>
      <c r="J63" s="483"/>
      <c r="K63" s="483"/>
      <c r="L63" s="483"/>
      <c r="M63" s="483"/>
      <c r="N63" s="483"/>
      <c r="O63" s="483"/>
      <c r="P63" s="483"/>
      <c r="Q63" s="483"/>
      <c r="R63" s="483"/>
      <c r="S63" s="483"/>
      <c r="T63" s="483"/>
      <c r="U63" s="483"/>
      <c r="V63" s="483"/>
      <c r="W63" s="483"/>
      <c r="X63" s="483"/>
      <c r="Y63" s="483"/>
      <c r="Z63" s="483"/>
      <c r="AA63" s="483"/>
      <c r="AB63" s="483"/>
      <c r="AC63" s="483"/>
      <c r="AD63" s="483"/>
    </row>
    <row r="64" spans="1:30">
      <c r="C64" s="483"/>
      <c r="D64" s="483"/>
      <c r="E64" s="483"/>
      <c r="F64" s="483"/>
      <c r="G64" s="483"/>
      <c r="H64" s="483"/>
      <c r="I64" s="483"/>
      <c r="J64" s="483"/>
      <c r="K64" s="483"/>
      <c r="L64" s="483"/>
      <c r="M64" s="483"/>
      <c r="N64" s="483"/>
      <c r="O64" s="483"/>
      <c r="P64" s="483"/>
      <c r="Q64" s="483"/>
      <c r="R64" s="483"/>
      <c r="S64" s="483"/>
      <c r="T64" s="483"/>
      <c r="U64" s="483"/>
      <c r="V64" s="483"/>
      <c r="W64" s="483"/>
      <c r="X64" s="483"/>
      <c r="Y64" s="483"/>
      <c r="Z64" s="483"/>
      <c r="AA64" s="483"/>
      <c r="AB64" s="483"/>
      <c r="AC64" s="483"/>
      <c r="AD64" s="483"/>
    </row>
    <row r="65" spans="3:30">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83"/>
      <c r="AC65" s="483"/>
      <c r="AD65" s="483"/>
    </row>
    <row r="66" spans="3:30">
      <c r="C66" s="483"/>
      <c r="D66" s="483"/>
      <c r="E66" s="483"/>
      <c r="F66" s="483"/>
      <c r="G66" s="483"/>
      <c r="H66" s="483"/>
      <c r="I66" s="483"/>
      <c r="J66" s="483"/>
      <c r="K66" s="483"/>
      <c r="L66" s="483"/>
      <c r="M66" s="483"/>
      <c r="N66" s="483"/>
      <c r="O66" s="483"/>
      <c r="P66" s="483"/>
      <c r="Q66" s="483"/>
      <c r="R66" s="483"/>
      <c r="S66" s="483"/>
      <c r="T66" s="483"/>
      <c r="U66" s="483"/>
      <c r="V66" s="483"/>
      <c r="W66" s="483"/>
      <c r="X66" s="483"/>
      <c r="Y66" s="483"/>
      <c r="Z66" s="483"/>
      <c r="AA66" s="483"/>
      <c r="AB66" s="483"/>
      <c r="AC66" s="483"/>
      <c r="AD66" s="483"/>
    </row>
    <row r="67" spans="3:30">
      <c r="C67" s="483"/>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3"/>
    </row>
    <row r="68" spans="3:30">
      <c r="C68" s="483"/>
      <c r="D68" s="483"/>
      <c r="E68" s="483"/>
      <c r="F68" s="483"/>
      <c r="G68" s="483"/>
      <c r="H68" s="483"/>
      <c r="I68" s="483"/>
      <c r="J68" s="483"/>
      <c r="K68" s="483"/>
      <c r="L68" s="483"/>
      <c r="M68" s="483"/>
      <c r="N68" s="483"/>
      <c r="O68" s="483"/>
      <c r="P68" s="483"/>
      <c r="Q68" s="483"/>
      <c r="R68" s="483"/>
      <c r="S68" s="483"/>
      <c r="T68" s="483"/>
      <c r="U68" s="483"/>
      <c r="V68" s="483"/>
      <c r="W68" s="483"/>
      <c r="X68" s="483"/>
      <c r="Y68" s="483"/>
      <c r="Z68" s="483"/>
      <c r="AA68" s="483"/>
      <c r="AB68" s="483"/>
      <c r="AC68" s="483"/>
      <c r="AD68" s="483"/>
    </row>
    <row r="69" spans="3:30">
      <c r="C69" s="483"/>
      <c r="D69" s="483"/>
      <c r="E69" s="483"/>
      <c r="F69" s="483"/>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483"/>
    </row>
    <row r="70" spans="3:30">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row>
    <row r="71" spans="3:30">
      <c r="C71" s="483"/>
      <c r="D71" s="483"/>
      <c r="E71" s="483"/>
      <c r="F71" s="483"/>
      <c r="G71" s="483"/>
      <c r="H71" s="483"/>
      <c r="I71" s="483"/>
      <c r="J71" s="483"/>
      <c r="K71" s="483"/>
      <c r="L71" s="483"/>
      <c r="M71" s="483"/>
      <c r="N71" s="483"/>
      <c r="O71" s="483"/>
      <c r="P71" s="483"/>
      <c r="Q71" s="483"/>
      <c r="R71" s="483"/>
      <c r="S71" s="483"/>
      <c r="T71" s="483"/>
      <c r="U71" s="483"/>
      <c r="V71" s="483"/>
      <c r="W71" s="483"/>
      <c r="X71" s="483"/>
      <c r="Y71" s="483"/>
      <c r="Z71" s="483"/>
      <c r="AA71" s="483"/>
      <c r="AB71" s="483"/>
      <c r="AC71" s="483"/>
      <c r="AD71" s="483"/>
    </row>
    <row r="72" spans="3:30">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83"/>
      <c r="AC72" s="483"/>
      <c r="AD72" s="483"/>
    </row>
    <row r="73" spans="3:30">
      <c r="C73" s="483"/>
      <c r="D73" s="483"/>
      <c r="E73" s="483"/>
      <c r="F73" s="483"/>
      <c r="G73" s="483"/>
      <c r="H73" s="483"/>
      <c r="I73" s="483"/>
      <c r="J73" s="483"/>
      <c r="K73" s="483"/>
      <c r="L73" s="483"/>
      <c r="M73" s="483"/>
      <c r="N73" s="483"/>
      <c r="O73" s="483"/>
      <c r="P73" s="483"/>
      <c r="Q73" s="483"/>
      <c r="R73" s="483"/>
      <c r="S73" s="483"/>
      <c r="T73" s="483"/>
      <c r="U73" s="483"/>
      <c r="V73" s="483"/>
      <c r="W73" s="483"/>
      <c r="X73" s="483"/>
      <c r="Y73" s="483"/>
      <c r="Z73" s="483"/>
      <c r="AA73" s="483"/>
      <c r="AB73" s="483"/>
      <c r="AC73" s="483"/>
      <c r="AD73" s="483"/>
    </row>
    <row r="74" spans="3:30">
      <c r="C74" s="483"/>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483"/>
      <c r="AB74" s="483"/>
      <c r="AC74" s="483"/>
      <c r="AD74" s="483"/>
    </row>
    <row r="75" spans="3:30">
      <c r="C75" s="483"/>
      <c r="D75" s="483"/>
      <c r="E75" s="483"/>
      <c r="F75" s="483"/>
      <c r="G75" s="483"/>
      <c r="H75" s="483"/>
      <c r="I75" s="483"/>
      <c r="J75" s="483"/>
      <c r="K75" s="483"/>
      <c r="L75" s="483"/>
      <c r="M75" s="483"/>
      <c r="N75" s="483"/>
      <c r="O75" s="483"/>
      <c r="P75" s="483"/>
      <c r="Q75" s="483"/>
      <c r="R75" s="483"/>
      <c r="S75" s="483"/>
      <c r="T75" s="483"/>
      <c r="U75" s="483"/>
      <c r="V75" s="483"/>
      <c r="W75" s="483"/>
      <c r="X75" s="483"/>
      <c r="Y75" s="483"/>
      <c r="Z75" s="483"/>
      <c r="AA75" s="483"/>
      <c r="AB75" s="483"/>
      <c r="AC75" s="483"/>
      <c r="AD75" s="483"/>
    </row>
    <row r="76" spans="3:30">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83"/>
      <c r="AC76" s="483"/>
      <c r="AD76" s="483"/>
    </row>
    <row r="77" spans="3:30">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row>
    <row r="78" spans="3:30">
      <c r="C78" s="483"/>
      <c r="D78" s="483"/>
      <c r="E78" s="483"/>
      <c r="F78" s="483"/>
      <c r="G78" s="483"/>
      <c r="H78" s="483"/>
      <c r="I78" s="483"/>
      <c r="J78" s="483"/>
      <c r="K78" s="483"/>
      <c r="L78" s="483"/>
      <c r="M78" s="483"/>
      <c r="N78" s="483"/>
      <c r="O78" s="483"/>
      <c r="P78" s="483"/>
      <c r="Q78" s="483"/>
      <c r="R78" s="483"/>
      <c r="S78" s="483"/>
      <c r="T78" s="483"/>
      <c r="U78" s="483"/>
      <c r="V78" s="483"/>
      <c r="W78" s="483"/>
      <c r="X78" s="483"/>
      <c r="Y78" s="483"/>
      <c r="Z78" s="483"/>
      <c r="AA78" s="483"/>
      <c r="AB78" s="483"/>
      <c r="AC78" s="483"/>
      <c r="AD78" s="483"/>
    </row>
    <row r="79" spans="3:30">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row>
    <row r="80" spans="3:30">
      <c r="C80" s="483"/>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row>
    <row r="81" spans="3:30">
      <c r="C81" s="483"/>
      <c r="D81" s="483"/>
      <c r="E81" s="483"/>
      <c r="F81" s="483"/>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row>
    <row r="82" spans="3:30">
      <c r="C82" s="483"/>
      <c r="D82" s="483"/>
      <c r="E82" s="483"/>
      <c r="F82" s="483"/>
      <c r="G82" s="483"/>
      <c r="H82" s="483"/>
      <c r="I82" s="483"/>
      <c r="J82" s="483"/>
      <c r="K82" s="483"/>
      <c r="L82" s="483"/>
      <c r="M82" s="483"/>
      <c r="N82" s="483"/>
      <c r="O82" s="483"/>
      <c r="P82" s="483"/>
      <c r="Q82" s="483"/>
      <c r="R82" s="483"/>
      <c r="S82" s="483"/>
      <c r="T82" s="483"/>
      <c r="U82" s="483"/>
      <c r="V82" s="483"/>
      <c r="W82" s="483"/>
      <c r="X82" s="483"/>
      <c r="Y82" s="483"/>
      <c r="Z82" s="483"/>
      <c r="AA82" s="483"/>
      <c r="AB82" s="483"/>
      <c r="AC82" s="483"/>
      <c r="AD82" s="483"/>
    </row>
    <row r="83" spans="3:30">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83"/>
      <c r="AC83" s="483"/>
      <c r="AD83" s="483"/>
    </row>
    <row r="84" spans="3:30">
      <c r="C84" s="483"/>
      <c r="D84" s="483"/>
      <c r="E84" s="483"/>
      <c r="F84" s="483"/>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row>
    <row r="85" spans="3:30">
      <c r="C85" s="483"/>
      <c r="D85" s="483"/>
      <c r="E85" s="483"/>
      <c r="F85" s="483"/>
      <c r="G85" s="483"/>
      <c r="H85" s="483"/>
      <c r="I85" s="483"/>
      <c r="J85" s="483"/>
      <c r="K85" s="483"/>
      <c r="L85" s="483"/>
      <c r="M85" s="483"/>
      <c r="N85" s="483"/>
      <c r="O85" s="483"/>
      <c r="P85" s="483"/>
      <c r="Q85" s="483"/>
      <c r="R85" s="483"/>
      <c r="S85" s="483"/>
      <c r="T85" s="483"/>
      <c r="U85" s="483"/>
      <c r="V85" s="483"/>
      <c r="W85" s="483"/>
      <c r="X85" s="483"/>
      <c r="Y85" s="483"/>
      <c r="Z85" s="483"/>
      <c r="AA85" s="483"/>
      <c r="AB85" s="483"/>
      <c r="AC85" s="483"/>
      <c r="AD85" s="483"/>
    </row>
    <row r="86" spans="3:30">
      <c r="C86" s="483"/>
      <c r="D86" s="483"/>
      <c r="E86" s="483"/>
      <c r="F86" s="483"/>
      <c r="G86" s="483"/>
      <c r="H86" s="483"/>
      <c r="I86" s="483"/>
      <c r="J86" s="483"/>
      <c r="K86" s="483"/>
      <c r="L86" s="483"/>
      <c r="M86" s="483"/>
      <c r="N86" s="483"/>
      <c r="O86" s="483"/>
      <c r="P86" s="483"/>
      <c r="Q86" s="483"/>
      <c r="R86" s="483"/>
      <c r="S86" s="483"/>
      <c r="T86" s="483"/>
      <c r="U86" s="483"/>
      <c r="V86" s="483"/>
      <c r="W86" s="483"/>
      <c r="X86" s="483"/>
      <c r="Y86" s="483"/>
      <c r="Z86" s="483"/>
      <c r="AA86" s="483"/>
      <c r="AB86" s="483"/>
      <c r="AC86" s="483"/>
      <c r="AD86" s="483"/>
    </row>
    <row r="87" spans="3:30">
      <c r="C87" s="483"/>
      <c r="D87" s="483"/>
      <c r="E87" s="483"/>
      <c r="F87" s="483"/>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row>
    <row r="88" spans="3:30">
      <c r="C88" s="483"/>
      <c r="D88" s="483"/>
      <c r="E88" s="483"/>
      <c r="F88" s="483"/>
      <c r="G88" s="483"/>
      <c r="H88" s="483"/>
      <c r="I88" s="483"/>
      <c r="J88" s="483"/>
      <c r="K88" s="483"/>
      <c r="L88" s="483"/>
      <c r="M88" s="483"/>
      <c r="N88" s="483"/>
      <c r="O88" s="483"/>
      <c r="P88" s="483"/>
      <c r="Q88" s="483"/>
      <c r="R88" s="483"/>
      <c r="S88" s="483"/>
      <c r="T88" s="483"/>
      <c r="U88" s="483"/>
      <c r="V88" s="483"/>
      <c r="W88" s="483"/>
      <c r="X88" s="483"/>
      <c r="Y88" s="483"/>
      <c r="Z88" s="483"/>
      <c r="AA88" s="483"/>
      <c r="AB88" s="483"/>
      <c r="AC88" s="483"/>
      <c r="AD88" s="483"/>
    </row>
    <row r="89" spans="3:30">
      <c r="C89" s="483"/>
      <c r="D89" s="483"/>
      <c r="E89" s="483"/>
      <c r="F89" s="483"/>
      <c r="G89" s="483"/>
      <c r="H89" s="483"/>
      <c r="I89" s="483"/>
      <c r="J89" s="483"/>
      <c r="K89" s="483"/>
      <c r="L89" s="483"/>
      <c r="M89" s="483"/>
      <c r="N89" s="483"/>
      <c r="O89" s="483"/>
      <c r="P89" s="483"/>
      <c r="Q89" s="483"/>
      <c r="R89" s="483"/>
      <c r="S89" s="483"/>
      <c r="T89" s="483"/>
      <c r="U89" s="483"/>
      <c r="V89" s="483"/>
      <c r="W89" s="483"/>
      <c r="X89" s="483"/>
      <c r="Y89" s="483"/>
      <c r="Z89" s="483"/>
      <c r="AA89" s="483"/>
      <c r="AB89" s="483"/>
      <c r="AC89" s="483"/>
      <c r="AD89" s="483"/>
    </row>
    <row r="90" spans="3:30">
      <c r="C90" s="483"/>
      <c r="D90" s="483"/>
      <c r="E90" s="483"/>
      <c r="F90" s="483"/>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row>
    <row r="91" spans="3:30">
      <c r="C91" s="483"/>
      <c r="D91" s="483"/>
      <c r="E91" s="483"/>
      <c r="F91" s="483"/>
      <c r="G91" s="483"/>
      <c r="H91" s="483"/>
      <c r="I91" s="483"/>
      <c r="J91" s="483"/>
      <c r="K91" s="483"/>
      <c r="L91" s="483"/>
      <c r="M91" s="483"/>
      <c r="N91" s="483"/>
      <c r="O91" s="483"/>
      <c r="P91" s="483"/>
      <c r="Q91" s="483"/>
      <c r="R91" s="483"/>
      <c r="S91" s="483"/>
      <c r="T91" s="483"/>
      <c r="U91" s="483"/>
      <c r="V91" s="483"/>
      <c r="W91" s="483"/>
      <c r="X91" s="483"/>
      <c r="Y91" s="483"/>
      <c r="Z91" s="483"/>
      <c r="AA91" s="483"/>
      <c r="AB91" s="483"/>
      <c r="AC91" s="483"/>
      <c r="AD91" s="483"/>
    </row>
    <row r="92" spans="3:30">
      <c r="C92" s="483"/>
      <c r="D92" s="483"/>
      <c r="E92" s="483"/>
      <c r="F92" s="483"/>
      <c r="G92" s="483"/>
      <c r="H92" s="483"/>
      <c r="I92" s="483"/>
      <c r="J92" s="483"/>
      <c r="K92" s="483"/>
      <c r="L92" s="483"/>
      <c r="M92" s="483"/>
      <c r="N92" s="483"/>
      <c r="O92" s="483"/>
      <c r="P92" s="483"/>
      <c r="Q92" s="483"/>
      <c r="R92" s="483"/>
      <c r="S92" s="483"/>
      <c r="T92" s="483"/>
      <c r="U92" s="483"/>
      <c r="V92" s="483"/>
      <c r="W92" s="483"/>
      <c r="X92" s="483"/>
      <c r="Y92" s="483"/>
      <c r="Z92" s="483"/>
      <c r="AA92" s="483"/>
      <c r="AB92" s="483"/>
      <c r="AC92" s="483"/>
      <c r="AD92" s="483"/>
    </row>
    <row r="93" spans="3:30">
      <c r="C93" s="483"/>
      <c r="D93" s="483"/>
      <c r="E93" s="483"/>
      <c r="F93" s="483"/>
      <c r="G93" s="483"/>
      <c r="H93" s="483"/>
      <c r="I93" s="483"/>
      <c r="J93" s="483"/>
      <c r="K93" s="483"/>
      <c r="L93" s="483"/>
      <c r="M93" s="483"/>
      <c r="N93" s="483"/>
      <c r="O93" s="483"/>
      <c r="P93" s="483"/>
      <c r="Q93" s="483"/>
      <c r="R93" s="483"/>
      <c r="S93" s="483"/>
      <c r="T93" s="483"/>
      <c r="U93" s="483"/>
      <c r="V93" s="483"/>
      <c r="W93" s="483"/>
      <c r="X93" s="483"/>
      <c r="Y93" s="483"/>
      <c r="Z93" s="483"/>
      <c r="AA93" s="483"/>
      <c r="AB93" s="483"/>
      <c r="AC93" s="483"/>
      <c r="AD93" s="483"/>
    </row>
    <row r="94" spans="3:30">
      <c r="C94" s="483"/>
      <c r="D94" s="483"/>
      <c r="E94" s="483"/>
      <c r="F94" s="483"/>
      <c r="G94" s="483"/>
      <c r="H94" s="483"/>
      <c r="I94" s="483"/>
      <c r="J94" s="483"/>
      <c r="K94" s="483"/>
      <c r="L94" s="483"/>
      <c r="M94" s="483"/>
      <c r="N94" s="483"/>
      <c r="O94" s="483"/>
      <c r="P94" s="483"/>
      <c r="Q94" s="483"/>
      <c r="R94" s="483"/>
      <c r="S94" s="483"/>
      <c r="T94" s="483"/>
      <c r="U94" s="483"/>
      <c r="V94" s="483"/>
      <c r="W94" s="483"/>
      <c r="X94" s="483"/>
      <c r="Y94" s="483"/>
      <c r="Z94" s="483"/>
      <c r="AA94" s="483"/>
      <c r="AB94" s="483"/>
      <c r="AC94" s="483"/>
      <c r="AD94" s="483"/>
    </row>
    <row r="95" spans="3:30">
      <c r="C95" s="483"/>
      <c r="D95" s="483"/>
      <c r="E95" s="483"/>
      <c r="F95" s="483"/>
      <c r="G95" s="483"/>
      <c r="H95" s="483"/>
      <c r="I95" s="483"/>
      <c r="J95" s="483"/>
      <c r="K95" s="483"/>
      <c r="L95" s="483"/>
      <c r="M95" s="483"/>
      <c r="N95" s="483"/>
      <c r="O95" s="483"/>
      <c r="P95" s="483"/>
      <c r="Q95" s="483"/>
      <c r="R95" s="483"/>
      <c r="S95" s="483"/>
      <c r="T95" s="483"/>
      <c r="U95" s="483"/>
      <c r="V95" s="483"/>
      <c r="W95" s="483"/>
      <c r="X95" s="483"/>
      <c r="Y95" s="483"/>
      <c r="Z95" s="483"/>
      <c r="AA95" s="483"/>
      <c r="AB95" s="483"/>
      <c r="AC95" s="483"/>
      <c r="AD95" s="483"/>
    </row>
    <row r="96" spans="3:30">
      <c r="C96" s="483"/>
      <c r="D96" s="483"/>
      <c r="E96" s="483"/>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row>
    <row r="97" spans="3:30">
      <c r="C97" s="483"/>
      <c r="D97" s="483"/>
      <c r="E97" s="483"/>
      <c r="F97" s="483"/>
      <c r="G97" s="483"/>
      <c r="H97" s="483"/>
      <c r="I97" s="483"/>
      <c r="J97" s="483"/>
      <c r="K97" s="483"/>
      <c r="L97" s="483"/>
      <c r="M97" s="483"/>
      <c r="N97" s="483"/>
      <c r="O97" s="483"/>
      <c r="P97" s="483"/>
      <c r="Q97" s="483"/>
      <c r="R97" s="483"/>
      <c r="S97" s="483"/>
      <c r="T97" s="483"/>
      <c r="U97" s="483"/>
      <c r="V97" s="483"/>
      <c r="W97" s="483"/>
      <c r="X97" s="483"/>
      <c r="Y97" s="483"/>
      <c r="Z97" s="483"/>
      <c r="AA97" s="483"/>
      <c r="AB97" s="483"/>
      <c r="AC97" s="483"/>
      <c r="AD97" s="483"/>
    </row>
    <row r="98" spans="3:30">
      <c r="C98" s="483"/>
      <c r="D98" s="483"/>
      <c r="E98" s="483"/>
      <c r="F98" s="483"/>
      <c r="G98" s="483"/>
      <c r="H98" s="483"/>
      <c r="I98" s="483"/>
      <c r="J98" s="483"/>
      <c r="K98" s="483"/>
      <c r="L98" s="483"/>
      <c r="M98" s="483"/>
      <c r="N98" s="483"/>
      <c r="O98" s="483"/>
      <c r="P98" s="483"/>
      <c r="Q98" s="483"/>
      <c r="R98" s="483"/>
      <c r="S98" s="483"/>
      <c r="T98" s="483"/>
      <c r="U98" s="483"/>
      <c r="V98" s="483"/>
      <c r="W98" s="483"/>
      <c r="X98" s="483"/>
      <c r="Y98" s="483"/>
      <c r="Z98" s="483"/>
      <c r="AA98" s="483"/>
      <c r="AB98" s="483"/>
      <c r="AC98" s="483"/>
      <c r="AD98" s="483"/>
    </row>
    <row r="99" spans="3:30">
      <c r="C99" s="483"/>
      <c r="D99" s="483"/>
      <c r="E99" s="483"/>
      <c r="F99" s="483"/>
      <c r="G99" s="483"/>
      <c r="H99" s="483"/>
      <c r="I99" s="483"/>
      <c r="J99" s="483"/>
      <c r="K99" s="483"/>
      <c r="L99" s="483"/>
      <c r="M99" s="483"/>
      <c r="N99" s="483"/>
      <c r="O99" s="483"/>
      <c r="P99" s="483"/>
      <c r="Q99" s="483"/>
      <c r="R99" s="483"/>
      <c r="S99" s="483"/>
      <c r="T99" s="483"/>
      <c r="U99" s="483"/>
      <c r="V99" s="483"/>
      <c r="W99" s="483"/>
      <c r="X99" s="483"/>
      <c r="Y99" s="483"/>
      <c r="Z99" s="483"/>
      <c r="AA99" s="483"/>
      <c r="AB99" s="483"/>
      <c r="AC99" s="483"/>
      <c r="AD99" s="483"/>
    </row>
    <row r="100" spans="3:30">
      <c r="C100" s="483"/>
      <c r="D100" s="483"/>
      <c r="E100" s="483"/>
      <c r="F100" s="483"/>
      <c r="G100" s="483"/>
      <c r="H100" s="483"/>
      <c r="I100" s="483"/>
      <c r="J100" s="483"/>
      <c r="K100" s="483"/>
      <c r="L100" s="483"/>
      <c r="M100" s="483"/>
      <c r="N100" s="483"/>
      <c r="O100" s="483"/>
      <c r="P100" s="483"/>
      <c r="Q100" s="483"/>
      <c r="R100" s="483"/>
      <c r="S100" s="483"/>
      <c r="T100" s="483"/>
      <c r="U100" s="483"/>
      <c r="V100" s="483"/>
      <c r="W100" s="483"/>
      <c r="X100" s="483"/>
      <c r="Y100" s="483"/>
      <c r="Z100" s="483"/>
      <c r="AA100" s="483"/>
      <c r="AB100" s="483"/>
      <c r="AC100" s="483"/>
      <c r="AD100" s="483"/>
    </row>
    <row r="101" spans="3:30">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row>
    <row r="102" spans="3:30">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row>
    <row r="103" spans="3:30">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row>
    <row r="104" spans="3:30">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row>
    <row r="105" spans="3:30">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row>
    <row r="106" spans="3:30">
      <c r="C106" s="483"/>
      <c r="D106" s="483"/>
      <c r="E106" s="483"/>
      <c r="F106" s="483"/>
      <c r="G106" s="483"/>
      <c r="H106" s="483"/>
      <c r="I106" s="483"/>
      <c r="J106" s="483"/>
      <c r="K106" s="483"/>
      <c r="L106" s="483"/>
      <c r="M106" s="483"/>
      <c r="N106" s="483"/>
      <c r="O106" s="483"/>
      <c r="P106" s="483"/>
      <c r="Q106" s="483"/>
      <c r="R106" s="483"/>
      <c r="S106" s="483"/>
      <c r="T106" s="483"/>
      <c r="U106" s="483"/>
      <c r="V106" s="483"/>
      <c r="W106" s="483"/>
      <c r="X106" s="483"/>
      <c r="Y106" s="483"/>
      <c r="Z106" s="483"/>
      <c r="AA106" s="483"/>
      <c r="AB106" s="483"/>
      <c r="AC106" s="483"/>
      <c r="AD106" s="483"/>
    </row>
    <row r="107" spans="3:30">
      <c r="C107" s="483"/>
      <c r="D107" s="483"/>
      <c r="E107" s="483"/>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row>
    <row r="108" spans="3:30">
      <c r="C108" s="483"/>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3"/>
      <c r="AD108" s="483"/>
    </row>
    <row r="109" spans="3:30">
      <c r="C109" s="483"/>
      <c r="D109" s="483"/>
      <c r="E109" s="483"/>
      <c r="F109" s="483"/>
      <c r="G109" s="483"/>
      <c r="H109" s="483"/>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row>
    <row r="110" spans="3:30">
      <c r="C110" s="483"/>
      <c r="D110" s="483"/>
      <c r="E110" s="483"/>
      <c r="F110" s="483"/>
      <c r="G110" s="483"/>
      <c r="H110" s="483"/>
      <c r="I110" s="483"/>
      <c r="J110" s="483"/>
      <c r="K110" s="483"/>
      <c r="L110" s="483"/>
      <c r="M110" s="483"/>
      <c r="N110" s="483"/>
      <c r="O110" s="483"/>
      <c r="P110" s="483"/>
      <c r="Q110" s="483"/>
      <c r="R110" s="483"/>
      <c r="S110" s="483"/>
      <c r="T110" s="483"/>
      <c r="U110" s="483"/>
      <c r="V110" s="483"/>
      <c r="W110" s="483"/>
      <c r="X110" s="483"/>
      <c r="Y110" s="483"/>
      <c r="Z110" s="483"/>
      <c r="AA110" s="483"/>
      <c r="AB110" s="483"/>
      <c r="AC110" s="483"/>
      <c r="AD110" s="483"/>
    </row>
    <row r="111" spans="3:30">
      <c r="C111" s="483"/>
      <c r="D111" s="483"/>
      <c r="E111" s="483"/>
      <c r="F111" s="483"/>
      <c r="G111" s="483"/>
      <c r="H111" s="483"/>
      <c r="I111" s="483"/>
      <c r="J111" s="483"/>
      <c r="K111" s="483"/>
      <c r="L111" s="483"/>
      <c r="M111" s="483"/>
      <c r="N111" s="483"/>
      <c r="O111" s="483"/>
      <c r="P111" s="483"/>
      <c r="Q111" s="483"/>
      <c r="R111" s="483"/>
      <c r="S111" s="483"/>
      <c r="T111" s="483"/>
      <c r="U111" s="483"/>
      <c r="V111" s="483"/>
      <c r="W111" s="483"/>
      <c r="X111" s="483"/>
      <c r="Y111" s="483"/>
      <c r="Z111" s="483"/>
      <c r="AA111" s="483"/>
      <c r="AB111" s="483"/>
      <c r="AC111" s="483"/>
      <c r="AD111" s="483"/>
    </row>
    <row r="112" spans="3:30">
      <c r="C112" s="483"/>
      <c r="D112" s="483"/>
      <c r="E112" s="483"/>
      <c r="F112" s="483"/>
      <c r="G112" s="483"/>
      <c r="H112" s="483"/>
      <c r="I112" s="483"/>
      <c r="J112" s="483"/>
      <c r="K112" s="483"/>
      <c r="L112" s="483"/>
      <c r="M112" s="483"/>
      <c r="N112" s="483"/>
      <c r="O112" s="483"/>
      <c r="P112" s="483"/>
      <c r="Q112" s="483"/>
      <c r="R112" s="483"/>
      <c r="S112" s="483"/>
      <c r="T112" s="483"/>
      <c r="U112" s="483"/>
      <c r="V112" s="483"/>
      <c r="W112" s="483"/>
      <c r="X112" s="483"/>
      <c r="Y112" s="483"/>
      <c r="Z112" s="483"/>
      <c r="AA112" s="483"/>
      <c r="AB112" s="483"/>
      <c r="AC112" s="483"/>
      <c r="AD112" s="483"/>
    </row>
    <row r="113" spans="3:30">
      <c r="C113" s="483"/>
      <c r="D113" s="483"/>
      <c r="E113" s="483"/>
      <c r="F113" s="483"/>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C113" s="483"/>
      <c r="AD113" s="483"/>
    </row>
    <row r="114" spans="3:30">
      <c r="C114" s="483"/>
      <c r="D114" s="483"/>
      <c r="E114" s="483"/>
      <c r="F114" s="483"/>
      <c r="G114" s="483"/>
      <c r="H114" s="483"/>
      <c r="I114" s="483"/>
      <c r="J114" s="483"/>
      <c r="K114" s="483"/>
      <c r="L114" s="483"/>
      <c r="M114" s="483"/>
      <c r="N114" s="483"/>
      <c r="O114" s="483"/>
      <c r="P114" s="483"/>
      <c r="Q114" s="483"/>
      <c r="R114" s="483"/>
      <c r="S114" s="483"/>
      <c r="T114" s="483"/>
      <c r="U114" s="483"/>
      <c r="V114" s="483"/>
      <c r="W114" s="483"/>
      <c r="X114" s="483"/>
      <c r="Y114" s="483"/>
      <c r="Z114" s="483"/>
      <c r="AA114" s="483"/>
      <c r="AB114" s="483"/>
      <c r="AC114" s="483"/>
      <c r="AD114" s="483"/>
    </row>
    <row r="115" spans="3:30">
      <c r="C115" s="483"/>
      <c r="D115" s="483"/>
      <c r="E115" s="483"/>
      <c r="F115" s="483"/>
      <c r="G115" s="483"/>
      <c r="H115" s="483"/>
      <c r="I115" s="483"/>
      <c r="J115" s="483"/>
      <c r="K115" s="483"/>
      <c r="L115" s="483"/>
      <c r="M115" s="483"/>
      <c r="N115" s="483"/>
      <c r="O115" s="483"/>
      <c r="P115" s="483"/>
      <c r="Q115" s="483"/>
      <c r="R115" s="483"/>
      <c r="S115" s="483"/>
      <c r="T115" s="483"/>
      <c r="U115" s="483"/>
      <c r="V115" s="483"/>
      <c r="W115" s="483"/>
      <c r="X115" s="483"/>
      <c r="Y115" s="483"/>
      <c r="Z115" s="483"/>
      <c r="AA115" s="483"/>
      <c r="AB115" s="483"/>
      <c r="AC115" s="483"/>
      <c r="AD115" s="483"/>
    </row>
    <row r="116" spans="3:30">
      <c r="C116" s="483"/>
      <c r="D116" s="483"/>
      <c r="E116" s="483"/>
      <c r="F116" s="483"/>
      <c r="G116" s="483"/>
      <c r="H116" s="483"/>
      <c r="I116" s="483"/>
      <c r="J116" s="483"/>
      <c r="K116" s="483"/>
      <c r="L116" s="483"/>
      <c r="M116" s="483"/>
      <c r="N116" s="483"/>
      <c r="O116" s="483"/>
      <c r="P116" s="483"/>
      <c r="Q116" s="483"/>
      <c r="R116" s="483"/>
      <c r="S116" s="483"/>
      <c r="T116" s="483"/>
      <c r="U116" s="483"/>
      <c r="V116" s="483"/>
      <c r="W116" s="483"/>
      <c r="X116" s="483"/>
      <c r="Y116" s="483"/>
      <c r="Z116" s="483"/>
      <c r="AA116" s="483"/>
      <c r="AB116" s="483"/>
      <c r="AC116" s="483"/>
      <c r="AD116" s="483"/>
    </row>
    <row r="117" spans="3:30">
      <c r="C117" s="483"/>
      <c r="D117" s="483"/>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c r="AA117" s="483"/>
      <c r="AB117" s="483"/>
      <c r="AC117" s="483"/>
      <c r="AD117" s="483"/>
    </row>
    <row r="118" spans="3:30">
      <c r="C118" s="483"/>
      <c r="D118" s="483"/>
      <c r="E118" s="483"/>
      <c r="F118" s="483"/>
      <c r="G118" s="483"/>
      <c r="H118" s="483"/>
      <c r="I118" s="483"/>
      <c r="J118" s="483"/>
      <c r="K118" s="483"/>
      <c r="L118" s="483"/>
      <c r="M118" s="483"/>
      <c r="N118" s="483"/>
      <c r="O118" s="483"/>
      <c r="P118" s="483"/>
      <c r="Q118" s="483"/>
      <c r="R118" s="483"/>
      <c r="S118" s="483"/>
      <c r="T118" s="483"/>
      <c r="U118" s="483"/>
      <c r="V118" s="483"/>
      <c r="W118" s="483"/>
      <c r="X118" s="483"/>
      <c r="Y118" s="483"/>
      <c r="Z118" s="483"/>
      <c r="AA118" s="483"/>
      <c r="AB118" s="483"/>
      <c r="AC118" s="483"/>
      <c r="AD118" s="483"/>
    </row>
    <row r="119" spans="3:30">
      <c r="C119" s="483"/>
      <c r="D119" s="483"/>
      <c r="E119" s="483"/>
      <c r="F119" s="483"/>
      <c r="G119" s="483"/>
      <c r="H119" s="483"/>
      <c r="I119" s="483"/>
      <c r="J119" s="483"/>
      <c r="K119" s="483"/>
      <c r="L119" s="483"/>
      <c r="M119" s="483"/>
      <c r="N119" s="483"/>
      <c r="O119" s="483"/>
      <c r="P119" s="483"/>
      <c r="Q119" s="483"/>
      <c r="R119" s="483"/>
      <c r="S119" s="483"/>
      <c r="T119" s="483"/>
      <c r="U119" s="483"/>
      <c r="V119" s="483"/>
      <c r="W119" s="483"/>
      <c r="X119" s="483"/>
      <c r="Y119" s="483"/>
      <c r="Z119" s="483"/>
      <c r="AA119" s="483"/>
      <c r="AB119" s="483"/>
      <c r="AC119" s="483"/>
      <c r="AD119" s="483"/>
    </row>
    <row r="120" spans="3:30">
      <c r="C120" s="483"/>
      <c r="D120" s="483"/>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row>
    <row r="121" spans="3:30">
      <c r="C121" s="483"/>
      <c r="D121" s="483"/>
      <c r="E121" s="483"/>
      <c r="F121" s="483"/>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row>
    <row r="122" spans="3:30">
      <c r="C122" s="483"/>
      <c r="D122" s="483"/>
      <c r="E122" s="483"/>
      <c r="F122" s="483"/>
      <c r="G122" s="483"/>
      <c r="H122" s="483"/>
      <c r="I122" s="483"/>
      <c r="J122" s="483"/>
      <c r="K122" s="483"/>
      <c r="L122" s="483"/>
      <c r="M122" s="483"/>
      <c r="N122" s="483"/>
      <c r="O122" s="483"/>
      <c r="P122" s="483"/>
      <c r="Q122" s="483"/>
      <c r="R122" s="483"/>
      <c r="S122" s="483"/>
      <c r="T122" s="483"/>
      <c r="U122" s="483"/>
      <c r="V122" s="483"/>
      <c r="W122" s="483"/>
      <c r="X122" s="483"/>
      <c r="Y122" s="483"/>
      <c r="Z122" s="483"/>
      <c r="AA122" s="483"/>
      <c r="AB122" s="483"/>
      <c r="AC122" s="483"/>
      <c r="AD122" s="483"/>
    </row>
    <row r="123" spans="3:30">
      <c r="C123" s="483"/>
      <c r="D123" s="483"/>
      <c r="E123" s="483"/>
      <c r="F123" s="483"/>
      <c r="G123" s="483"/>
      <c r="H123" s="483"/>
      <c r="I123" s="483"/>
      <c r="J123" s="483"/>
      <c r="K123" s="483"/>
      <c r="L123" s="483"/>
      <c r="M123" s="483"/>
      <c r="N123" s="483"/>
      <c r="O123" s="483"/>
      <c r="P123" s="483"/>
      <c r="Q123" s="483"/>
      <c r="R123" s="483"/>
      <c r="S123" s="483"/>
      <c r="T123" s="483"/>
      <c r="U123" s="483"/>
      <c r="V123" s="483"/>
      <c r="W123" s="483"/>
      <c r="X123" s="483"/>
      <c r="Y123" s="483"/>
      <c r="Z123" s="483"/>
      <c r="AA123" s="483"/>
      <c r="AB123" s="483"/>
      <c r="AC123" s="483"/>
      <c r="AD123" s="483"/>
    </row>
    <row r="124" spans="3:30">
      <c r="C124" s="483"/>
      <c r="D124" s="483"/>
      <c r="E124" s="483"/>
      <c r="F124" s="483"/>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row>
    <row r="125" spans="3:30">
      <c r="C125" s="483"/>
      <c r="D125" s="483"/>
      <c r="E125" s="483"/>
      <c r="F125" s="483"/>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483"/>
    </row>
    <row r="126" spans="3:30">
      <c r="C126" s="483"/>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c r="AA126" s="483"/>
      <c r="AB126" s="483"/>
      <c r="AC126" s="483"/>
      <c r="AD126" s="483"/>
    </row>
    <row r="127" spans="3:30">
      <c r="C127" s="483"/>
      <c r="D127" s="483"/>
      <c r="E127" s="483"/>
      <c r="F127" s="483"/>
      <c r="G127" s="483"/>
      <c r="H127" s="483"/>
      <c r="I127" s="483"/>
      <c r="J127" s="483"/>
      <c r="K127" s="483"/>
      <c r="L127" s="483"/>
      <c r="M127" s="483"/>
      <c r="N127" s="483"/>
      <c r="O127" s="483"/>
      <c r="P127" s="483"/>
      <c r="Q127" s="483"/>
      <c r="R127" s="483"/>
      <c r="S127" s="483"/>
      <c r="T127" s="483"/>
      <c r="U127" s="483"/>
      <c r="V127" s="483"/>
      <c r="W127" s="483"/>
      <c r="X127" s="483"/>
      <c r="Y127" s="483"/>
      <c r="Z127" s="483"/>
      <c r="AA127" s="483"/>
      <c r="AB127" s="483"/>
      <c r="AC127" s="483"/>
      <c r="AD127" s="483"/>
    </row>
    <row r="128" spans="3:30">
      <c r="C128" s="483"/>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c r="AA128" s="483"/>
      <c r="AB128" s="483"/>
      <c r="AC128" s="483"/>
      <c r="AD128" s="483"/>
    </row>
    <row r="129" spans="3:30">
      <c r="C129" s="483"/>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c r="AA129" s="483"/>
      <c r="AB129" s="483"/>
      <c r="AC129" s="483"/>
      <c r="AD129" s="483"/>
    </row>
    <row r="130" spans="3:30">
      <c r="C130" s="483"/>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row>
    <row r="131" spans="3:30">
      <c r="C131" s="483"/>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row>
    <row r="132" spans="3:30">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row>
    <row r="133" spans="3:30">
      <c r="C133" s="483"/>
      <c r="D133" s="483"/>
      <c r="E133" s="483"/>
      <c r="F133" s="483"/>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row>
    <row r="134" spans="3:30">
      <c r="C134" s="483"/>
      <c r="D134" s="483"/>
      <c r="E134" s="483"/>
      <c r="F134" s="483"/>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row>
    <row r="135" spans="3:30">
      <c r="C135" s="483"/>
      <c r="D135" s="483"/>
      <c r="E135" s="483"/>
      <c r="F135" s="483"/>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row>
    <row r="136" spans="3:30">
      <c r="C136" s="483"/>
      <c r="D136" s="483"/>
      <c r="E136" s="483"/>
      <c r="F136" s="483"/>
      <c r="G136" s="483"/>
      <c r="H136" s="483"/>
      <c r="I136" s="483"/>
      <c r="J136" s="483"/>
      <c r="K136" s="483"/>
      <c r="L136" s="483"/>
      <c r="M136" s="483"/>
      <c r="N136" s="483"/>
      <c r="O136" s="483"/>
      <c r="P136" s="483"/>
      <c r="Q136" s="483"/>
      <c r="R136" s="483"/>
      <c r="S136" s="483"/>
      <c r="T136" s="483"/>
      <c r="U136" s="483"/>
      <c r="V136" s="483"/>
      <c r="W136" s="483"/>
      <c r="X136" s="483"/>
      <c r="Y136" s="483"/>
      <c r="Z136" s="483"/>
      <c r="AA136" s="483"/>
      <c r="AB136" s="483"/>
      <c r="AC136" s="483"/>
      <c r="AD136" s="483"/>
    </row>
    <row r="137" spans="3:30">
      <c r="C137" s="483"/>
      <c r="D137" s="483"/>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row>
    <row r="138" spans="3:30">
      <c r="C138" s="483"/>
      <c r="D138" s="483"/>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c r="AA138" s="483"/>
      <c r="AB138" s="483"/>
      <c r="AC138" s="483"/>
      <c r="AD138" s="483"/>
    </row>
    <row r="139" spans="3:30">
      <c r="C139" s="483"/>
      <c r="D139" s="483"/>
      <c r="E139" s="483"/>
      <c r="F139" s="483"/>
      <c r="G139" s="483"/>
      <c r="H139" s="483"/>
      <c r="I139" s="483"/>
      <c r="J139" s="483"/>
      <c r="K139" s="483"/>
      <c r="L139" s="483"/>
      <c r="M139" s="483"/>
      <c r="N139" s="483"/>
      <c r="O139" s="483"/>
      <c r="P139" s="483"/>
      <c r="Q139" s="483"/>
      <c r="R139" s="483"/>
      <c r="S139" s="483"/>
      <c r="T139" s="483"/>
      <c r="U139" s="483"/>
      <c r="V139" s="483"/>
      <c r="W139" s="483"/>
      <c r="X139" s="483"/>
      <c r="Y139" s="483"/>
      <c r="Z139" s="483"/>
      <c r="AA139" s="483"/>
      <c r="AB139" s="483"/>
      <c r="AC139" s="483"/>
      <c r="AD139" s="483"/>
    </row>
    <row r="140" spans="3:30">
      <c r="C140" s="483"/>
      <c r="D140" s="483"/>
      <c r="E140" s="483"/>
      <c r="F140" s="483"/>
      <c r="G140" s="483"/>
      <c r="H140" s="483"/>
      <c r="I140" s="483"/>
      <c r="J140" s="483"/>
      <c r="K140" s="483"/>
      <c r="L140" s="483"/>
      <c r="M140" s="483"/>
      <c r="N140" s="483"/>
      <c r="O140" s="483"/>
      <c r="P140" s="483"/>
      <c r="Q140" s="483"/>
      <c r="R140" s="483"/>
      <c r="S140" s="483"/>
      <c r="T140" s="483"/>
      <c r="U140" s="483"/>
      <c r="V140" s="483"/>
      <c r="W140" s="483"/>
      <c r="X140" s="483"/>
      <c r="Y140" s="483"/>
      <c r="Z140" s="483"/>
      <c r="AA140" s="483"/>
      <c r="AB140" s="483"/>
      <c r="AC140" s="483"/>
      <c r="AD140" s="483"/>
    </row>
    <row r="141" spans="3:30">
      <c r="C141" s="483"/>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row>
    <row r="142" spans="3:30">
      <c r="C142" s="483"/>
      <c r="D142" s="483"/>
      <c r="E142" s="483"/>
      <c r="F142" s="483"/>
      <c r="G142" s="483"/>
      <c r="H142" s="483"/>
      <c r="I142" s="483"/>
      <c r="J142" s="483"/>
      <c r="K142" s="483"/>
      <c r="L142" s="483"/>
      <c r="M142" s="483"/>
      <c r="N142" s="483"/>
      <c r="O142" s="483"/>
      <c r="P142" s="483"/>
      <c r="Q142" s="483"/>
      <c r="R142" s="483"/>
      <c r="S142" s="483"/>
      <c r="T142" s="483"/>
      <c r="U142" s="483"/>
      <c r="V142" s="483"/>
      <c r="W142" s="483"/>
      <c r="X142" s="483"/>
      <c r="Y142" s="483"/>
      <c r="Z142" s="483"/>
      <c r="AA142" s="483"/>
      <c r="AB142" s="483"/>
      <c r="AC142" s="483"/>
      <c r="AD142" s="483"/>
    </row>
    <row r="143" spans="3:30">
      <c r="C143" s="483"/>
      <c r="D143" s="483"/>
      <c r="E143" s="483"/>
      <c r="F143" s="483"/>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row>
    <row r="144" spans="3:30">
      <c r="C144" s="483"/>
      <c r="D144" s="483"/>
      <c r="E144" s="483"/>
      <c r="F144" s="483"/>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row>
    <row r="145" spans="3:30">
      <c r="C145" s="483"/>
      <c r="D145" s="483"/>
      <c r="E145" s="483"/>
      <c r="F145" s="483"/>
      <c r="G145" s="483"/>
      <c r="H145" s="483"/>
      <c r="I145" s="483"/>
      <c r="J145" s="483"/>
      <c r="K145" s="483"/>
      <c r="L145" s="483"/>
      <c r="M145" s="483"/>
      <c r="N145" s="483"/>
      <c r="O145" s="483"/>
      <c r="P145" s="483"/>
      <c r="Q145" s="483"/>
      <c r="R145" s="483"/>
      <c r="S145" s="483"/>
      <c r="T145" s="483"/>
      <c r="U145" s="483"/>
      <c r="V145" s="483"/>
      <c r="W145" s="483"/>
      <c r="X145" s="483"/>
      <c r="Y145" s="483"/>
      <c r="Z145" s="483"/>
      <c r="AA145" s="483"/>
      <c r="AB145" s="483"/>
      <c r="AC145" s="483"/>
      <c r="AD145" s="483"/>
    </row>
    <row r="146" spans="3:30">
      <c r="C146" s="483"/>
      <c r="D146" s="483"/>
      <c r="E146" s="483"/>
      <c r="F146" s="483"/>
      <c r="G146" s="483"/>
      <c r="H146" s="483"/>
      <c r="I146" s="483"/>
      <c r="J146" s="483"/>
      <c r="K146" s="483"/>
      <c r="L146" s="483"/>
      <c r="M146" s="483"/>
      <c r="N146" s="483"/>
      <c r="O146" s="483"/>
      <c r="P146" s="483"/>
      <c r="Q146" s="483"/>
      <c r="R146" s="483"/>
      <c r="S146" s="483"/>
      <c r="T146" s="483"/>
      <c r="U146" s="483"/>
      <c r="V146" s="483"/>
      <c r="W146" s="483"/>
      <c r="X146" s="483"/>
      <c r="Y146" s="483"/>
      <c r="Z146" s="483"/>
      <c r="AA146" s="483"/>
      <c r="AB146" s="483"/>
      <c r="AC146" s="483"/>
      <c r="AD146" s="483"/>
    </row>
    <row r="147" spans="3:30">
      <c r="C147" s="483"/>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c r="AA147" s="483"/>
      <c r="AB147" s="483"/>
      <c r="AC147" s="483"/>
      <c r="AD147" s="483"/>
    </row>
    <row r="148" spans="3:30">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3"/>
      <c r="AD148" s="483"/>
    </row>
    <row r="149" spans="3:30">
      <c r="C149" s="483"/>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c r="AA149" s="483"/>
      <c r="AB149" s="483"/>
      <c r="AC149" s="483"/>
      <c r="AD149" s="483"/>
    </row>
    <row r="150" spans="3:30">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3"/>
      <c r="AD150" s="483"/>
    </row>
    <row r="151" spans="3:30">
      <c r="C151" s="483"/>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c r="AA151" s="483"/>
      <c r="AB151" s="483"/>
      <c r="AC151" s="483"/>
      <c r="AD151" s="483"/>
    </row>
    <row r="152" spans="3:30">
      <c r="C152" s="483"/>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c r="AA152" s="483"/>
      <c r="AB152" s="483"/>
      <c r="AC152" s="483"/>
      <c r="AD152" s="483"/>
    </row>
    <row r="153" spans="3:30">
      <c r="C153" s="483"/>
      <c r="D153" s="483"/>
      <c r="E153" s="483"/>
      <c r="F153" s="483"/>
      <c r="G153" s="483"/>
      <c r="H153" s="483"/>
      <c r="I153" s="483"/>
      <c r="J153" s="483"/>
      <c r="K153" s="483"/>
      <c r="L153" s="483"/>
      <c r="M153" s="483"/>
      <c r="N153" s="483"/>
      <c r="O153" s="483"/>
      <c r="P153" s="483"/>
      <c r="Q153" s="483"/>
      <c r="R153" s="483"/>
      <c r="S153" s="483"/>
      <c r="T153" s="483"/>
      <c r="U153" s="483"/>
      <c r="V153" s="483"/>
      <c r="W153" s="483"/>
      <c r="X153" s="483"/>
      <c r="Y153" s="483"/>
      <c r="Z153" s="483"/>
      <c r="AA153" s="483"/>
      <c r="AB153" s="483"/>
      <c r="AC153" s="483"/>
      <c r="AD153" s="483"/>
    </row>
    <row r="154" spans="3:30">
      <c r="C154" s="483"/>
      <c r="D154" s="483"/>
      <c r="E154" s="483"/>
      <c r="F154" s="483"/>
      <c r="G154" s="483"/>
      <c r="H154" s="483"/>
      <c r="I154" s="483"/>
      <c r="J154" s="483"/>
      <c r="K154" s="483"/>
      <c r="L154" s="483"/>
      <c r="M154" s="483"/>
      <c r="N154" s="483"/>
      <c r="O154" s="483"/>
      <c r="P154" s="483"/>
      <c r="Q154" s="483"/>
      <c r="R154" s="483"/>
      <c r="S154" s="483"/>
      <c r="T154" s="483"/>
      <c r="U154" s="483"/>
      <c r="V154" s="483"/>
      <c r="W154" s="483"/>
      <c r="X154" s="483"/>
      <c r="Y154" s="483"/>
      <c r="Z154" s="483"/>
      <c r="AA154" s="483"/>
      <c r="AB154" s="483"/>
      <c r="AC154" s="483"/>
      <c r="AD154" s="483"/>
    </row>
    <row r="155" spans="3:30">
      <c r="C155" s="483"/>
      <c r="D155" s="483"/>
      <c r="E155" s="483"/>
      <c r="F155" s="483"/>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row>
    <row r="156" spans="3:30">
      <c r="C156" s="483"/>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483"/>
    </row>
    <row r="157" spans="3:30">
      <c r="C157" s="483"/>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3"/>
      <c r="AD157" s="483"/>
    </row>
    <row r="158" spans="3:30">
      <c r="C158" s="483"/>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3"/>
      <c r="AD158" s="483"/>
    </row>
    <row r="159" spans="3:30">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3"/>
      <c r="AD159" s="483"/>
    </row>
    <row r="160" spans="3:30">
      <c r="C160" s="483"/>
      <c r="D160" s="483"/>
      <c r="E160" s="483"/>
      <c r="F160" s="483"/>
      <c r="G160" s="483"/>
      <c r="H160" s="483"/>
      <c r="I160" s="483"/>
      <c r="J160" s="483"/>
      <c r="K160" s="483"/>
      <c r="L160" s="483"/>
      <c r="M160" s="483"/>
      <c r="N160" s="483"/>
      <c r="O160" s="483"/>
      <c r="P160" s="483"/>
      <c r="Q160" s="483"/>
      <c r="R160" s="483"/>
      <c r="S160" s="483"/>
      <c r="T160" s="483"/>
      <c r="U160" s="483"/>
      <c r="V160" s="483"/>
      <c r="W160" s="483"/>
      <c r="X160" s="483"/>
      <c r="Y160" s="483"/>
      <c r="Z160" s="483"/>
      <c r="AA160" s="483"/>
      <c r="AB160" s="483"/>
      <c r="AC160" s="483"/>
      <c r="AD160" s="483"/>
    </row>
    <row r="161" spans="3:30">
      <c r="C161" s="483"/>
      <c r="D161" s="483"/>
      <c r="E161" s="483"/>
      <c r="F161" s="483"/>
      <c r="G161" s="483"/>
      <c r="H161" s="483"/>
      <c r="I161" s="483"/>
      <c r="J161" s="483"/>
      <c r="K161" s="483"/>
      <c r="L161" s="483"/>
      <c r="M161" s="483"/>
      <c r="N161" s="483"/>
      <c r="O161" s="483"/>
      <c r="P161" s="483"/>
      <c r="Q161" s="483"/>
      <c r="R161" s="483"/>
      <c r="S161" s="483"/>
      <c r="T161" s="483"/>
      <c r="U161" s="483"/>
      <c r="V161" s="483"/>
      <c r="W161" s="483"/>
      <c r="X161" s="483"/>
      <c r="Y161" s="483"/>
      <c r="Z161" s="483"/>
      <c r="AA161" s="483"/>
      <c r="AB161" s="483"/>
      <c r="AC161" s="483"/>
      <c r="AD161" s="483"/>
    </row>
    <row r="162" spans="3:30">
      <c r="C162" s="483"/>
      <c r="D162" s="483"/>
      <c r="E162" s="483"/>
      <c r="F162" s="483"/>
      <c r="G162" s="483"/>
      <c r="H162" s="483"/>
      <c r="I162" s="483"/>
      <c r="J162" s="483"/>
      <c r="K162" s="483"/>
      <c r="L162" s="483"/>
      <c r="M162" s="483"/>
      <c r="N162" s="483"/>
      <c r="O162" s="483"/>
      <c r="P162" s="483"/>
      <c r="Q162" s="483"/>
      <c r="R162" s="483"/>
      <c r="S162" s="483"/>
      <c r="T162" s="483"/>
      <c r="U162" s="483"/>
      <c r="V162" s="483"/>
      <c r="W162" s="483"/>
      <c r="X162" s="483"/>
      <c r="Y162" s="483"/>
      <c r="Z162" s="483"/>
      <c r="AA162" s="483"/>
      <c r="AB162" s="483"/>
      <c r="AC162" s="483"/>
      <c r="AD162" s="483"/>
    </row>
    <row r="163" spans="3:30">
      <c r="C163" s="483"/>
      <c r="D163" s="483"/>
      <c r="E163" s="483"/>
      <c r="F163" s="483"/>
      <c r="G163" s="483"/>
      <c r="H163" s="483"/>
      <c r="I163" s="483"/>
      <c r="J163" s="483"/>
      <c r="K163" s="483"/>
      <c r="L163" s="483"/>
      <c r="M163" s="483"/>
      <c r="N163" s="483"/>
      <c r="O163" s="483"/>
      <c r="P163" s="483"/>
      <c r="Q163" s="483"/>
      <c r="R163" s="483"/>
      <c r="S163" s="483"/>
      <c r="T163" s="483"/>
      <c r="U163" s="483"/>
      <c r="V163" s="483"/>
      <c r="W163" s="483"/>
      <c r="X163" s="483"/>
      <c r="Y163" s="483"/>
      <c r="Z163" s="483"/>
      <c r="AA163" s="483"/>
      <c r="AB163" s="483"/>
      <c r="AC163" s="483"/>
      <c r="AD163" s="483"/>
    </row>
    <row r="164" spans="3:30">
      <c r="C164" s="483"/>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row>
    <row r="165" spans="3:30">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3"/>
      <c r="AD165" s="483"/>
    </row>
    <row r="166" spans="3:30">
      <c r="C166" s="483"/>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3"/>
      <c r="AD166" s="483"/>
    </row>
    <row r="167" spans="3:30">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row>
    <row r="168" spans="3:30">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row>
    <row r="169" spans="3:30">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row>
    <row r="170" spans="3:30">
      <c r="C170" s="483"/>
      <c r="D170" s="483"/>
      <c r="E170" s="483"/>
      <c r="F170" s="483"/>
      <c r="G170" s="483"/>
      <c r="H170" s="483"/>
      <c r="I170" s="483"/>
      <c r="J170" s="483"/>
      <c r="K170" s="483"/>
      <c r="L170" s="483"/>
      <c r="M170" s="483"/>
      <c r="N170" s="483"/>
      <c r="O170" s="483"/>
      <c r="P170" s="483"/>
      <c r="Q170" s="483"/>
      <c r="R170" s="483"/>
      <c r="S170" s="483"/>
      <c r="T170" s="483"/>
      <c r="U170" s="483"/>
      <c r="V170" s="483"/>
      <c r="W170" s="483"/>
      <c r="X170" s="483"/>
      <c r="Y170" s="483"/>
      <c r="Z170" s="483"/>
      <c r="AA170" s="483"/>
      <c r="AB170" s="483"/>
      <c r="AC170" s="483"/>
      <c r="AD170" s="483"/>
    </row>
    <row r="171" spans="3:30">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c r="AA171" s="483"/>
      <c r="AB171" s="483"/>
      <c r="AC171" s="483"/>
      <c r="AD171" s="483"/>
    </row>
    <row r="172" spans="3:30">
      <c r="C172" s="483"/>
      <c r="D172" s="483"/>
      <c r="E172" s="483"/>
      <c r="F172" s="483"/>
      <c r="G172" s="483"/>
      <c r="H172" s="483"/>
      <c r="I172" s="483"/>
      <c r="J172" s="483"/>
      <c r="K172" s="483"/>
      <c r="L172" s="483"/>
      <c r="M172" s="483"/>
      <c r="N172" s="483"/>
      <c r="O172" s="483"/>
      <c r="P172" s="483"/>
      <c r="Q172" s="483"/>
      <c r="R172" s="483"/>
      <c r="S172" s="483"/>
      <c r="T172" s="483"/>
      <c r="U172" s="483"/>
      <c r="V172" s="483"/>
      <c r="W172" s="483"/>
      <c r="X172" s="483"/>
      <c r="Y172" s="483"/>
      <c r="Z172" s="483"/>
      <c r="AA172" s="483"/>
      <c r="AB172" s="483"/>
      <c r="AC172" s="483"/>
      <c r="AD172" s="483"/>
    </row>
    <row r="173" spans="3:30">
      <c r="C173" s="483"/>
      <c r="D173" s="483"/>
      <c r="E173" s="483"/>
      <c r="F173" s="483"/>
      <c r="G173" s="483"/>
      <c r="H173" s="483"/>
      <c r="I173" s="483"/>
      <c r="J173" s="483"/>
      <c r="K173" s="483"/>
      <c r="L173" s="483"/>
      <c r="M173" s="483"/>
      <c r="N173" s="483"/>
      <c r="O173" s="483"/>
      <c r="P173" s="483"/>
      <c r="Q173" s="483"/>
      <c r="R173" s="483"/>
      <c r="S173" s="483"/>
      <c r="T173" s="483"/>
      <c r="U173" s="483"/>
      <c r="V173" s="483"/>
      <c r="W173" s="483"/>
      <c r="X173" s="483"/>
      <c r="Y173" s="483"/>
      <c r="Z173" s="483"/>
      <c r="AA173" s="483"/>
      <c r="AB173" s="483"/>
      <c r="AC173" s="483"/>
      <c r="AD173" s="483"/>
    </row>
    <row r="174" spans="3:30">
      <c r="C174" s="483"/>
      <c r="D174" s="483"/>
      <c r="E174" s="483"/>
      <c r="F174" s="483"/>
      <c r="G174" s="483"/>
      <c r="H174" s="483"/>
      <c r="I174" s="483"/>
      <c r="J174" s="483"/>
      <c r="K174" s="483"/>
      <c r="L174" s="483"/>
      <c r="M174" s="483"/>
      <c r="N174" s="483"/>
      <c r="O174" s="483"/>
      <c r="P174" s="483"/>
      <c r="Q174" s="483"/>
      <c r="R174" s="483"/>
      <c r="S174" s="483"/>
      <c r="T174" s="483"/>
      <c r="U174" s="483"/>
      <c r="V174" s="483"/>
      <c r="W174" s="483"/>
      <c r="X174" s="483"/>
      <c r="Y174" s="483"/>
      <c r="Z174" s="483"/>
      <c r="AA174" s="483"/>
      <c r="AB174" s="483"/>
      <c r="AC174" s="483"/>
      <c r="AD174" s="483"/>
    </row>
    <row r="175" spans="3:30">
      <c r="C175" s="483"/>
      <c r="D175" s="483"/>
      <c r="E175" s="483"/>
      <c r="F175" s="483"/>
      <c r="G175" s="483"/>
      <c r="H175" s="483"/>
      <c r="I175" s="483"/>
      <c r="J175" s="483"/>
      <c r="K175" s="483"/>
      <c r="L175" s="483"/>
      <c r="M175" s="483"/>
      <c r="N175" s="483"/>
      <c r="O175" s="483"/>
      <c r="P175" s="483"/>
      <c r="Q175" s="483"/>
      <c r="R175" s="483"/>
      <c r="S175" s="483"/>
      <c r="T175" s="483"/>
      <c r="U175" s="483"/>
      <c r="V175" s="483"/>
      <c r="W175" s="483"/>
      <c r="X175" s="483"/>
      <c r="Y175" s="483"/>
      <c r="Z175" s="483"/>
      <c r="AA175" s="483"/>
      <c r="AB175" s="483"/>
      <c r="AC175" s="483"/>
      <c r="AD175" s="483"/>
    </row>
    <row r="176" spans="3:30">
      <c r="C176" s="483"/>
      <c r="D176" s="483"/>
      <c r="E176" s="483"/>
      <c r="F176" s="483"/>
      <c r="G176" s="483"/>
      <c r="H176" s="483"/>
      <c r="I176" s="483"/>
      <c r="J176" s="483"/>
      <c r="K176" s="483"/>
      <c r="L176" s="483"/>
      <c r="M176" s="483"/>
      <c r="N176" s="483"/>
      <c r="O176" s="483"/>
      <c r="P176" s="483"/>
      <c r="Q176" s="483"/>
      <c r="R176" s="483"/>
      <c r="S176" s="483"/>
      <c r="T176" s="483"/>
      <c r="U176" s="483"/>
      <c r="V176" s="483"/>
      <c r="W176" s="483"/>
      <c r="X176" s="483"/>
      <c r="Y176" s="483"/>
      <c r="Z176" s="483"/>
      <c r="AA176" s="483"/>
      <c r="AB176" s="483"/>
      <c r="AC176" s="483"/>
      <c r="AD176" s="483"/>
    </row>
    <row r="177" spans="3:30">
      <c r="C177" s="483"/>
      <c r="D177" s="483"/>
      <c r="E177" s="483"/>
      <c r="F177" s="483"/>
      <c r="G177" s="483"/>
      <c r="H177" s="483"/>
      <c r="I177" s="483"/>
      <c r="J177" s="483"/>
      <c r="K177" s="483"/>
      <c r="L177" s="483"/>
      <c r="M177" s="483"/>
      <c r="N177" s="483"/>
      <c r="O177" s="483"/>
      <c r="P177" s="483"/>
      <c r="Q177" s="483"/>
      <c r="R177" s="483"/>
      <c r="S177" s="483"/>
      <c r="T177" s="483"/>
      <c r="U177" s="483"/>
      <c r="V177" s="483"/>
      <c r="W177" s="483"/>
      <c r="X177" s="483"/>
      <c r="Y177" s="483"/>
      <c r="Z177" s="483"/>
      <c r="AA177" s="483"/>
      <c r="AB177" s="483"/>
      <c r="AC177" s="483"/>
      <c r="AD177" s="483"/>
    </row>
    <row r="178" spans="3:30">
      <c r="C178" s="483"/>
      <c r="D178" s="483"/>
      <c r="E178" s="483"/>
      <c r="F178" s="483"/>
      <c r="G178" s="483"/>
      <c r="H178" s="483"/>
      <c r="I178" s="483"/>
      <c r="J178" s="483"/>
      <c r="K178" s="483"/>
      <c r="L178" s="483"/>
      <c r="M178" s="483"/>
      <c r="N178" s="483"/>
      <c r="O178" s="483"/>
      <c r="P178" s="483"/>
      <c r="Q178" s="483"/>
      <c r="R178" s="483"/>
      <c r="S178" s="483"/>
      <c r="T178" s="483"/>
      <c r="U178" s="483"/>
      <c r="V178" s="483"/>
      <c r="W178" s="483"/>
      <c r="X178" s="483"/>
      <c r="Y178" s="483"/>
      <c r="Z178" s="483"/>
      <c r="AA178" s="483"/>
      <c r="AB178" s="483"/>
      <c r="AC178" s="483"/>
      <c r="AD178" s="483"/>
    </row>
    <row r="179" spans="3:30">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row>
    <row r="180" spans="3:30">
      <c r="C180" s="483"/>
      <c r="D180" s="483"/>
      <c r="E180" s="483"/>
      <c r="F180" s="483"/>
      <c r="G180" s="483"/>
      <c r="H180" s="483"/>
      <c r="I180" s="483"/>
      <c r="J180" s="483"/>
      <c r="K180" s="483"/>
      <c r="L180" s="483"/>
      <c r="M180" s="483"/>
      <c r="N180" s="483"/>
      <c r="O180" s="483"/>
      <c r="P180" s="483"/>
      <c r="Q180" s="483"/>
      <c r="R180" s="483"/>
      <c r="S180" s="483"/>
      <c r="T180" s="483"/>
      <c r="U180" s="483"/>
      <c r="V180" s="483"/>
      <c r="W180" s="483"/>
      <c r="X180" s="483"/>
      <c r="Y180" s="483"/>
      <c r="Z180" s="483"/>
      <c r="AA180" s="483"/>
      <c r="AB180" s="483"/>
      <c r="AC180" s="483"/>
      <c r="AD180" s="483"/>
    </row>
    <row r="181" spans="3:30">
      <c r="C181" s="483"/>
      <c r="D181" s="483"/>
      <c r="E181" s="483"/>
      <c r="F181" s="483"/>
      <c r="G181" s="483"/>
      <c r="H181" s="483"/>
      <c r="I181" s="483"/>
      <c r="J181" s="483"/>
      <c r="K181" s="483"/>
      <c r="L181" s="483"/>
      <c r="M181" s="483"/>
      <c r="N181" s="483"/>
      <c r="O181" s="483"/>
      <c r="P181" s="483"/>
      <c r="Q181" s="483"/>
      <c r="R181" s="483"/>
      <c r="S181" s="483"/>
      <c r="T181" s="483"/>
      <c r="U181" s="483"/>
      <c r="V181" s="483"/>
      <c r="W181" s="483"/>
      <c r="X181" s="483"/>
      <c r="Y181" s="483"/>
      <c r="Z181" s="483"/>
      <c r="AA181" s="483"/>
      <c r="AB181" s="483"/>
      <c r="AC181" s="483"/>
      <c r="AD181" s="483"/>
    </row>
    <row r="182" spans="3:30">
      <c r="C182" s="483"/>
      <c r="D182" s="483"/>
      <c r="E182" s="483"/>
      <c r="F182" s="483"/>
      <c r="G182" s="483"/>
      <c r="H182" s="483"/>
      <c r="I182" s="483"/>
      <c r="J182" s="483"/>
      <c r="K182" s="483"/>
      <c r="L182" s="483"/>
      <c r="M182" s="483"/>
      <c r="N182" s="483"/>
      <c r="O182" s="483"/>
      <c r="P182" s="483"/>
      <c r="Q182" s="483"/>
      <c r="R182" s="483"/>
      <c r="S182" s="483"/>
      <c r="T182" s="483"/>
      <c r="U182" s="483"/>
      <c r="V182" s="483"/>
      <c r="W182" s="483"/>
      <c r="X182" s="483"/>
      <c r="Y182" s="483"/>
      <c r="Z182" s="483"/>
      <c r="AA182" s="483"/>
      <c r="AB182" s="483"/>
      <c r="AC182" s="483"/>
      <c r="AD182" s="483"/>
    </row>
    <row r="183" spans="3:30">
      <c r="C183" s="483"/>
      <c r="D183" s="483"/>
      <c r="E183" s="483"/>
      <c r="F183" s="483"/>
      <c r="G183" s="483"/>
      <c r="H183" s="483"/>
      <c r="I183" s="483"/>
      <c r="J183" s="483"/>
      <c r="K183" s="483"/>
      <c r="L183" s="483"/>
      <c r="M183" s="483"/>
      <c r="N183" s="483"/>
      <c r="O183" s="483"/>
      <c r="P183" s="483"/>
      <c r="Q183" s="483"/>
      <c r="R183" s="483"/>
      <c r="S183" s="483"/>
      <c r="T183" s="483"/>
      <c r="U183" s="483"/>
      <c r="V183" s="483"/>
      <c r="W183" s="483"/>
      <c r="X183" s="483"/>
      <c r="Y183" s="483"/>
      <c r="Z183" s="483"/>
      <c r="AA183" s="483"/>
      <c r="AB183" s="483"/>
      <c r="AC183" s="483"/>
      <c r="AD183" s="483"/>
    </row>
    <row r="184" spans="3:30">
      <c r="C184" s="483"/>
      <c r="D184" s="483"/>
      <c r="E184" s="483"/>
      <c r="F184" s="483"/>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row>
    <row r="185" spans="3:30">
      <c r="C185" s="483"/>
      <c r="D185" s="483"/>
      <c r="E185" s="483"/>
      <c r="F185" s="483"/>
      <c r="G185" s="483"/>
      <c r="H185" s="483"/>
      <c r="I185" s="483"/>
      <c r="J185" s="483"/>
      <c r="K185" s="483"/>
      <c r="L185" s="483"/>
      <c r="M185" s="483"/>
      <c r="N185" s="483"/>
      <c r="O185" s="483"/>
      <c r="P185" s="483"/>
      <c r="Q185" s="483"/>
      <c r="R185" s="483"/>
      <c r="S185" s="483"/>
      <c r="T185" s="483"/>
      <c r="U185" s="483"/>
      <c r="V185" s="483"/>
      <c r="W185" s="483"/>
      <c r="X185" s="483"/>
      <c r="Y185" s="483"/>
      <c r="Z185" s="483"/>
      <c r="AA185" s="483"/>
      <c r="AB185" s="483"/>
      <c r="AC185" s="483"/>
      <c r="AD185" s="483"/>
    </row>
    <row r="186" spans="3:30">
      <c r="C186" s="483"/>
      <c r="D186" s="483"/>
      <c r="E186" s="483"/>
      <c r="F186" s="483"/>
      <c r="G186" s="483"/>
      <c r="H186" s="483"/>
      <c r="I186" s="483"/>
      <c r="J186" s="483"/>
      <c r="K186" s="483"/>
      <c r="L186" s="483"/>
      <c r="M186" s="483"/>
      <c r="N186" s="483"/>
      <c r="O186" s="483"/>
      <c r="P186" s="483"/>
      <c r="Q186" s="483"/>
      <c r="R186" s="483"/>
      <c r="S186" s="483"/>
      <c r="T186" s="483"/>
      <c r="U186" s="483"/>
      <c r="V186" s="483"/>
      <c r="W186" s="483"/>
      <c r="X186" s="483"/>
      <c r="Y186" s="483"/>
      <c r="Z186" s="483"/>
      <c r="AA186" s="483"/>
      <c r="AB186" s="483"/>
      <c r="AC186" s="483"/>
      <c r="AD186" s="483"/>
    </row>
    <row r="187" spans="3:30">
      <c r="C187" s="483"/>
      <c r="D187" s="483"/>
      <c r="E187" s="483"/>
      <c r="F187" s="483"/>
      <c r="G187" s="483"/>
      <c r="H187" s="483"/>
      <c r="I187" s="483"/>
      <c r="J187" s="483"/>
      <c r="K187" s="483"/>
      <c r="L187" s="483"/>
      <c r="M187" s="483"/>
      <c r="N187" s="483"/>
      <c r="O187" s="483"/>
      <c r="P187" s="483"/>
      <c r="Q187" s="483"/>
      <c r="R187" s="483"/>
      <c r="S187" s="483"/>
      <c r="T187" s="483"/>
      <c r="U187" s="483"/>
      <c r="V187" s="483"/>
      <c r="W187" s="483"/>
      <c r="X187" s="483"/>
      <c r="Y187" s="483"/>
      <c r="Z187" s="483"/>
      <c r="AA187" s="483"/>
      <c r="AB187" s="483"/>
      <c r="AC187" s="483"/>
      <c r="AD187" s="483"/>
    </row>
    <row r="188" spans="3:30">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3"/>
      <c r="AB188" s="483"/>
      <c r="AC188" s="483"/>
      <c r="AD188" s="483"/>
    </row>
    <row r="189" spans="3:30">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c r="AA189" s="483"/>
      <c r="AB189" s="483"/>
      <c r="AC189" s="483"/>
      <c r="AD189" s="483"/>
    </row>
    <row r="190" spans="3:30">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c r="AA190" s="483"/>
      <c r="AB190" s="483"/>
      <c r="AC190" s="483"/>
      <c r="AD190" s="483"/>
    </row>
    <row r="191" spans="3:30">
      <c r="C191" s="483"/>
      <c r="D191" s="483"/>
      <c r="E191" s="483"/>
      <c r="F191" s="483"/>
      <c r="G191" s="483"/>
      <c r="H191" s="483"/>
      <c r="I191" s="483"/>
      <c r="J191" s="483"/>
      <c r="K191" s="483"/>
      <c r="L191" s="483"/>
      <c r="M191" s="483"/>
      <c r="N191" s="483"/>
      <c r="O191" s="483"/>
      <c r="P191" s="483"/>
      <c r="Q191" s="483"/>
      <c r="R191" s="483"/>
      <c r="S191" s="483"/>
      <c r="T191" s="483"/>
      <c r="U191" s="483"/>
      <c r="V191" s="483"/>
      <c r="W191" s="483"/>
      <c r="X191" s="483"/>
      <c r="Y191" s="483"/>
      <c r="Z191" s="483"/>
      <c r="AA191" s="483"/>
      <c r="AB191" s="483"/>
      <c r="AC191" s="483"/>
      <c r="AD191" s="483"/>
    </row>
    <row r="192" spans="3:30">
      <c r="C192" s="483"/>
      <c r="D192" s="483"/>
      <c r="E192" s="483"/>
      <c r="F192" s="483"/>
      <c r="G192" s="483"/>
      <c r="H192" s="483"/>
      <c r="I192" s="483"/>
      <c r="J192" s="483"/>
      <c r="K192" s="483"/>
      <c r="L192" s="483"/>
      <c r="M192" s="483"/>
      <c r="N192" s="483"/>
      <c r="O192" s="483"/>
      <c r="P192" s="483"/>
      <c r="Q192" s="483"/>
      <c r="R192" s="483"/>
      <c r="S192" s="483"/>
      <c r="T192" s="483"/>
      <c r="U192" s="483"/>
      <c r="V192" s="483"/>
      <c r="W192" s="483"/>
      <c r="X192" s="483"/>
      <c r="Y192" s="483"/>
      <c r="Z192" s="483"/>
      <c r="AA192" s="483"/>
      <c r="AB192" s="483"/>
      <c r="AC192" s="483"/>
      <c r="AD192" s="483"/>
    </row>
    <row r="193" spans="3:30">
      <c r="C193" s="483"/>
      <c r="D193" s="483"/>
      <c r="E193" s="483"/>
      <c r="F193" s="483"/>
      <c r="G193" s="483"/>
      <c r="H193" s="483"/>
      <c r="I193" s="483"/>
      <c r="J193" s="483"/>
      <c r="K193" s="483"/>
      <c r="L193" s="483"/>
      <c r="M193" s="483"/>
      <c r="N193" s="483"/>
      <c r="O193" s="483"/>
      <c r="P193" s="483"/>
      <c r="Q193" s="483"/>
      <c r="R193" s="483"/>
      <c r="S193" s="483"/>
      <c r="T193" s="483"/>
      <c r="U193" s="483"/>
      <c r="V193" s="483"/>
      <c r="W193" s="483"/>
      <c r="X193" s="483"/>
      <c r="Y193" s="483"/>
      <c r="Z193" s="483"/>
      <c r="AA193" s="483"/>
      <c r="AB193" s="483"/>
      <c r="AC193" s="483"/>
      <c r="AD193" s="483"/>
    </row>
    <row r="194" spans="3:30">
      <c r="C194" s="483"/>
      <c r="D194" s="483"/>
      <c r="E194" s="483"/>
      <c r="F194" s="483"/>
      <c r="G194" s="483"/>
      <c r="H194" s="483"/>
      <c r="I194" s="483"/>
      <c r="J194" s="483"/>
      <c r="K194" s="483"/>
      <c r="L194" s="483"/>
      <c r="M194" s="483"/>
      <c r="N194" s="483"/>
      <c r="O194" s="483"/>
      <c r="P194" s="483"/>
      <c r="Q194" s="483"/>
      <c r="R194" s="483"/>
      <c r="S194" s="483"/>
      <c r="T194" s="483"/>
      <c r="U194" s="483"/>
      <c r="V194" s="483"/>
      <c r="W194" s="483"/>
      <c r="X194" s="483"/>
      <c r="Y194" s="483"/>
      <c r="Z194" s="483"/>
      <c r="AA194" s="483"/>
      <c r="AB194" s="483"/>
      <c r="AC194" s="483"/>
      <c r="AD194" s="483"/>
    </row>
    <row r="195" spans="3:30">
      <c r="C195" s="483"/>
      <c r="D195" s="483"/>
      <c r="E195" s="483"/>
      <c r="F195" s="483"/>
      <c r="G195" s="483"/>
      <c r="H195" s="483"/>
      <c r="I195" s="483"/>
      <c r="J195" s="483"/>
      <c r="K195" s="483"/>
      <c r="L195" s="483"/>
      <c r="M195" s="483"/>
      <c r="N195" s="483"/>
      <c r="O195" s="483"/>
      <c r="P195" s="483"/>
      <c r="Q195" s="483"/>
      <c r="R195" s="483"/>
      <c r="S195" s="483"/>
      <c r="T195" s="483"/>
      <c r="U195" s="483"/>
      <c r="V195" s="483"/>
      <c r="W195" s="483"/>
      <c r="X195" s="483"/>
      <c r="Y195" s="483"/>
      <c r="Z195" s="483"/>
      <c r="AA195" s="483"/>
      <c r="AB195" s="483"/>
      <c r="AC195" s="483"/>
      <c r="AD195" s="483"/>
    </row>
    <row r="196" spans="3:30">
      <c r="C196" s="483"/>
      <c r="D196" s="483"/>
      <c r="E196" s="483"/>
      <c r="F196" s="483"/>
      <c r="G196" s="483"/>
      <c r="H196" s="483"/>
      <c r="I196" s="483"/>
      <c r="J196" s="483"/>
      <c r="K196" s="483"/>
      <c r="L196" s="483"/>
      <c r="M196" s="483"/>
      <c r="N196" s="483"/>
      <c r="O196" s="483"/>
      <c r="P196" s="483"/>
      <c r="Q196" s="483"/>
      <c r="R196" s="483"/>
      <c r="S196" s="483"/>
      <c r="T196" s="483"/>
      <c r="U196" s="483"/>
      <c r="V196" s="483"/>
      <c r="W196" s="483"/>
      <c r="X196" s="483"/>
      <c r="Y196" s="483"/>
      <c r="Z196" s="483"/>
      <c r="AA196" s="483"/>
      <c r="AB196" s="483"/>
      <c r="AC196" s="483"/>
      <c r="AD196" s="483"/>
    </row>
    <row r="197" spans="3:30">
      <c r="C197" s="483"/>
      <c r="D197" s="483"/>
      <c r="E197" s="483"/>
      <c r="F197" s="483"/>
      <c r="G197" s="483"/>
      <c r="H197" s="483"/>
      <c r="I197" s="483"/>
      <c r="J197" s="483"/>
      <c r="K197" s="483"/>
      <c r="L197" s="483"/>
      <c r="M197" s="483"/>
      <c r="N197" s="483"/>
      <c r="O197" s="483"/>
      <c r="P197" s="483"/>
      <c r="Q197" s="483"/>
      <c r="R197" s="483"/>
      <c r="S197" s="483"/>
      <c r="T197" s="483"/>
      <c r="U197" s="483"/>
      <c r="V197" s="483"/>
      <c r="W197" s="483"/>
      <c r="X197" s="483"/>
      <c r="Y197" s="483"/>
      <c r="Z197" s="483"/>
      <c r="AA197" s="483"/>
      <c r="AB197" s="483"/>
      <c r="AC197" s="483"/>
      <c r="AD197" s="483"/>
    </row>
    <row r="198" spans="3:30">
      <c r="C198" s="483"/>
      <c r="D198" s="483"/>
      <c r="E198" s="483"/>
      <c r="F198" s="483"/>
      <c r="G198" s="483"/>
      <c r="H198" s="483"/>
      <c r="I198" s="483"/>
      <c r="J198" s="483"/>
      <c r="K198" s="483"/>
      <c r="L198" s="483"/>
      <c r="M198" s="483"/>
      <c r="N198" s="483"/>
      <c r="O198" s="483"/>
      <c r="P198" s="483"/>
      <c r="Q198" s="483"/>
      <c r="R198" s="483"/>
      <c r="S198" s="483"/>
      <c r="T198" s="483"/>
      <c r="U198" s="483"/>
      <c r="V198" s="483"/>
      <c r="W198" s="483"/>
      <c r="X198" s="483"/>
      <c r="Y198" s="483"/>
      <c r="Z198" s="483"/>
      <c r="AA198" s="483"/>
      <c r="AB198" s="483"/>
      <c r="AC198" s="483"/>
      <c r="AD198" s="483"/>
    </row>
    <row r="199" spans="3:30">
      <c r="C199" s="483"/>
      <c r="D199" s="483"/>
      <c r="E199" s="483"/>
      <c r="F199" s="483"/>
      <c r="G199" s="483"/>
      <c r="H199" s="483"/>
      <c r="I199" s="483"/>
      <c r="J199" s="483"/>
      <c r="K199" s="483"/>
      <c r="L199" s="483"/>
      <c r="M199" s="483"/>
      <c r="N199" s="483"/>
      <c r="O199" s="483"/>
      <c r="P199" s="483"/>
      <c r="Q199" s="483"/>
      <c r="R199" s="483"/>
      <c r="S199" s="483"/>
      <c r="T199" s="483"/>
      <c r="U199" s="483"/>
      <c r="V199" s="483"/>
      <c r="W199" s="483"/>
      <c r="X199" s="483"/>
      <c r="Y199" s="483"/>
      <c r="Z199" s="483"/>
      <c r="AA199" s="483"/>
      <c r="AB199" s="483"/>
      <c r="AC199" s="483"/>
      <c r="AD199" s="483"/>
    </row>
    <row r="200" spans="3:30">
      <c r="C200" s="483"/>
      <c r="D200" s="483"/>
      <c r="E200" s="483"/>
      <c r="F200" s="483"/>
      <c r="G200" s="483"/>
      <c r="H200" s="483"/>
      <c r="I200" s="483"/>
      <c r="J200" s="483"/>
      <c r="K200" s="483"/>
      <c r="L200" s="483"/>
      <c r="M200" s="483"/>
      <c r="N200" s="483"/>
      <c r="O200" s="483"/>
      <c r="P200" s="483"/>
      <c r="Q200" s="483"/>
      <c r="R200" s="483"/>
      <c r="S200" s="483"/>
      <c r="T200" s="483"/>
      <c r="U200" s="483"/>
      <c r="V200" s="483"/>
      <c r="W200" s="483"/>
      <c r="X200" s="483"/>
      <c r="Y200" s="483"/>
      <c r="Z200" s="483"/>
      <c r="AA200" s="483"/>
      <c r="AB200" s="483"/>
      <c r="AC200" s="483"/>
      <c r="AD200" s="483"/>
    </row>
    <row r="201" spans="3:30">
      <c r="C201" s="483"/>
      <c r="D201" s="483"/>
      <c r="E201" s="483"/>
      <c r="F201" s="483"/>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3"/>
      <c r="AD201" s="483"/>
    </row>
    <row r="202" spans="3:30">
      <c r="C202" s="483"/>
      <c r="D202" s="483"/>
      <c r="E202" s="483"/>
      <c r="F202" s="483"/>
      <c r="G202" s="483"/>
      <c r="H202" s="483"/>
      <c r="I202" s="483"/>
      <c r="J202" s="483"/>
      <c r="K202" s="483"/>
      <c r="L202" s="483"/>
      <c r="M202" s="483"/>
      <c r="N202" s="483"/>
      <c r="O202" s="483"/>
      <c r="P202" s="483"/>
      <c r="Q202" s="483"/>
      <c r="R202" s="483"/>
      <c r="S202" s="483"/>
      <c r="T202" s="483"/>
      <c r="U202" s="483"/>
      <c r="V202" s="483"/>
      <c r="W202" s="483"/>
      <c r="X202" s="483"/>
      <c r="Y202" s="483"/>
      <c r="Z202" s="483"/>
      <c r="AA202" s="483"/>
      <c r="AB202" s="483"/>
      <c r="AC202" s="483"/>
      <c r="AD202" s="483"/>
    </row>
    <row r="203" spans="3:30">
      <c r="C203" s="483"/>
      <c r="D203" s="483"/>
      <c r="E203" s="483"/>
      <c r="F203" s="483"/>
      <c r="G203" s="483"/>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row>
    <row r="204" spans="3:30">
      <c r="C204" s="483"/>
      <c r="D204" s="483"/>
      <c r="E204" s="483"/>
      <c r="F204" s="483"/>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row>
    <row r="205" spans="3:30">
      <c r="C205" s="483"/>
      <c r="D205" s="483"/>
      <c r="E205" s="483"/>
      <c r="F205" s="483"/>
      <c r="G205" s="483"/>
      <c r="H205" s="483"/>
      <c r="I205" s="483"/>
      <c r="J205" s="483"/>
      <c r="K205" s="483"/>
      <c r="L205" s="483"/>
      <c r="M205" s="483"/>
      <c r="N205" s="483"/>
      <c r="O205" s="483"/>
      <c r="P205" s="483"/>
      <c r="Q205" s="483"/>
      <c r="R205" s="483"/>
      <c r="S205" s="483"/>
      <c r="T205" s="483"/>
      <c r="U205" s="483"/>
      <c r="V205" s="483"/>
      <c r="W205" s="483"/>
      <c r="X205" s="483"/>
      <c r="Y205" s="483"/>
      <c r="Z205" s="483"/>
      <c r="AA205" s="483"/>
      <c r="AB205" s="483"/>
      <c r="AC205" s="483"/>
      <c r="AD205" s="483"/>
    </row>
    <row r="206" spans="3:30">
      <c r="C206" s="483"/>
      <c r="D206" s="483"/>
      <c r="E206" s="483"/>
      <c r="F206" s="483"/>
      <c r="G206" s="483"/>
      <c r="H206" s="483"/>
      <c r="I206" s="483"/>
      <c r="J206" s="483"/>
      <c r="K206" s="483"/>
      <c r="L206" s="483"/>
      <c r="M206" s="483"/>
      <c r="N206" s="483"/>
      <c r="O206" s="483"/>
      <c r="P206" s="483"/>
      <c r="Q206" s="483"/>
      <c r="R206" s="483"/>
      <c r="S206" s="483"/>
      <c r="T206" s="483"/>
      <c r="U206" s="483"/>
      <c r="V206" s="483"/>
      <c r="W206" s="483"/>
      <c r="X206" s="483"/>
      <c r="Y206" s="483"/>
      <c r="Z206" s="483"/>
      <c r="AA206" s="483"/>
      <c r="AB206" s="483"/>
      <c r="AC206" s="483"/>
      <c r="AD206" s="483"/>
    </row>
    <row r="207" spans="3:30">
      <c r="C207" s="483"/>
      <c r="D207" s="483"/>
      <c r="E207" s="483"/>
      <c r="F207" s="483"/>
      <c r="G207" s="483"/>
      <c r="H207" s="483"/>
      <c r="I207" s="483"/>
      <c r="J207" s="483"/>
      <c r="K207" s="483"/>
      <c r="L207" s="483"/>
      <c r="M207" s="483"/>
      <c r="N207" s="483"/>
      <c r="O207" s="483"/>
      <c r="P207" s="483"/>
      <c r="Q207" s="483"/>
      <c r="R207" s="483"/>
      <c r="S207" s="483"/>
      <c r="T207" s="483"/>
      <c r="U207" s="483"/>
      <c r="V207" s="483"/>
      <c r="W207" s="483"/>
      <c r="X207" s="483"/>
      <c r="Y207" s="483"/>
      <c r="Z207" s="483"/>
      <c r="AA207" s="483"/>
      <c r="AB207" s="483"/>
      <c r="AC207" s="483"/>
      <c r="AD207" s="483"/>
    </row>
    <row r="208" spans="3:30">
      <c r="C208" s="483"/>
      <c r="D208" s="483"/>
      <c r="E208" s="483"/>
      <c r="F208" s="483"/>
      <c r="G208" s="483"/>
      <c r="H208" s="483"/>
      <c r="I208" s="483"/>
      <c r="J208" s="483"/>
      <c r="K208" s="483"/>
      <c r="L208" s="483"/>
      <c r="M208" s="483"/>
      <c r="N208" s="483"/>
      <c r="O208" s="483"/>
      <c r="P208" s="483"/>
      <c r="Q208" s="483"/>
      <c r="R208" s="483"/>
      <c r="S208" s="483"/>
      <c r="T208" s="483"/>
      <c r="U208" s="483"/>
      <c r="V208" s="483"/>
      <c r="W208" s="483"/>
      <c r="X208" s="483"/>
      <c r="Y208" s="483"/>
      <c r="Z208" s="483"/>
      <c r="AA208" s="483"/>
      <c r="AB208" s="483"/>
      <c r="AC208" s="483"/>
      <c r="AD208" s="483"/>
    </row>
    <row r="209" spans="3:30">
      <c r="C209" s="483"/>
      <c r="D209" s="483"/>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483"/>
    </row>
    <row r="210" spans="3:30">
      <c r="C210" s="483"/>
      <c r="D210" s="483"/>
      <c r="E210" s="483"/>
      <c r="F210" s="483"/>
      <c r="G210" s="483"/>
      <c r="H210" s="483"/>
      <c r="I210" s="483"/>
      <c r="J210" s="483"/>
      <c r="K210" s="483"/>
      <c r="L210" s="483"/>
      <c r="M210" s="483"/>
      <c r="N210" s="483"/>
      <c r="O210" s="483"/>
      <c r="P210" s="483"/>
      <c r="Q210" s="483"/>
      <c r="R210" s="483"/>
      <c r="S210" s="483"/>
      <c r="T210" s="483"/>
      <c r="U210" s="483"/>
      <c r="V210" s="483"/>
      <c r="W210" s="483"/>
      <c r="X210" s="483"/>
      <c r="Y210" s="483"/>
      <c r="Z210" s="483"/>
      <c r="AA210" s="483"/>
      <c r="AB210" s="483"/>
      <c r="AC210" s="483"/>
      <c r="AD210" s="483"/>
    </row>
    <row r="211" spans="3:30">
      <c r="C211" s="483"/>
      <c r="D211" s="483"/>
      <c r="E211" s="483"/>
      <c r="F211" s="483"/>
      <c r="G211" s="483"/>
      <c r="H211" s="483"/>
      <c r="I211" s="483"/>
      <c r="J211" s="483"/>
      <c r="K211" s="483"/>
      <c r="L211" s="483"/>
      <c r="M211" s="483"/>
      <c r="N211" s="483"/>
      <c r="O211" s="483"/>
      <c r="P211" s="483"/>
      <c r="Q211" s="483"/>
      <c r="R211" s="483"/>
      <c r="S211" s="483"/>
      <c r="T211" s="483"/>
      <c r="U211" s="483"/>
      <c r="V211" s="483"/>
      <c r="W211" s="483"/>
      <c r="X211" s="483"/>
      <c r="Y211" s="483"/>
      <c r="Z211" s="483"/>
      <c r="AA211" s="483"/>
      <c r="AB211" s="483"/>
      <c r="AC211" s="483"/>
      <c r="AD211" s="483"/>
    </row>
    <row r="212" spans="3:30">
      <c r="C212" s="483"/>
      <c r="D212" s="483"/>
      <c r="E212" s="483"/>
      <c r="F212" s="483"/>
      <c r="G212" s="483"/>
      <c r="H212" s="483"/>
      <c r="I212" s="483"/>
      <c r="J212" s="483"/>
      <c r="K212" s="483"/>
      <c r="L212" s="483"/>
      <c r="M212" s="483"/>
      <c r="N212" s="483"/>
      <c r="O212" s="483"/>
      <c r="P212" s="483"/>
      <c r="Q212" s="483"/>
      <c r="R212" s="483"/>
      <c r="S212" s="483"/>
      <c r="T212" s="483"/>
      <c r="U212" s="483"/>
      <c r="V212" s="483"/>
      <c r="W212" s="483"/>
      <c r="X212" s="483"/>
      <c r="Y212" s="483"/>
      <c r="Z212" s="483"/>
      <c r="AA212" s="483"/>
      <c r="AB212" s="483"/>
      <c r="AC212" s="483"/>
      <c r="AD212" s="483"/>
    </row>
    <row r="213" spans="3:30">
      <c r="C213" s="483"/>
      <c r="D213" s="483"/>
      <c r="E213" s="483"/>
      <c r="F213" s="483"/>
      <c r="G213" s="483"/>
      <c r="H213" s="483"/>
      <c r="I213" s="483"/>
      <c r="J213" s="483"/>
      <c r="K213" s="483"/>
      <c r="L213" s="483"/>
      <c r="M213" s="483"/>
      <c r="N213" s="483"/>
      <c r="O213" s="483"/>
      <c r="P213" s="483"/>
      <c r="Q213" s="483"/>
      <c r="R213" s="483"/>
      <c r="S213" s="483"/>
      <c r="T213" s="483"/>
      <c r="U213" s="483"/>
      <c r="V213" s="483"/>
      <c r="W213" s="483"/>
      <c r="X213" s="483"/>
      <c r="Y213" s="483"/>
      <c r="Z213" s="483"/>
      <c r="AA213" s="483"/>
      <c r="AB213" s="483"/>
      <c r="AC213" s="483"/>
      <c r="AD213" s="483"/>
    </row>
    <row r="214" spans="3:30">
      <c r="C214" s="483"/>
      <c r="D214" s="483"/>
      <c r="E214" s="483"/>
      <c r="F214" s="483"/>
      <c r="G214" s="483"/>
      <c r="H214" s="483"/>
      <c r="I214" s="483"/>
      <c r="J214" s="483"/>
      <c r="K214" s="483"/>
      <c r="L214" s="483"/>
      <c r="M214" s="483"/>
      <c r="N214" s="483"/>
      <c r="O214" s="483"/>
      <c r="P214" s="483"/>
      <c r="Q214" s="483"/>
      <c r="R214" s="483"/>
      <c r="S214" s="483"/>
      <c r="T214" s="483"/>
      <c r="U214" s="483"/>
      <c r="V214" s="483"/>
      <c r="W214" s="483"/>
      <c r="X214" s="483"/>
      <c r="Y214" s="483"/>
      <c r="Z214" s="483"/>
      <c r="AA214" s="483"/>
      <c r="AB214" s="483"/>
      <c r="AC214" s="483"/>
      <c r="AD214" s="483"/>
    </row>
    <row r="215" spans="3:30">
      <c r="C215" s="483"/>
      <c r="D215" s="483"/>
      <c r="E215" s="483"/>
      <c r="F215" s="483"/>
      <c r="G215" s="483"/>
      <c r="H215" s="483"/>
      <c r="I215" s="483"/>
      <c r="J215" s="483"/>
      <c r="K215" s="483"/>
      <c r="L215" s="483"/>
      <c r="M215" s="483"/>
      <c r="N215" s="483"/>
      <c r="O215" s="483"/>
      <c r="P215" s="483"/>
      <c r="Q215" s="483"/>
      <c r="R215" s="483"/>
      <c r="S215" s="483"/>
      <c r="T215" s="483"/>
      <c r="U215" s="483"/>
      <c r="V215" s="483"/>
      <c r="W215" s="483"/>
      <c r="X215" s="483"/>
      <c r="Y215" s="483"/>
      <c r="Z215" s="483"/>
      <c r="AA215" s="483"/>
      <c r="AB215" s="483"/>
      <c r="AC215" s="483"/>
      <c r="AD215" s="483"/>
    </row>
    <row r="216" spans="3:30">
      <c r="C216" s="483"/>
      <c r="D216" s="483"/>
      <c r="E216" s="483"/>
      <c r="F216" s="483"/>
      <c r="G216" s="483"/>
      <c r="H216" s="483"/>
      <c r="I216" s="483"/>
      <c r="J216" s="483"/>
      <c r="K216" s="483"/>
      <c r="L216" s="483"/>
      <c r="M216" s="483"/>
      <c r="N216" s="483"/>
      <c r="O216" s="483"/>
      <c r="P216" s="483"/>
      <c r="Q216" s="483"/>
      <c r="R216" s="483"/>
      <c r="S216" s="483"/>
      <c r="T216" s="483"/>
      <c r="U216" s="483"/>
      <c r="V216" s="483"/>
      <c r="W216" s="483"/>
      <c r="X216" s="483"/>
      <c r="Y216" s="483"/>
      <c r="Z216" s="483"/>
      <c r="AA216" s="483"/>
      <c r="AB216" s="483"/>
      <c r="AC216" s="483"/>
      <c r="AD216" s="483"/>
    </row>
    <row r="217" spans="3:30">
      <c r="C217" s="483"/>
      <c r="D217" s="483"/>
      <c r="E217" s="483"/>
      <c r="F217" s="483"/>
      <c r="G217" s="483"/>
      <c r="H217" s="483"/>
      <c r="I217" s="483"/>
      <c r="J217" s="483"/>
      <c r="K217" s="483"/>
      <c r="L217" s="483"/>
      <c r="M217" s="483"/>
      <c r="N217" s="483"/>
      <c r="O217" s="483"/>
      <c r="P217" s="483"/>
      <c r="Q217" s="483"/>
      <c r="R217" s="483"/>
      <c r="S217" s="483"/>
      <c r="T217" s="483"/>
      <c r="U217" s="483"/>
      <c r="V217" s="483"/>
      <c r="W217" s="483"/>
      <c r="X217" s="483"/>
      <c r="Y217" s="483"/>
      <c r="Z217" s="483"/>
      <c r="AA217" s="483"/>
      <c r="AB217" s="483"/>
      <c r="AC217" s="483"/>
      <c r="AD217" s="483"/>
    </row>
    <row r="218" spans="3:30">
      <c r="C218" s="483"/>
      <c r="D218" s="483"/>
      <c r="E218" s="483"/>
      <c r="F218" s="483"/>
      <c r="G218" s="483"/>
      <c r="H218" s="483"/>
      <c r="I218" s="483"/>
      <c r="J218" s="483"/>
      <c r="K218" s="483"/>
      <c r="L218" s="483"/>
      <c r="M218" s="483"/>
      <c r="N218" s="483"/>
      <c r="O218" s="483"/>
      <c r="P218" s="483"/>
      <c r="Q218" s="483"/>
      <c r="R218" s="483"/>
      <c r="S218" s="483"/>
      <c r="T218" s="483"/>
      <c r="U218" s="483"/>
      <c r="V218" s="483"/>
      <c r="W218" s="483"/>
      <c r="X218" s="483"/>
      <c r="Y218" s="483"/>
      <c r="Z218" s="483"/>
      <c r="AA218" s="483"/>
      <c r="AB218" s="483"/>
      <c r="AC218" s="483"/>
      <c r="AD218" s="483"/>
    </row>
    <row r="219" spans="3:30">
      <c r="C219" s="483"/>
      <c r="D219" s="483"/>
      <c r="E219" s="483"/>
      <c r="F219" s="483"/>
      <c r="G219" s="483"/>
      <c r="H219" s="483"/>
      <c r="I219" s="483"/>
      <c r="J219" s="483"/>
      <c r="K219" s="483"/>
      <c r="L219" s="483"/>
      <c r="M219" s="483"/>
      <c r="N219" s="483"/>
      <c r="O219" s="483"/>
      <c r="P219" s="483"/>
      <c r="Q219" s="483"/>
      <c r="R219" s="483"/>
      <c r="S219" s="483"/>
      <c r="T219" s="483"/>
      <c r="U219" s="483"/>
      <c r="V219" s="483"/>
      <c r="W219" s="483"/>
      <c r="X219" s="483"/>
      <c r="Y219" s="483"/>
      <c r="Z219" s="483"/>
      <c r="AA219" s="483"/>
      <c r="AB219" s="483"/>
      <c r="AC219" s="483"/>
      <c r="AD219" s="483"/>
    </row>
    <row r="220" spans="3:30">
      <c r="C220" s="483"/>
      <c r="D220" s="483"/>
      <c r="E220" s="483"/>
      <c r="F220" s="483"/>
      <c r="G220" s="483"/>
      <c r="H220" s="483"/>
      <c r="I220" s="483"/>
      <c r="J220" s="483"/>
      <c r="K220" s="483"/>
      <c r="L220" s="483"/>
      <c r="M220" s="483"/>
      <c r="N220" s="483"/>
      <c r="O220" s="483"/>
      <c r="P220" s="483"/>
      <c r="Q220" s="483"/>
      <c r="R220" s="483"/>
      <c r="S220" s="483"/>
      <c r="T220" s="483"/>
      <c r="U220" s="483"/>
      <c r="V220" s="483"/>
      <c r="W220" s="483"/>
      <c r="X220" s="483"/>
      <c r="Y220" s="483"/>
      <c r="Z220" s="483"/>
      <c r="AA220" s="483"/>
      <c r="AB220" s="483"/>
      <c r="AC220" s="483"/>
      <c r="AD220" s="483"/>
    </row>
    <row r="221" spans="3:30">
      <c r="C221" s="483"/>
      <c r="D221" s="483"/>
      <c r="E221" s="483"/>
      <c r="F221" s="483"/>
      <c r="G221" s="483"/>
      <c r="H221" s="483"/>
      <c r="I221" s="483"/>
      <c r="J221" s="483"/>
      <c r="K221" s="483"/>
      <c r="L221" s="483"/>
      <c r="M221" s="483"/>
      <c r="N221" s="483"/>
      <c r="O221" s="483"/>
      <c r="P221" s="483"/>
      <c r="Q221" s="483"/>
      <c r="R221" s="483"/>
      <c r="S221" s="483"/>
      <c r="T221" s="483"/>
      <c r="U221" s="483"/>
      <c r="V221" s="483"/>
      <c r="W221" s="483"/>
      <c r="X221" s="483"/>
      <c r="Y221" s="483"/>
      <c r="Z221" s="483"/>
      <c r="AA221" s="483"/>
      <c r="AB221" s="483"/>
      <c r="AC221" s="483"/>
      <c r="AD221" s="483"/>
    </row>
    <row r="222" spans="3:30">
      <c r="C222" s="483"/>
      <c r="D222" s="483"/>
      <c r="E222" s="483"/>
      <c r="F222" s="483"/>
      <c r="G222" s="483"/>
      <c r="H222" s="483"/>
      <c r="I222" s="483"/>
      <c r="J222" s="483"/>
      <c r="K222" s="483"/>
      <c r="L222" s="483"/>
      <c r="M222" s="483"/>
      <c r="N222" s="483"/>
      <c r="O222" s="483"/>
      <c r="P222" s="483"/>
      <c r="Q222" s="483"/>
      <c r="R222" s="483"/>
      <c r="S222" s="483"/>
      <c r="T222" s="483"/>
      <c r="U222" s="483"/>
      <c r="V222" s="483"/>
      <c r="W222" s="483"/>
      <c r="X222" s="483"/>
      <c r="Y222" s="483"/>
      <c r="Z222" s="483"/>
      <c r="AA222" s="483"/>
      <c r="AB222" s="483"/>
      <c r="AC222" s="483"/>
      <c r="AD222" s="483"/>
    </row>
    <row r="223" spans="3:30">
      <c r="C223" s="483"/>
      <c r="D223" s="483"/>
      <c r="E223" s="483"/>
      <c r="F223" s="483"/>
      <c r="G223" s="483"/>
      <c r="H223" s="483"/>
      <c r="I223" s="483"/>
      <c r="J223" s="483"/>
      <c r="K223" s="483"/>
      <c r="L223" s="483"/>
      <c r="M223" s="483"/>
      <c r="N223" s="483"/>
      <c r="O223" s="483"/>
      <c r="P223" s="483"/>
      <c r="Q223" s="483"/>
      <c r="R223" s="483"/>
      <c r="S223" s="483"/>
      <c r="T223" s="483"/>
      <c r="U223" s="483"/>
      <c r="V223" s="483"/>
      <c r="W223" s="483"/>
      <c r="X223" s="483"/>
      <c r="Y223" s="483"/>
      <c r="Z223" s="483"/>
      <c r="AA223" s="483"/>
      <c r="AB223" s="483"/>
      <c r="AC223" s="483"/>
      <c r="AD223" s="483"/>
    </row>
    <row r="224" spans="3:30">
      <c r="C224" s="483"/>
      <c r="D224" s="483"/>
      <c r="E224" s="483"/>
      <c r="F224" s="483"/>
      <c r="G224" s="483"/>
      <c r="H224" s="483"/>
      <c r="I224" s="483"/>
      <c r="J224" s="483"/>
      <c r="K224" s="483"/>
      <c r="L224" s="483"/>
      <c r="M224" s="483"/>
      <c r="N224" s="483"/>
      <c r="O224" s="483"/>
      <c r="P224" s="483"/>
      <c r="Q224" s="483"/>
      <c r="R224" s="483"/>
      <c r="S224" s="483"/>
      <c r="T224" s="483"/>
      <c r="U224" s="483"/>
      <c r="V224" s="483"/>
      <c r="W224" s="483"/>
      <c r="X224" s="483"/>
      <c r="Y224" s="483"/>
      <c r="Z224" s="483"/>
      <c r="AA224" s="483"/>
      <c r="AB224" s="483"/>
      <c r="AC224" s="483"/>
      <c r="AD224" s="483"/>
    </row>
    <row r="225" spans="3:30">
      <c r="C225" s="483"/>
      <c r="D225" s="483"/>
      <c r="E225" s="483"/>
      <c r="F225" s="483"/>
      <c r="G225" s="483"/>
      <c r="H225" s="483"/>
      <c r="I225" s="483"/>
      <c r="J225" s="483"/>
      <c r="K225" s="483"/>
      <c r="L225" s="483"/>
      <c r="M225" s="483"/>
      <c r="N225" s="483"/>
      <c r="O225" s="483"/>
      <c r="P225" s="483"/>
      <c r="Q225" s="483"/>
      <c r="R225" s="483"/>
      <c r="S225" s="483"/>
      <c r="T225" s="483"/>
      <c r="U225" s="483"/>
      <c r="V225" s="483"/>
      <c r="W225" s="483"/>
      <c r="X225" s="483"/>
      <c r="Y225" s="483"/>
      <c r="Z225" s="483"/>
      <c r="AA225" s="483"/>
      <c r="AB225" s="483"/>
      <c r="AC225" s="483"/>
      <c r="AD225" s="483"/>
    </row>
    <row r="226" spans="3:30">
      <c r="C226" s="483"/>
      <c r="D226" s="483"/>
      <c r="E226" s="483"/>
      <c r="F226" s="483"/>
      <c r="G226" s="483"/>
      <c r="H226" s="483"/>
      <c r="I226" s="483"/>
      <c r="J226" s="483"/>
      <c r="K226" s="483"/>
      <c r="L226" s="483"/>
      <c r="M226" s="483"/>
      <c r="N226" s="483"/>
      <c r="O226" s="483"/>
      <c r="P226" s="483"/>
      <c r="Q226" s="483"/>
      <c r="R226" s="483"/>
      <c r="S226" s="483"/>
      <c r="T226" s="483"/>
      <c r="U226" s="483"/>
      <c r="V226" s="483"/>
      <c r="W226" s="483"/>
      <c r="X226" s="483"/>
      <c r="Y226" s="483"/>
      <c r="Z226" s="483"/>
      <c r="AA226" s="483"/>
      <c r="AB226" s="483"/>
      <c r="AC226" s="483"/>
      <c r="AD226" s="483"/>
    </row>
    <row r="227" spans="3:30">
      <c r="C227" s="483"/>
      <c r="D227" s="483"/>
      <c r="E227" s="483"/>
      <c r="F227" s="483"/>
      <c r="G227" s="483"/>
      <c r="H227" s="483"/>
      <c r="I227" s="483"/>
      <c r="J227" s="483"/>
      <c r="K227" s="483"/>
      <c r="L227" s="483"/>
      <c r="M227" s="483"/>
      <c r="N227" s="483"/>
      <c r="O227" s="483"/>
      <c r="P227" s="483"/>
      <c r="Q227" s="483"/>
      <c r="R227" s="483"/>
      <c r="S227" s="483"/>
      <c r="T227" s="483"/>
      <c r="U227" s="483"/>
      <c r="V227" s="483"/>
      <c r="W227" s="483"/>
      <c r="X227" s="483"/>
      <c r="Y227" s="483"/>
      <c r="Z227" s="483"/>
      <c r="AA227" s="483"/>
      <c r="AB227" s="483"/>
      <c r="AC227" s="483"/>
      <c r="AD227" s="483"/>
    </row>
    <row r="228" spans="3:30">
      <c r="C228" s="483"/>
      <c r="D228" s="483"/>
      <c r="E228" s="483"/>
      <c r="F228" s="483"/>
      <c r="G228" s="483"/>
      <c r="H228" s="483"/>
      <c r="I228" s="483"/>
      <c r="J228" s="483"/>
      <c r="K228" s="483"/>
      <c r="L228" s="483"/>
      <c r="M228" s="483"/>
      <c r="N228" s="483"/>
      <c r="O228" s="483"/>
      <c r="P228" s="483"/>
      <c r="Q228" s="483"/>
      <c r="R228" s="483"/>
      <c r="S228" s="483"/>
      <c r="T228" s="483"/>
      <c r="U228" s="483"/>
      <c r="V228" s="483"/>
      <c r="W228" s="483"/>
      <c r="X228" s="483"/>
      <c r="Y228" s="483"/>
      <c r="Z228" s="483"/>
      <c r="AA228" s="483"/>
      <c r="AB228" s="483"/>
      <c r="AC228" s="483"/>
      <c r="AD228" s="483"/>
    </row>
    <row r="229" spans="3:30">
      <c r="C229" s="483"/>
      <c r="D229" s="483"/>
      <c r="E229" s="483"/>
      <c r="F229" s="483"/>
      <c r="G229" s="483"/>
      <c r="H229" s="483"/>
      <c r="I229" s="483"/>
      <c r="J229" s="483"/>
      <c r="K229" s="483"/>
      <c r="L229" s="483"/>
      <c r="M229" s="483"/>
      <c r="N229" s="483"/>
      <c r="O229" s="483"/>
      <c r="P229" s="483"/>
      <c r="Q229" s="483"/>
      <c r="R229" s="483"/>
      <c r="S229" s="483"/>
      <c r="T229" s="483"/>
      <c r="U229" s="483"/>
      <c r="V229" s="483"/>
      <c r="W229" s="483"/>
      <c r="X229" s="483"/>
      <c r="Y229" s="483"/>
      <c r="Z229" s="483"/>
      <c r="AA229" s="483"/>
      <c r="AB229" s="483"/>
      <c r="AC229" s="483"/>
      <c r="AD229" s="483"/>
    </row>
    <row r="230" spans="3:30">
      <c r="C230" s="483"/>
      <c r="D230" s="483"/>
      <c r="E230" s="483"/>
      <c r="F230" s="483"/>
      <c r="G230" s="483"/>
      <c r="H230" s="483"/>
      <c r="I230" s="483"/>
      <c r="J230" s="483"/>
      <c r="K230" s="483"/>
      <c r="L230" s="483"/>
      <c r="M230" s="483"/>
      <c r="N230" s="483"/>
      <c r="O230" s="483"/>
      <c r="P230" s="483"/>
      <c r="Q230" s="483"/>
      <c r="R230" s="483"/>
      <c r="S230" s="483"/>
      <c r="T230" s="483"/>
      <c r="U230" s="483"/>
      <c r="V230" s="483"/>
      <c r="W230" s="483"/>
      <c r="X230" s="483"/>
      <c r="Y230" s="483"/>
      <c r="Z230" s="483"/>
      <c r="AA230" s="483"/>
      <c r="AB230" s="483"/>
      <c r="AC230" s="483"/>
      <c r="AD230" s="483"/>
    </row>
    <row r="231" spans="3:30">
      <c r="C231" s="483"/>
      <c r="D231" s="483"/>
      <c r="E231" s="483"/>
      <c r="F231" s="483"/>
      <c r="G231" s="483"/>
      <c r="H231" s="483"/>
      <c r="I231" s="483"/>
      <c r="J231" s="483"/>
      <c r="K231" s="483"/>
      <c r="L231" s="483"/>
      <c r="M231" s="483"/>
      <c r="N231" s="483"/>
      <c r="O231" s="483"/>
      <c r="P231" s="483"/>
      <c r="Q231" s="483"/>
      <c r="R231" s="483"/>
      <c r="S231" s="483"/>
      <c r="T231" s="483"/>
      <c r="U231" s="483"/>
      <c r="V231" s="483"/>
      <c r="W231" s="483"/>
      <c r="X231" s="483"/>
      <c r="Y231" s="483"/>
      <c r="Z231" s="483"/>
      <c r="AA231" s="483"/>
      <c r="AB231" s="483"/>
      <c r="AC231" s="483"/>
      <c r="AD231" s="483"/>
    </row>
    <row r="232" spans="3:30">
      <c r="C232" s="483"/>
      <c r="D232" s="483"/>
      <c r="E232" s="483"/>
      <c r="F232" s="483"/>
      <c r="G232" s="483"/>
      <c r="H232" s="483"/>
      <c r="I232" s="483"/>
      <c r="J232" s="483"/>
      <c r="K232" s="483"/>
      <c r="L232" s="483"/>
      <c r="M232" s="483"/>
      <c r="N232" s="483"/>
      <c r="O232" s="483"/>
      <c r="P232" s="483"/>
      <c r="Q232" s="483"/>
      <c r="R232" s="483"/>
      <c r="S232" s="483"/>
      <c r="T232" s="483"/>
      <c r="U232" s="483"/>
      <c r="V232" s="483"/>
      <c r="W232" s="483"/>
      <c r="X232" s="483"/>
      <c r="Y232" s="483"/>
      <c r="Z232" s="483"/>
      <c r="AA232" s="483"/>
      <c r="AB232" s="483"/>
      <c r="AC232" s="483"/>
      <c r="AD232" s="483"/>
    </row>
    <row r="233" spans="3:30">
      <c r="C233" s="483"/>
      <c r="D233" s="483"/>
      <c r="E233" s="483"/>
      <c r="F233" s="483"/>
      <c r="G233" s="483"/>
      <c r="H233" s="483"/>
      <c r="I233" s="483"/>
      <c r="J233" s="483"/>
      <c r="K233" s="483"/>
      <c r="L233" s="483"/>
      <c r="M233" s="483"/>
      <c r="N233" s="483"/>
      <c r="O233" s="483"/>
      <c r="P233" s="483"/>
      <c r="Q233" s="483"/>
      <c r="R233" s="483"/>
      <c r="S233" s="483"/>
      <c r="T233" s="483"/>
      <c r="U233" s="483"/>
      <c r="V233" s="483"/>
      <c r="W233" s="483"/>
      <c r="X233" s="483"/>
      <c r="Y233" s="483"/>
      <c r="Z233" s="483"/>
      <c r="AA233" s="483"/>
      <c r="AB233" s="483"/>
      <c r="AC233" s="483"/>
      <c r="AD233" s="483"/>
    </row>
    <row r="234" spans="3:30">
      <c r="C234" s="483"/>
      <c r="D234" s="483"/>
      <c r="E234" s="483"/>
      <c r="F234" s="483"/>
      <c r="G234" s="483"/>
      <c r="H234" s="483"/>
      <c r="I234" s="483"/>
      <c r="J234" s="483"/>
      <c r="K234" s="483"/>
      <c r="L234" s="483"/>
      <c r="M234" s="483"/>
      <c r="N234" s="483"/>
      <c r="O234" s="483"/>
      <c r="P234" s="483"/>
      <c r="Q234" s="483"/>
      <c r="R234" s="483"/>
      <c r="S234" s="483"/>
      <c r="T234" s="483"/>
      <c r="U234" s="483"/>
      <c r="V234" s="483"/>
      <c r="W234" s="483"/>
      <c r="X234" s="483"/>
      <c r="Y234" s="483"/>
      <c r="Z234" s="483"/>
      <c r="AA234" s="483"/>
      <c r="AB234" s="483"/>
      <c r="AC234" s="483"/>
      <c r="AD234" s="483"/>
    </row>
    <row r="235" spans="3:30">
      <c r="C235" s="483"/>
      <c r="D235" s="483"/>
      <c r="E235" s="483"/>
      <c r="F235" s="483"/>
      <c r="G235" s="483"/>
      <c r="H235" s="483"/>
      <c r="I235" s="483"/>
      <c r="J235" s="483"/>
      <c r="K235" s="483"/>
      <c r="L235" s="483"/>
      <c r="M235" s="483"/>
      <c r="N235" s="483"/>
      <c r="O235" s="483"/>
      <c r="P235" s="483"/>
      <c r="Q235" s="483"/>
      <c r="R235" s="483"/>
      <c r="S235" s="483"/>
      <c r="T235" s="483"/>
      <c r="U235" s="483"/>
      <c r="V235" s="483"/>
      <c r="W235" s="483"/>
      <c r="X235" s="483"/>
      <c r="Y235" s="483"/>
      <c r="Z235" s="483"/>
      <c r="AA235" s="483"/>
      <c r="AB235" s="483"/>
      <c r="AC235" s="483"/>
      <c r="AD235" s="483"/>
    </row>
    <row r="236" spans="3:30">
      <c r="C236" s="483"/>
      <c r="D236" s="483"/>
      <c r="E236" s="483"/>
      <c r="F236" s="483"/>
      <c r="G236" s="483"/>
      <c r="H236" s="483"/>
      <c r="I236" s="483"/>
      <c r="J236" s="483"/>
      <c r="K236" s="483"/>
      <c r="L236" s="483"/>
      <c r="M236" s="483"/>
      <c r="N236" s="483"/>
      <c r="O236" s="483"/>
      <c r="P236" s="483"/>
      <c r="Q236" s="483"/>
      <c r="R236" s="483"/>
      <c r="S236" s="483"/>
      <c r="T236" s="483"/>
      <c r="U236" s="483"/>
      <c r="V236" s="483"/>
      <c r="W236" s="483"/>
      <c r="X236" s="483"/>
      <c r="Y236" s="483"/>
      <c r="Z236" s="483"/>
      <c r="AA236" s="483"/>
      <c r="AB236" s="483"/>
      <c r="AC236" s="483"/>
      <c r="AD236" s="483"/>
    </row>
    <row r="237" spans="3:30">
      <c r="C237" s="483"/>
      <c r="D237" s="483"/>
      <c r="E237" s="483"/>
      <c r="F237" s="483"/>
      <c r="G237" s="483"/>
      <c r="H237" s="483"/>
      <c r="I237" s="483"/>
      <c r="J237" s="483"/>
      <c r="K237" s="483"/>
      <c r="L237" s="483"/>
      <c r="M237" s="483"/>
      <c r="N237" s="483"/>
      <c r="O237" s="483"/>
      <c r="P237" s="483"/>
      <c r="Q237" s="483"/>
      <c r="R237" s="483"/>
      <c r="S237" s="483"/>
      <c r="T237" s="483"/>
      <c r="U237" s="483"/>
      <c r="V237" s="483"/>
      <c r="W237" s="483"/>
      <c r="X237" s="483"/>
      <c r="Y237" s="483"/>
      <c r="Z237" s="483"/>
      <c r="AA237" s="483"/>
      <c r="AB237" s="483"/>
      <c r="AC237" s="483"/>
      <c r="AD237" s="483"/>
    </row>
    <row r="238" spans="3:30">
      <c r="C238" s="483"/>
      <c r="D238" s="483"/>
      <c r="E238" s="483"/>
      <c r="F238" s="483"/>
      <c r="G238" s="483"/>
      <c r="H238" s="483"/>
      <c r="I238" s="483"/>
      <c r="J238" s="483"/>
      <c r="K238" s="483"/>
      <c r="L238" s="483"/>
      <c r="M238" s="483"/>
      <c r="N238" s="483"/>
      <c r="O238" s="483"/>
      <c r="P238" s="483"/>
      <c r="Q238" s="483"/>
      <c r="R238" s="483"/>
      <c r="S238" s="483"/>
      <c r="T238" s="483"/>
      <c r="U238" s="483"/>
      <c r="V238" s="483"/>
      <c r="W238" s="483"/>
      <c r="X238" s="483"/>
      <c r="Y238" s="483"/>
      <c r="Z238" s="483"/>
      <c r="AA238" s="483"/>
      <c r="AB238" s="483"/>
      <c r="AC238" s="483"/>
      <c r="AD238" s="483"/>
    </row>
    <row r="239" spans="3:30">
      <c r="C239" s="483"/>
      <c r="D239" s="483"/>
      <c r="E239" s="483"/>
      <c r="F239" s="483"/>
      <c r="G239" s="483"/>
      <c r="H239" s="483"/>
      <c r="I239" s="483"/>
      <c r="J239" s="483"/>
      <c r="K239" s="483"/>
      <c r="L239" s="483"/>
      <c r="M239" s="483"/>
      <c r="N239" s="483"/>
      <c r="O239" s="483"/>
      <c r="P239" s="483"/>
      <c r="Q239" s="483"/>
      <c r="R239" s="483"/>
      <c r="S239" s="483"/>
      <c r="T239" s="483"/>
      <c r="U239" s="483"/>
      <c r="V239" s="483"/>
      <c r="W239" s="483"/>
      <c r="X239" s="483"/>
      <c r="Y239" s="483"/>
      <c r="Z239" s="483"/>
      <c r="AA239" s="483"/>
      <c r="AB239" s="483"/>
      <c r="AC239" s="483"/>
      <c r="AD239" s="483"/>
    </row>
    <row r="240" spans="3:30">
      <c r="C240" s="483"/>
      <c r="D240" s="483"/>
      <c r="E240" s="483"/>
      <c r="F240" s="483"/>
      <c r="G240" s="483"/>
      <c r="H240" s="483"/>
      <c r="I240" s="483"/>
      <c r="J240" s="483"/>
      <c r="K240" s="483"/>
      <c r="L240" s="483"/>
      <c r="M240" s="483"/>
      <c r="N240" s="483"/>
      <c r="O240" s="483"/>
      <c r="P240" s="483"/>
      <c r="Q240" s="483"/>
      <c r="R240" s="483"/>
      <c r="S240" s="483"/>
      <c r="T240" s="483"/>
      <c r="U240" s="483"/>
      <c r="V240" s="483"/>
      <c r="W240" s="483"/>
      <c r="X240" s="483"/>
      <c r="Y240" s="483"/>
      <c r="Z240" s="483"/>
      <c r="AA240" s="483"/>
      <c r="AB240" s="483"/>
      <c r="AC240" s="483"/>
      <c r="AD240" s="483"/>
    </row>
    <row r="241" spans="3:30">
      <c r="C241" s="483"/>
      <c r="D241" s="483"/>
      <c r="E241" s="483"/>
      <c r="F241" s="483"/>
      <c r="G241" s="483"/>
      <c r="H241" s="483"/>
      <c r="I241" s="483"/>
      <c r="J241" s="483"/>
      <c r="K241" s="483"/>
      <c r="L241" s="483"/>
      <c r="M241" s="483"/>
      <c r="N241" s="483"/>
      <c r="O241" s="483"/>
      <c r="P241" s="483"/>
      <c r="Q241" s="483"/>
      <c r="R241" s="483"/>
      <c r="S241" s="483"/>
      <c r="T241" s="483"/>
      <c r="U241" s="483"/>
      <c r="V241" s="483"/>
      <c r="W241" s="483"/>
      <c r="X241" s="483"/>
      <c r="Y241" s="483"/>
      <c r="Z241" s="483"/>
      <c r="AA241" s="483"/>
      <c r="AB241" s="483"/>
      <c r="AC241" s="483"/>
      <c r="AD241" s="483"/>
    </row>
    <row r="242" spans="3:30">
      <c r="C242" s="483"/>
      <c r="D242" s="483"/>
      <c r="E242" s="483"/>
      <c r="F242" s="483"/>
      <c r="G242" s="483"/>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row>
    <row r="243" spans="3:30">
      <c r="C243" s="483"/>
      <c r="D243" s="483"/>
      <c r="E243" s="483"/>
      <c r="F243" s="483"/>
      <c r="G243" s="483"/>
      <c r="H243" s="483"/>
      <c r="I243" s="483"/>
      <c r="J243" s="483"/>
      <c r="K243" s="483"/>
      <c r="L243" s="483"/>
      <c r="M243" s="483"/>
      <c r="N243" s="483"/>
      <c r="O243" s="483"/>
      <c r="P243" s="483"/>
      <c r="Q243" s="483"/>
      <c r="R243" s="483"/>
      <c r="S243" s="483"/>
      <c r="T243" s="483"/>
      <c r="U243" s="483"/>
      <c r="V243" s="483"/>
      <c r="W243" s="483"/>
      <c r="X243" s="483"/>
      <c r="Y243" s="483"/>
      <c r="Z243" s="483"/>
      <c r="AA243" s="483"/>
      <c r="AB243" s="483"/>
      <c r="AC243" s="483"/>
      <c r="AD243" s="483"/>
    </row>
    <row r="244" spans="3:30">
      <c r="C244" s="483"/>
      <c r="D244" s="483"/>
      <c r="E244" s="483"/>
      <c r="F244" s="483"/>
      <c r="G244" s="483"/>
      <c r="H244" s="483"/>
      <c r="I244" s="483"/>
      <c r="J244" s="483"/>
      <c r="K244" s="483"/>
      <c r="L244" s="483"/>
      <c r="M244" s="483"/>
      <c r="N244" s="483"/>
      <c r="O244" s="483"/>
      <c r="P244" s="483"/>
      <c r="Q244" s="483"/>
      <c r="R244" s="483"/>
      <c r="S244" s="483"/>
      <c r="T244" s="483"/>
      <c r="U244" s="483"/>
      <c r="V244" s="483"/>
      <c r="W244" s="483"/>
      <c r="X244" s="483"/>
      <c r="Y244" s="483"/>
      <c r="Z244" s="483"/>
      <c r="AA244" s="483"/>
      <c r="AB244" s="483"/>
      <c r="AC244" s="483"/>
      <c r="AD244" s="483"/>
    </row>
    <row r="245" spans="3:30">
      <c r="C245" s="483"/>
      <c r="D245" s="483"/>
      <c r="E245" s="483"/>
      <c r="F245" s="483"/>
      <c r="G245" s="483"/>
      <c r="H245" s="483"/>
      <c r="I245" s="483"/>
      <c r="J245" s="483"/>
      <c r="K245" s="483"/>
      <c r="L245" s="483"/>
      <c r="M245" s="483"/>
      <c r="N245" s="483"/>
      <c r="O245" s="483"/>
      <c r="P245" s="483"/>
      <c r="Q245" s="483"/>
      <c r="R245" s="483"/>
      <c r="S245" s="483"/>
      <c r="T245" s="483"/>
      <c r="U245" s="483"/>
      <c r="V245" s="483"/>
      <c r="W245" s="483"/>
      <c r="X245" s="483"/>
      <c r="Y245" s="483"/>
      <c r="Z245" s="483"/>
      <c r="AA245" s="483"/>
      <c r="AB245" s="483"/>
      <c r="AC245" s="483"/>
      <c r="AD245" s="483"/>
    </row>
    <row r="246" spans="3:30">
      <c r="C246" s="483"/>
      <c r="D246" s="483"/>
      <c r="E246" s="483"/>
      <c r="F246" s="483"/>
      <c r="G246" s="483"/>
      <c r="H246" s="483"/>
      <c r="I246" s="483"/>
      <c r="J246" s="483"/>
      <c r="K246" s="483"/>
      <c r="L246" s="483"/>
      <c r="M246" s="483"/>
      <c r="N246" s="483"/>
      <c r="O246" s="483"/>
      <c r="P246" s="483"/>
      <c r="Q246" s="483"/>
      <c r="R246" s="483"/>
      <c r="S246" s="483"/>
      <c r="T246" s="483"/>
      <c r="U246" s="483"/>
      <c r="V246" s="483"/>
      <c r="W246" s="483"/>
      <c r="X246" s="483"/>
      <c r="Y246" s="483"/>
      <c r="Z246" s="483"/>
      <c r="AA246" s="483"/>
      <c r="AB246" s="483"/>
      <c r="AC246" s="483"/>
      <c r="AD246" s="483"/>
    </row>
    <row r="247" spans="3:30">
      <c r="C247" s="483"/>
      <c r="D247" s="483"/>
      <c r="E247" s="483"/>
      <c r="F247" s="483"/>
      <c r="G247" s="483"/>
      <c r="H247" s="483"/>
      <c r="I247" s="483"/>
      <c r="J247" s="483"/>
      <c r="K247" s="483"/>
      <c r="L247" s="483"/>
      <c r="M247" s="483"/>
      <c r="N247" s="483"/>
      <c r="O247" s="483"/>
      <c r="P247" s="483"/>
      <c r="Q247" s="483"/>
      <c r="R247" s="483"/>
      <c r="S247" s="483"/>
      <c r="T247" s="483"/>
      <c r="U247" s="483"/>
      <c r="V247" s="483"/>
      <c r="W247" s="483"/>
      <c r="X247" s="483"/>
      <c r="Y247" s="483"/>
      <c r="Z247" s="483"/>
      <c r="AA247" s="483"/>
      <c r="AB247" s="483"/>
      <c r="AC247" s="483"/>
      <c r="AD247" s="483"/>
    </row>
    <row r="248" spans="3:30">
      <c r="C248" s="483"/>
      <c r="D248" s="483"/>
      <c r="E248" s="483"/>
      <c r="F248" s="483"/>
      <c r="G248" s="483"/>
      <c r="H248" s="483"/>
      <c r="I248" s="483"/>
      <c r="J248" s="483"/>
      <c r="K248" s="483"/>
      <c r="L248" s="483"/>
      <c r="M248" s="483"/>
      <c r="N248" s="483"/>
      <c r="O248" s="483"/>
      <c r="P248" s="483"/>
      <c r="Q248" s="483"/>
      <c r="R248" s="483"/>
      <c r="S248" s="483"/>
      <c r="T248" s="483"/>
      <c r="U248" s="483"/>
      <c r="V248" s="483"/>
      <c r="W248" s="483"/>
      <c r="X248" s="483"/>
      <c r="Y248" s="483"/>
      <c r="Z248" s="483"/>
      <c r="AA248" s="483"/>
      <c r="AB248" s="483"/>
      <c r="AC248" s="483"/>
      <c r="AD248" s="483"/>
    </row>
    <row r="249" spans="3:30">
      <c r="C249" s="483"/>
      <c r="D249" s="483"/>
      <c r="E249" s="483"/>
      <c r="F249" s="483"/>
      <c r="G249" s="483"/>
      <c r="H249" s="483"/>
      <c r="I249" s="483"/>
      <c r="J249" s="483"/>
      <c r="K249" s="483"/>
      <c r="L249" s="483"/>
      <c r="M249" s="483"/>
      <c r="N249" s="483"/>
      <c r="O249" s="483"/>
      <c r="P249" s="483"/>
      <c r="Q249" s="483"/>
      <c r="R249" s="483"/>
      <c r="S249" s="483"/>
      <c r="T249" s="483"/>
      <c r="U249" s="483"/>
      <c r="V249" s="483"/>
      <c r="W249" s="483"/>
      <c r="X249" s="483"/>
      <c r="Y249" s="483"/>
      <c r="Z249" s="483"/>
      <c r="AA249" s="483"/>
      <c r="AB249" s="483"/>
      <c r="AC249" s="483"/>
      <c r="AD249" s="483"/>
    </row>
    <row r="250" spans="3:30">
      <c r="C250" s="483"/>
      <c r="D250" s="483"/>
      <c r="E250" s="483"/>
      <c r="F250" s="483"/>
      <c r="G250" s="483"/>
      <c r="H250" s="483"/>
      <c r="I250" s="483"/>
      <c r="J250" s="483"/>
      <c r="K250" s="483"/>
      <c r="L250" s="483"/>
      <c r="M250" s="483"/>
      <c r="N250" s="483"/>
      <c r="O250" s="483"/>
      <c r="P250" s="483"/>
      <c r="Q250" s="483"/>
      <c r="R250" s="483"/>
      <c r="S250" s="483"/>
      <c r="T250" s="483"/>
      <c r="U250" s="483"/>
      <c r="V250" s="483"/>
      <c r="W250" s="483"/>
      <c r="X250" s="483"/>
      <c r="Y250" s="483"/>
      <c r="Z250" s="483"/>
      <c r="AA250" s="483"/>
      <c r="AB250" s="483"/>
      <c r="AC250" s="483"/>
      <c r="AD250" s="483"/>
    </row>
    <row r="251" spans="3:30">
      <c r="C251" s="483"/>
      <c r="D251" s="483"/>
      <c r="E251" s="483"/>
      <c r="F251" s="483"/>
      <c r="G251" s="483"/>
      <c r="H251" s="483"/>
      <c r="I251" s="483"/>
      <c r="J251" s="483"/>
      <c r="K251" s="483"/>
      <c r="L251" s="483"/>
      <c r="M251" s="483"/>
      <c r="N251" s="483"/>
      <c r="O251" s="483"/>
      <c r="P251" s="483"/>
      <c r="Q251" s="483"/>
      <c r="R251" s="483"/>
      <c r="S251" s="483"/>
      <c r="T251" s="483"/>
      <c r="U251" s="483"/>
      <c r="V251" s="483"/>
      <c r="W251" s="483"/>
      <c r="X251" s="483"/>
      <c r="Y251" s="483"/>
      <c r="Z251" s="483"/>
      <c r="AA251" s="483"/>
      <c r="AB251" s="483"/>
      <c r="AC251" s="483"/>
      <c r="AD251" s="483"/>
    </row>
    <row r="252" spans="3:30">
      <c r="C252" s="483"/>
      <c r="D252" s="483"/>
      <c r="E252" s="483"/>
      <c r="F252" s="483"/>
      <c r="G252" s="483"/>
      <c r="H252" s="483"/>
      <c r="I252" s="483"/>
      <c r="J252" s="483"/>
      <c r="K252" s="483"/>
      <c r="L252" s="483"/>
      <c r="M252" s="483"/>
      <c r="N252" s="483"/>
      <c r="O252" s="483"/>
      <c r="P252" s="483"/>
      <c r="Q252" s="483"/>
      <c r="R252" s="483"/>
      <c r="S252" s="483"/>
      <c r="T252" s="483"/>
      <c r="U252" s="483"/>
      <c r="V252" s="483"/>
      <c r="W252" s="483"/>
      <c r="X252" s="483"/>
      <c r="Y252" s="483"/>
      <c r="Z252" s="483"/>
      <c r="AA252" s="483"/>
      <c r="AB252" s="483"/>
      <c r="AC252" s="483"/>
      <c r="AD252" s="483"/>
    </row>
    <row r="253" spans="3:30">
      <c r="C253" s="483"/>
      <c r="D253" s="483"/>
      <c r="E253" s="483"/>
      <c r="F253" s="483"/>
      <c r="G253" s="483"/>
      <c r="H253" s="483"/>
      <c r="I253" s="483"/>
      <c r="J253" s="483"/>
      <c r="K253" s="483"/>
      <c r="L253" s="483"/>
      <c r="M253" s="483"/>
      <c r="N253" s="483"/>
      <c r="O253" s="483"/>
      <c r="P253" s="483"/>
      <c r="Q253" s="483"/>
      <c r="R253" s="483"/>
      <c r="S253" s="483"/>
      <c r="T253" s="483"/>
      <c r="U253" s="483"/>
      <c r="V253" s="483"/>
      <c r="W253" s="483"/>
      <c r="X253" s="483"/>
      <c r="Y253" s="483"/>
      <c r="Z253" s="483"/>
      <c r="AA253" s="483"/>
      <c r="AB253" s="483"/>
      <c r="AC253" s="483"/>
      <c r="AD253" s="483"/>
    </row>
    <row r="254" spans="3:30">
      <c r="C254" s="483"/>
      <c r="D254" s="483"/>
      <c r="E254" s="483"/>
      <c r="F254" s="483"/>
      <c r="G254" s="483"/>
      <c r="H254" s="483"/>
      <c r="I254" s="483"/>
      <c r="J254" s="483"/>
      <c r="K254" s="483"/>
      <c r="L254" s="483"/>
      <c r="M254" s="483"/>
      <c r="N254" s="483"/>
      <c r="O254" s="483"/>
      <c r="P254" s="483"/>
      <c r="Q254" s="483"/>
      <c r="R254" s="483"/>
      <c r="S254" s="483"/>
      <c r="T254" s="483"/>
      <c r="U254" s="483"/>
      <c r="V254" s="483"/>
      <c r="W254" s="483"/>
      <c r="X254" s="483"/>
      <c r="Y254" s="483"/>
      <c r="Z254" s="483"/>
      <c r="AA254" s="483"/>
      <c r="AB254" s="483"/>
      <c r="AC254" s="483"/>
      <c r="AD254" s="483"/>
    </row>
    <row r="255" spans="3:30">
      <c r="C255" s="483"/>
      <c r="D255" s="483"/>
      <c r="E255" s="483"/>
      <c r="F255" s="483"/>
      <c r="G255" s="483"/>
      <c r="H255" s="483"/>
      <c r="I255" s="483"/>
      <c r="J255" s="483"/>
      <c r="K255" s="483"/>
      <c r="L255" s="483"/>
      <c r="M255" s="483"/>
      <c r="N255" s="483"/>
      <c r="O255" s="483"/>
      <c r="P255" s="483"/>
      <c r="Q255" s="483"/>
      <c r="R255" s="483"/>
      <c r="S255" s="483"/>
      <c r="T255" s="483"/>
      <c r="U255" s="483"/>
      <c r="V255" s="483"/>
      <c r="W255" s="483"/>
      <c r="X255" s="483"/>
      <c r="Y255" s="483"/>
      <c r="Z255" s="483"/>
      <c r="AA255" s="483"/>
      <c r="AB255" s="483"/>
      <c r="AC255" s="483"/>
      <c r="AD255" s="483"/>
    </row>
    <row r="256" spans="3:30">
      <c r="C256" s="483"/>
      <c r="D256" s="483"/>
      <c r="E256" s="483"/>
      <c r="F256" s="483"/>
      <c r="G256" s="483"/>
      <c r="H256" s="483"/>
      <c r="I256" s="483"/>
      <c r="J256" s="483"/>
      <c r="K256" s="483"/>
      <c r="L256" s="483"/>
      <c r="M256" s="483"/>
      <c r="N256" s="483"/>
      <c r="O256" s="483"/>
      <c r="P256" s="483"/>
      <c r="Q256" s="483"/>
      <c r="R256" s="483"/>
      <c r="S256" s="483"/>
      <c r="T256" s="483"/>
      <c r="U256" s="483"/>
      <c r="V256" s="483"/>
      <c r="W256" s="483"/>
      <c r="X256" s="483"/>
      <c r="Y256" s="483"/>
      <c r="Z256" s="483"/>
      <c r="AA256" s="483"/>
      <c r="AB256" s="483"/>
      <c r="AC256" s="483"/>
      <c r="AD256" s="483"/>
    </row>
    <row r="257" spans="3:30">
      <c r="C257" s="483"/>
      <c r="D257" s="483"/>
      <c r="E257" s="483"/>
      <c r="F257" s="483"/>
      <c r="G257" s="483"/>
      <c r="H257" s="483"/>
      <c r="I257" s="483"/>
      <c r="J257" s="483"/>
      <c r="K257" s="483"/>
      <c r="L257" s="483"/>
      <c r="M257" s="483"/>
      <c r="N257" s="483"/>
      <c r="O257" s="483"/>
      <c r="P257" s="483"/>
      <c r="Q257" s="483"/>
      <c r="R257" s="483"/>
      <c r="S257" s="483"/>
      <c r="T257" s="483"/>
      <c r="U257" s="483"/>
      <c r="V257" s="483"/>
      <c r="W257" s="483"/>
      <c r="X257" s="483"/>
      <c r="Y257" s="483"/>
      <c r="Z257" s="483"/>
      <c r="AA257" s="483"/>
      <c r="AB257" s="483"/>
      <c r="AC257" s="483"/>
      <c r="AD257" s="483"/>
    </row>
    <row r="258" spans="3:30">
      <c r="C258" s="483"/>
      <c r="D258" s="483"/>
      <c r="E258" s="483"/>
      <c r="F258" s="483"/>
      <c r="G258" s="483"/>
      <c r="H258" s="483"/>
      <c r="I258" s="483"/>
      <c r="J258" s="483"/>
      <c r="K258" s="483"/>
      <c r="L258" s="483"/>
      <c r="M258" s="483"/>
      <c r="N258" s="483"/>
      <c r="O258" s="483"/>
      <c r="P258" s="483"/>
      <c r="Q258" s="483"/>
      <c r="R258" s="483"/>
      <c r="S258" s="483"/>
      <c r="T258" s="483"/>
      <c r="U258" s="483"/>
      <c r="V258" s="483"/>
      <c r="W258" s="483"/>
      <c r="X258" s="483"/>
      <c r="Y258" s="483"/>
      <c r="Z258" s="483"/>
      <c r="AA258" s="483"/>
      <c r="AB258" s="483"/>
      <c r="AC258" s="483"/>
      <c r="AD258" s="483"/>
    </row>
    <row r="259" spans="3:30">
      <c r="C259" s="483"/>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row>
    <row r="260" spans="3:30">
      <c r="C260" s="483"/>
      <c r="D260" s="483"/>
      <c r="E260" s="483"/>
      <c r="F260" s="483"/>
      <c r="G260" s="483"/>
      <c r="H260" s="483"/>
      <c r="I260" s="483"/>
      <c r="J260" s="483"/>
      <c r="K260" s="483"/>
      <c r="L260" s="483"/>
      <c r="M260" s="483"/>
      <c r="N260" s="483"/>
      <c r="O260" s="483"/>
      <c r="P260" s="483"/>
      <c r="Q260" s="483"/>
      <c r="R260" s="483"/>
      <c r="S260" s="483"/>
      <c r="T260" s="483"/>
      <c r="U260" s="483"/>
      <c r="V260" s="483"/>
      <c r="W260" s="483"/>
      <c r="X260" s="483"/>
      <c r="Y260" s="483"/>
      <c r="Z260" s="483"/>
      <c r="AA260" s="483"/>
      <c r="AB260" s="483"/>
      <c r="AC260" s="483"/>
      <c r="AD260" s="483"/>
    </row>
    <row r="261" spans="3:30">
      <c r="C261" s="483"/>
      <c r="D261" s="483"/>
      <c r="E261" s="483"/>
      <c r="F261" s="483"/>
      <c r="G261" s="483"/>
      <c r="H261" s="483"/>
      <c r="I261" s="483"/>
      <c r="J261" s="483"/>
      <c r="K261" s="483"/>
      <c r="L261" s="483"/>
      <c r="M261" s="483"/>
      <c r="N261" s="483"/>
      <c r="O261" s="483"/>
      <c r="P261" s="483"/>
      <c r="Q261" s="483"/>
      <c r="R261" s="483"/>
      <c r="S261" s="483"/>
      <c r="T261" s="483"/>
      <c r="U261" s="483"/>
      <c r="V261" s="483"/>
      <c r="W261" s="483"/>
      <c r="X261" s="483"/>
      <c r="Y261" s="483"/>
      <c r="Z261" s="483"/>
      <c r="AA261" s="483"/>
      <c r="AB261" s="483"/>
      <c r="AC261" s="483"/>
      <c r="AD261" s="483"/>
    </row>
    <row r="262" spans="3:30">
      <c r="C262" s="483"/>
      <c r="D262" s="483"/>
      <c r="E262" s="483"/>
      <c r="F262" s="483"/>
      <c r="G262" s="483"/>
      <c r="H262" s="483"/>
      <c r="I262" s="483"/>
      <c r="J262" s="483"/>
      <c r="K262" s="483"/>
      <c r="L262" s="483"/>
      <c r="M262" s="483"/>
      <c r="N262" s="483"/>
      <c r="O262" s="483"/>
      <c r="P262" s="483"/>
      <c r="Q262" s="483"/>
      <c r="R262" s="483"/>
      <c r="S262" s="483"/>
      <c r="T262" s="483"/>
      <c r="U262" s="483"/>
      <c r="V262" s="483"/>
      <c r="W262" s="483"/>
      <c r="X262" s="483"/>
      <c r="Y262" s="483"/>
      <c r="Z262" s="483"/>
      <c r="AA262" s="483"/>
      <c r="AB262" s="483"/>
      <c r="AC262" s="483"/>
      <c r="AD262" s="483"/>
    </row>
    <row r="263" spans="3:30">
      <c r="C263" s="483"/>
      <c r="D263" s="483"/>
      <c r="E263" s="483"/>
      <c r="F263" s="483"/>
      <c r="G263" s="483"/>
      <c r="H263" s="483"/>
      <c r="I263" s="483"/>
      <c r="J263" s="483"/>
      <c r="K263" s="483"/>
      <c r="L263" s="483"/>
      <c r="M263" s="483"/>
      <c r="N263" s="483"/>
      <c r="O263" s="483"/>
      <c r="P263" s="483"/>
      <c r="Q263" s="483"/>
      <c r="R263" s="483"/>
      <c r="S263" s="483"/>
      <c r="T263" s="483"/>
      <c r="U263" s="483"/>
      <c r="V263" s="483"/>
      <c r="W263" s="483"/>
      <c r="X263" s="483"/>
      <c r="Y263" s="483"/>
      <c r="Z263" s="483"/>
      <c r="AA263" s="483"/>
      <c r="AB263" s="483"/>
      <c r="AC263" s="483"/>
      <c r="AD263" s="483"/>
    </row>
    <row r="264" spans="3:30">
      <c r="C264" s="483"/>
      <c r="D264" s="483"/>
      <c r="E264" s="483"/>
      <c r="F264" s="483"/>
      <c r="G264" s="483"/>
      <c r="H264" s="483"/>
      <c r="I264" s="483"/>
      <c r="J264" s="483"/>
      <c r="K264" s="483"/>
      <c r="L264" s="483"/>
      <c r="M264" s="483"/>
      <c r="N264" s="483"/>
      <c r="O264" s="483"/>
      <c r="P264" s="483"/>
      <c r="Q264" s="483"/>
      <c r="R264" s="483"/>
      <c r="S264" s="483"/>
      <c r="T264" s="483"/>
      <c r="U264" s="483"/>
      <c r="V264" s="483"/>
      <c r="W264" s="483"/>
      <c r="X264" s="483"/>
      <c r="Y264" s="483"/>
      <c r="Z264" s="483"/>
      <c r="AA264" s="483"/>
      <c r="AB264" s="483"/>
      <c r="AC264" s="483"/>
      <c r="AD264" s="483"/>
    </row>
    <row r="265" spans="3:30">
      <c r="C265" s="483"/>
      <c r="D265" s="483"/>
      <c r="E265" s="483"/>
      <c r="F265" s="483"/>
      <c r="G265" s="483"/>
      <c r="H265" s="483"/>
      <c r="I265" s="483"/>
      <c r="J265" s="483"/>
      <c r="K265" s="483"/>
      <c r="L265" s="483"/>
      <c r="M265" s="483"/>
      <c r="N265" s="483"/>
      <c r="O265" s="483"/>
      <c r="P265" s="483"/>
      <c r="Q265" s="483"/>
      <c r="R265" s="483"/>
      <c r="S265" s="483"/>
      <c r="T265" s="483"/>
      <c r="U265" s="483"/>
      <c r="V265" s="483"/>
      <c r="W265" s="483"/>
      <c r="X265" s="483"/>
      <c r="Y265" s="483"/>
      <c r="Z265" s="483"/>
      <c r="AA265" s="483"/>
      <c r="AB265" s="483"/>
      <c r="AC265" s="483"/>
      <c r="AD265" s="483"/>
    </row>
    <row r="266" spans="3:30">
      <c r="C266" s="483"/>
      <c r="D266" s="483"/>
      <c r="E266" s="483"/>
      <c r="F266" s="483"/>
      <c r="G266" s="483"/>
      <c r="H266" s="483"/>
      <c r="I266" s="483"/>
      <c r="J266" s="483"/>
      <c r="K266" s="483"/>
      <c r="L266" s="483"/>
      <c r="M266" s="483"/>
      <c r="N266" s="483"/>
      <c r="O266" s="483"/>
      <c r="P266" s="483"/>
      <c r="Q266" s="483"/>
      <c r="R266" s="483"/>
      <c r="S266" s="483"/>
      <c r="T266" s="483"/>
      <c r="U266" s="483"/>
      <c r="V266" s="483"/>
      <c r="W266" s="483"/>
      <c r="X266" s="483"/>
      <c r="Y266" s="483"/>
      <c r="Z266" s="483"/>
      <c r="AA266" s="483"/>
      <c r="AB266" s="483"/>
      <c r="AC266" s="483"/>
      <c r="AD266" s="483"/>
    </row>
    <row r="267" spans="3:30">
      <c r="C267" s="483"/>
      <c r="D267" s="483"/>
      <c r="E267" s="483"/>
      <c r="F267" s="483"/>
      <c r="G267" s="483"/>
      <c r="H267" s="483"/>
      <c r="I267" s="483"/>
      <c r="J267" s="483"/>
      <c r="K267" s="483"/>
      <c r="L267" s="483"/>
      <c r="M267" s="483"/>
      <c r="N267" s="483"/>
      <c r="O267" s="483"/>
      <c r="P267" s="483"/>
      <c r="Q267" s="483"/>
      <c r="R267" s="483"/>
      <c r="S267" s="483"/>
      <c r="T267" s="483"/>
      <c r="U267" s="483"/>
      <c r="V267" s="483"/>
      <c r="W267" s="483"/>
      <c r="X267" s="483"/>
      <c r="Y267" s="483"/>
      <c r="Z267" s="483"/>
      <c r="AA267" s="483"/>
      <c r="AB267" s="483"/>
      <c r="AC267" s="483"/>
      <c r="AD267" s="483"/>
    </row>
    <row r="268" spans="3:30">
      <c r="C268" s="483"/>
      <c r="D268" s="483"/>
      <c r="E268" s="483"/>
      <c r="F268" s="483"/>
      <c r="G268" s="483"/>
      <c r="H268" s="483"/>
      <c r="I268" s="483"/>
      <c r="J268" s="483"/>
      <c r="K268" s="483"/>
      <c r="L268" s="483"/>
      <c r="M268" s="483"/>
      <c r="N268" s="483"/>
      <c r="O268" s="483"/>
      <c r="P268" s="483"/>
      <c r="Q268" s="483"/>
      <c r="R268" s="483"/>
      <c r="S268" s="483"/>
      <c r="T268" s="483"/>
      <c r="U268" s="483"/>
      <c r="V268" s="483"/>
      <c r="W268" s="483"/>
      <c r="X268" s="483"/>
      <c r="Y268" s="483"/>
      <c r="Z268" s="483"/>
      <c r="AA268" s="483"/>
      <c r="AB268" s="483"/>
      <c r="AC268" s="483"/>
      <c r="AD268" s="483"/>
    </row>
    <row r="269" spans="3:30">
      <c r="C269" s="483"/>
      <c r="D269" s="483"/>
      <c r="E269" s="483"/>
      <c r="F269" s="483"/>
      <c r="G269" s="483"/>
      <c r="H269" s="483"/>
      <c r="I269" s="483"/>
      <c r="J269" s="483"/>
      <c r="K269" s="483"/>
      <c r="L269" s="483"/>
      <c r="M269" s="483"/>
      <c r="N269" s="483"/>
      <c r="O269" s="483"/>
      <c r="P269" s="483"/>
      <c r="Q269" s="483"/>
      <c r="R269" s="483"/>
      <c r="S269" s="483"/>
      <c r="T269" s="483"/>
      <c r="U269" s="483"/>
      <c r="V269" s="483"/>
      <c r="W269" s="483"/>
      <c r="X269" s="483"/>
      <c r="Y269" s="483"/>
      <c r="Z269" s="483"/>
      <c r="AA269" s="483"/>
      <c r="AB269" s="483"/>
      <c r="AC269" s="483"/>
      <c r="AD269" s="483"/>
    </row>
    <row r="270" spans="3:30">
      <c r="C270" s="483"/>
      <c r="D270" s="483"/>
      <c r="E270" s="483"/>
      <c r="F270" s="483"/>
      <c r="G270" s="483"/>
      <c r="H270" s="483"/>
      <c r="I270" s="483"/>
      <c r="J270" s="483"/>
      <c r="K270" s="483"/>
      <c r="L270" s="483"/>
      <c r="M270" s="483"/>
      <c r="N270" s="483"/>
      <c r="O270" s="483"/>
      <c r="P270" s="483"/>
      <c r="Q270" s="483"/>
      <c r="R270" s="483"/>
      <c r="S270" s="483"/>
      <c r="T270" s="483"/>
      <c r="U270" s="483"/>
      <c r="V270" s="483"/>
      <c r="W270" s="483"/>
      <c r="X270" s="483"/>
      <c r="Y270" s="483"/>
      <c r="Z270" s="483"/>
      <c r="AA270" s="483"/>
      <c r="AB270" s="483"/>
      <c r="AC270" s="483"/>
      <c r="AD270" s="483"/>
    </row>
    <row r="271" spans="3:30">
      <c r="C271" s="483"/>
      <c r="D271" s="483"/>
      <c r="E271" s="483"/>
      <c r="F271" s="483"/>
      <c r="G271" s="483"/>
      <c r="H271" s="483"/>
      <c r="I271" s="483"/>
      <c r="J271" s="483"/>
      <c r="K271" s="483"/>
      <c r="L271" s="483"/>
      <c r="M271" s="483"/>
      <c r="N271" s="483"/>
      <c r="O271" s="483"/>
      <c r="P271" s="483"/>
      <c r="Q271" s="483"/>
      <c r="R271" s="483"/>
      <c r="S271" s="483"/>
      <c r="T271" s="483"/>
      <c r="U271" s="483"/>
      <c r="V271" s="483"/>
      <c r="W271" s="483"/>
      <c r="X271" s="483"/>
      <c r="Y271" s="483"/>
      <c r="Z271" s="483"/>
      <c r="AA271" s="483"/>
      <c r="AB271" s="483"/>
      <c r="AC271" s="483"/>
      <c r="AD271" s="483"/>
    </row>
    <row r="272" spans="3:30">
      <c r="C272" s="483"/>
      <c r="D272" s="483"/>
      <c r="E272" s="483"/>
      <c r="F272" s="483"/>
      <c r="G272" s="483"/>
      <c r="H272" s="483"/>
      <c r="I272" s="483"/>
      <c r="J272" s="483"/>
      <c r="K272" s="483"/>
      <c r="L272" s="483"/>
      <c r="M272" s="483"/>
      <c r="N272" s="483"/>
      <c r="O272" s="483"/>
      <c r="P272" s="483"/>
      <c r="Q272" s="483"/>
      <c r="R272" s="483"/>
      <c r="S272" s="483"/>
      <c r="T272" s="483"/>
      <c r="U272" s="483"/>
      <c r="V272" s="483"/>
      <c r="W272" s="483"/>
      <c r="X272" s="483"/>
      <c r="Y272" s="483"/>
      <c r="Z272" s="483"/>
      <c r="AA272" s="483"/>
      <c r="AB272" s="483"/>
      <c r="AC272" s="483"/>
      <c r="AD272" s="483"/>
    </row>
    <row r="273" spans="3:30">
      <c r="C273" s="48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row>
    <row r="274" spans="3:30">
      <c r="C274" s="483"/>
      <c r="D274" s="483"/>
      <c r="E274" s="483"/>
      <c r="F274" s="483"/>
      <c r="G274" s="483"/>
      <c r="H274" s="483"/>
      <c r="I274" s="483"/>
      <c r="J274" s="483"/>
      <c r="K274" s="483"/>
      <c r="L274" s="483"/>
      <c r="M274" s="483"/>
      <c r="N274" s="483"/>
      <c r="O274" s="483"/>
      <c r="P274" s="483"/>
      <c r="Q274" s="483"/>
      <c r="R274" s="483"/>
      <c r="S274" s="483"/>
      <c r="T274" s="483"/>
      <c r="U274" s="483"/>
      <c r="V274" s="483"/>
      <c r="W274" s="483"/>
      <c r="X274" s="483"/>
      <c r="Y274" s="483"/>
      <c r="Z274" s="483"/>
      <c r="AA274" s="483"/>
      <c r="AB274" s="483"/>
      <c r="AC274" s="483"/>
      <c r="AD274" s="483"/>
    </row>
    <row r="275" spans="3:30">
      <c r="C275" s="483"/>
      <c r="D275" s="483"/>
      <c r="E275" s="483"/>
      <c r="F275" s="483"/>
      <c r="G275" s="483"/>
      <c r="H275" s="483"/>
      <c r="I275" s="483"/>
      <c r="J275" s="483"/>
      <c r="K275" s="483"/>
      <c r="L275" s="483"/>
      <c r="M275" s="483"/>
      <c r="N275" s="483"/>
      <c r="O275" s="483"/>
      <c r="P275" s="483"/>
      <c r="Q275" s="483"/>
      <c r="R275" s="483"/>
      <c r="S275" s="483"/>
      <c r="T275" s="483"/>
      <c r="U275" s="483"/>
      <c r="V275" s="483"/>
      <c r="W275" s="483"/>
      <c r="X275" s="483"/>
      <c r="Y275" s="483"/>
      <c r="Z275" s="483"/>
      <c r="AA275" s="483"/>
      <c r="AB275" s="483"/>
      <c r="AC275" s="483"/>
      <c r="AD275" s="483"/>
    </row>
    <row r="276" spans="3:30">
      <c r="C276" s="483"/>
      <c r="D276" s="483"/>
      <c r="E276" s="483"/>
      <c r="F276" s="483"/>
      <c r="G276" s="483"/>
      <c r="H276" s="483"/>
      <c r="I276" s="483"/>
      <c r="J276" s="483"/>
      <c r="K276" s="483"/>
      <c r="L276" s="483"/>
      <c r="M276" s="483"/>
      <c r="N276" s="483"/>
      <c r="O276" s="483"/>
      <c r="P276" s="483"/>
      <c r="Q276" s="483"/>
      <c r="R276" s="483"/>
      <c r="S276" s="483"/>
      <c r="T276" s="483"/>
      <c r="U276" s="483"/>
      <c r="V276" s="483"/>
      <c r="W276" s="483"/>
      <c r="X276" s="483"/>
      <c r="Y276" s="483"/>
      <c r="Z276" s="483"/>
      <c r="AA276" s="483"/>
      <c r="AB276" s="483"/>
      <c r="AC276" s="483"/>
      <c r="AD276" s="483"/>
    </row>
    <row r="277" spans="3:30">
      <c r="C277" s="483"/>
      <c r="D277" s="483"/>
      <c r="E277" s="483"/>
      <c r="F277" s="483"/>
      <c r="G277" s="483"/>
      <c r="H277" s="483"/>
      <c r="I277" s="483"/>
      <c r="J277" s="483"/>
      <c r="K277" s="483"/>
      <c r="L277" s="483"/>
      <c r="M277" s="483"/>
      <c r="N277" s="483"/>
      <c r="O277" s="483"/>
      <c r="P277" s="483"/>
      <c r="Q277" s="483"/>
      <c r="R277" s="483"/>
      <c r="S277" s="483"/>
      <c r="T277" s="483"/>
      <c r="U277" s="483"/>
      <c r="V277" s="483"/>
      <c r="W277" s="483"/>
      <c r="X277" s="483"/>
      <c r="Y277" s="483"/>
      <c r="Z277" s="483"/>
      <c r="AA277" s="483"/>
      <c r="AB277" s="483"/>
      <c r="AC277" s="483"/>
      <c r="AD277" s="483"/>
    </row>
    <row r="278" spans="3:30">
      <c r="C278" s="483"/>
      <c r="D278" s="483"/>
      <c r="E278" s="483"/>
      <c r="F278" s="483"/>
      <c r="G278" s="483"/>
      <c r="H278" s="483"/>
      <c r="I278" s="483"/>
      <c r="J278" s="483"/>
      <c r="K278" s="483"/>
      <c r="L278" s="483"/>
      <c r="M278" s="483"/>
      <c r="N278" s="483"/>
      <c r="O278" s="483"/>
      <c r="P278" s="483"/>
      <c r="Q278" s="483"/>
      <c r="R278" s="483"/>
      <c r="S278" s="483"/>
      <c r="T278" s="483"/>
      <c r="U278" s="483"/>
      <c r="V278" s="483"/>
      <c r="W278" s="483"/>
      <c r="X278" s="483"/>
      <c r="Y278" s="483"/>
      <c r="Z278" s="483"/>
      <c r="AA278" s="483"/>
      <c r="AB278" s="483"/>
      <c r="AC278" s="483"/>
      <c r="AD278" s="483"/>
    </row>
    <row r="279" spans="3:30">
      <c r="C279" s="483"/>
      <c r="D279" s="483"/>
      <c r="E279" s="483"/>
      <c r="F279" s="483"/>
      <c r="G279" s="483"/>
      <c r="H279" s="483"/>
      <c r="I279" s="483"/>
      <c r="J279" s="483"/>
      <c r="K279" s="483"/>
      <c r="L279" s="483"/>
      <c r="M279" s="483"/>
      <c r="N279" s="483"/>
      <c r="O279" s="483"/>
      <c r="P279" s="483"/>
      <c r="Q279" s="483"/>
      <c r="R279" s="483"/>
      <c r="S279" s="483"/>
      <c r="T279" s="483"/>
      <c r="U279" s="483"/>
      <c r="V279" s="483"/>
      <c r="W279" s="483"/>
      <c r="X279" s="483"/>
      <c r="Y279" s="483"/>
      <c r="Z279" s="483"/>
      <c r="AA279" s="483"/>
      <c r="AB279" s="483"/>
      <c r="AC279" s="483"/>
      <c r="AD279" s="483"/>
    </row>
    <row r="280" spans="3:30">
      <c r="C280" s="483"/>
      <c r="D280" s="483"/>
      <c r="E280" s="483"/>
      <c r="F280" s="483"/>
      <c r="G280" s="483"/>
      <c r="H280" s="483"/>
      <c r="I280" s="483"/>
      <c r="J280" s="483"/>
      <c r="K280" s="483"/>
      <c r="L280" s="483"/>
      <c r="M280" s="483"/>
      <c r="N280" s="483"/>
      <c r="O280" s="483"/>
      <c r="P280" s="483"/>
      <c r="Q280" s="483"/>
      <c r="R280" s="483"/>
      <c r="S280" s="483"/>
      <c r="T280" s="483"/>
      <c r="U280" s="483"/>
      <c r="V280" s="483"/>
      <c r="W280" s="483"/>
      <c r="X280" s="483"/>
      <c r="Y280" s="483"/>
      <c r="Z280" s="483"/>
      <c r="AA280" s="483"/>
      <c r="AB280" s="483"/>
      <c r="AC280" s="483"/>
      <c r="AD280" s="483"/>
    </row>
    <row r="281" spans="3:30">
      <c r="C281" s="483"/>
      <c r="D281" s="483"/>
      <c r="E281" s="483"/>
      <c r="F281" s="483"/>
      <c r="G281" s="483"/>
      <c r="H281" s="483"/>
      <c r="I281" s="483"/>
      <c r="J281" s="483"/>
      <c r="K281" s="483"/>
      <c r="L281" s="483"/>
      <c r="M281" s="483"/>
      <c r="N281" s="483"/>
      <c r="O281" s="483"/>
      <c r="P281" s="483"/>
      <c r="Q281" s="483"/>
      <c r="R281" s="483"/>
      <c r="S281" s="483"/>
      <c r="T281" s="483"/>
      <c r="U281" s="483"/>
      <c r="V281" s="483"/>
      <c r="W281" s="483"/>
      <c r="X281" s="483"/>
      <c r="Y281" s="483"/>
      <c r="Z281" s="483"/>
      <c r="AA281" s="483"/>
      <c r="AB281" s="483"/>
      <c r="AC281" s="483"/>
      <c r="AD281" s="483"/>
    </row>
    <row r="282" spans="3:30">
      <c r="C282" s="483"/>
      <c r="D282" s="483"/>
      <c r="E282" s="483"/>
      <c r="F282" s="483"/>
      <c r="G282" s="483"/>
      <c r="H282" s="483"/>
      <c r="I282" s="483"/>
      <c r="J282" s="483"/>
      <c r="K282" s="483"/>
      <c r="L282" s="483"/>
      <c r="M282" s="483"/>
      <c r="N282" s="483"/>
      <c r="O282" s="483"/>
      <c r="P282" s="483"/>
      <c r="Q282" s="483"/>
      <c r="R282" s="483"/>
      <c r="S282" s="483"/>
      <c r="T282" s="483"/>
      <c r="U282" s="483"/>
      <c r="V282" s="483"/>
      <c r="W282" s="483"/>
      <c r="X282" s="483"/>
      <c r="Y282" s="483"/>
      <c r="Z282" s="483"/>
      <c r="AA282" s="483"/>
      <c r="AB282" s="483"/>
      <c r="AC282" s="483"/>
      <c r="AD282" s="483"/>
    </row>
    <row r="283" spans="3:30">
      <c r="C283" s="483"/>
      <c r="D283" s="483"/>
      <c r="E283" s="483"/>
      <c r="F283" s="483"/>
      <c r="G283" s="483"/>
      <c r="H283" s="483"/>
      <c r="I283" s="483"/>
      <c r="J283" s="483"/>
      <c r="K283" s="483"/>
      <c r="L283" s="483"/>
      <c r="M283" s="483"/>
      <c r="N283" s="483"/>
      <c r="O283" s="483"/>
      <c r="P283" s="483"/>
      <c r="Q283" s="483"/>
      <c r="R283" s="483"/>
      <c r="S283" s="483"/>
      <c r="T283" s="483"/>
      <c r="U283" s="483"/>
      <c r="V283" s="483"/>
      <c r="W283" s="483"/>
      <c r="X283" s="483"/>
      <c r="Y283" s="483"/>
      <c r="Z283" s="483"/>
      <c r="AA283" s="483"/>
      <c r="AB283" s="483"/>
      <c r="AC283" s="483"/>
      <c r="AD283" s="483"/>
    </row>
    <row r="284" spans="3:30">
      <c r="C284" s="483"/>
      <c r="D284" s="483"/>
      <c r="E284" s="483"/>
      <c r="F284" s="483"/>
      <c r="G284" s="483"/>
      <c r="H284" s="483"/>
      <c r="I284" s="483"/>
      <c r="J284" s="483"/>
      <c r="K284" s="483"/>
      <c r="L284" s="483"/>
      <c r="M284" s="483"/>
      <c r="N284" s="483"/>
      <c r="O284" s="483"/>
      <c r="P284" s="483"/>
      <c r="Q284" s="483"/>
      <c r="R284" s="483"/>
      <c r="S284" s="483"/>
      <c r="T284" s="483"/>
      <c r="U284" s="483"/>
      <c r="V284" s="483"/>
      <c r="W284" s="483"/>
      <c r="X284" s="483"/>
      <c r="Y284" s="483"/>
      <c r="Z284" s="483"/>
      <c r="AA284" s="483"/>
      <c r="AB284" s="483"/>
      <c r="AC284" s="483"/>
      <c r="AD284" s="483"/>
    </row>
    <row r="285" spans="3:30">
      <c r="C285" s="483"/>
      <c r="D285" s="483"/>
      <c r="E285" s="483"/>
      <c r="F285" s="483"/>
      <c r="G285" s="483"/>
      <c r="H285" s="483"/>
      <c r="I285" s="483"/>
      <c r="J285" s="483"/>
      <c r="K285" s="483"/>
      <c r="L285" s="483"/>
      <c r="M285" s="483"/>
      <c r="N285" s="483"/>
      <c r="O285" s="483"/>
      <c r="P285" s="483"/>
      <c r="Q285" s="483"/>
      <c r="R285" s="483"/>
      <c r="S285" s="483"/>
      <c r="T285" s="483"/>
      <c r="U285" s="483"/>
      <c r="V285" s="483"/>
      <c r="W285" s="483"/>
      <c r="X285" s="483"/>
      <c r="Y285" s="483"/>
      <c r="Z285" s="483"/>
      <c r="AA285" s="483"/>
      <c r="AB285" s="483"/>
      <c r="AC285" s="483"/>
      <c r="AD285" s="483"/>
    </row>
    <row r="286" spans="3:30">
      <c r="C286" s="483"/>
      <c r="D286" s="483"/>
      <c r="E286" s="483"/>
      <c r="F286" s="483"/>
      <c r="G286" s="483"/>
      <c r="H286" s="483"/>
      <c r="I286" s="483"/>
      <c r="J286" s="483"/>
      <c r="K286" s="483"/>
      <c r="L286" s="483"/>
      <c r="M286" s="483"/>
      <c r="N286" s="483"/>
      <c r="O286" s="483"/>
      <c r="P286" s="483"/>
      <c r="Q286" s="483"/>
      <c r="R286" s="483"/>
      <c r="S286" s="483"/>
      <c r="T286" s="483"/>
      <c r="U286" s="483"/>
      <c r="V286" s="483"/>
      <c r="W286" s="483"/>
      <c r="X286" s="483"/>
      <c r="Y286" s="483"/>
      <c r="Z286" s="483"/>
      <c r="AA286" s="483"/>
      <c r="AB286" s="483"/>
      <c r="AC286" s="483"/>
      <c r="AD286" s="483"/>
    </row>
    <row r="287" spans="3:30">
      <c r="C287" s="483"/>
      <c r="D287" s="483"/>
      <c r="E287" s="483"/>
      <c r="F287" s="483"/>
      <c r="G287" s="483"/>
      <c r="H287" s="483"/>
      <c r="I287" s="483"/>
      <c r="J287" s="483"/>
      <c r="K287" s="483"/>
      <c r="L287" s="483"/>
      <c r="M287" s="483"/>
      <c r="N287" s="483"/>
      <c r="O287" s="483"/>
      <c r="P287" s="483"/>
      <c r="Q287" s="483"/>
      <c r="R287" s="483"/>
      <c r="S287" s="483"/>
      <c r="T287" s="483"/>
      <c r="U287" s="483"/>
      <c r="V287" s="483"/>
      <c r="W287" s="483"/>
      <c r="X287" s="483"/>
      <c r="Y287" s="483"/>
      <c r="Z287" s="483"/>
      <c r="AA287" s="483"/>
      <c r="AB287" s="483"/>
      <c r="AC287" s="483"/>
      <c r="AD287" s="483"/>
    </row>
    <row r="288" spans="3:30">
      <c r="C288" s="483"/>
      <c r="D288" s="483"/>
      <c r="E288" s="483"/>
      <c r="F288" s="483"/>
      <c r="G288" s="483"/>
      <c r="H288" s="483"/>
      <c r="I288" s="483"/>
      <c r="J288" s="483"/>
      <c r="K288" s="483"/>
      <c r="L288" s="483"/>
      <c r="M288" s="483"/>
      <c r="N288" s="483"/>
      <c r="O288" s="483"/>
      <c r="P288" s="483"/>
      <c r="Q288" s="483"/>
      <c r="R288" s="483"/>
      <c r="S288" s="483"/>
      <c r="T288" s="483"/>
      <c r="U288" s="483"/>
      <c r="V288" s="483"/>
      <c r="W288" s="483"/>
      <c r="X288" s="483"/>
      <c r="Y288" s="483"/>
      <c r="Z288" s="483"/>
      <c r="AA288" s="483"/>
      <c r="AB288" s="483"/>
      <c r="AC288" s="483"/>
      <c r="AD288" s="483"/>
    </row>
    <row r="289" spans="3:30">
      <c r="C289" s="483"/>
      <c r="D289" s="483"/>
      <c r="E289" s="483"/>
      <c r="F289" s="483"/>
      <c r="G289" s="483"/>
      <c r="H289" s="483"/>
      <c r="I289" s="483"/>
      <c r="J289" s="483"/>
      <c r="K289" s="483"/>
      <c r="L289" s="483"/>
      <c r="M289" s="483"/>
      <c r="N289" s="483"/>
      <c r="O289" s="483"/>
      <c r="P289" s="483"/>
      <c r="Q289" s="483"/>
      <c r="R289" s="483"/>
      <c r="S289" s="483"/>
      <c r="T289" s="483"/>
      <c r="U289" s="483"/>
      <c r="V289" s="483"/>
      <c r="W289" s="483"/>
      <c r="X289" s="483"/>
      <c r="Y289" s="483"/>
      <c r="Z289" s="483"/>
      <c r="AA289" s="483"/>
      <c r="AB289" s="483"/>
      <c r="AC289" s="483"/>
      <c r="AD289" s="483"/>
    </row>
    <row r="290" spans="3:30">
      <c r="C290" s="483"/>
      <c r="D290" s="483"/>
      <c r="E290" s="483"/>
      <c r="F290" s="483"/>
      <c r="G290" s="483"/>
      <c r="H290" s="483"/>
      <c r="I290" s="483"/>
      <c r="J290" s="483"/>
      <c r="K290" s="483"/>
      <c r="L290" s="483"/>
      <c r="M290" s="483"/>
      <c r="N290" s="483"/>
      <c r="O290" s="483"/>
      <c r="P290" s="483"/>
      <c r="Q290" s="483"/>
      <c r="R290" s="483"/>
      <c r="S290" s="483"/>
      <c r="T290" s="483"/>
      <c r="U290" s="483"/>
      <c r="V290" s="483"/>
      <c r="W290" s="483"/>
      <c r="X290" s="483"/>
      <c r="Y290" s="483"/>
      <c r="Z290" s="483"/>
      <c r="AA290" s="483"/>
      <c r="AB290" s="483"/>
      <c r="AC290" s="483"/>
      <c r="AD290" s="483"/>
    </row>
    <row r="291" spans="3:30">
      <c r="C291" s="483"/>
      <c r="D291" s="483"/>
      <c r="E291" s="483"/>
      <c r="F291" s="483"/>
      <c r="G291" s="483"/>
      <c r="H291" s="483"/>
      <c r="I291" s="483"/>
      <c r="J291" s="483"/>
      <c r="K291" s="483"/>
      <c r="L291" s="483"/>
      <c r="M291" s="483"/>
      <c r="N291" s="483"/>
      <c r="O291" s="483"/>
      <c r="P291" s="483"/>
      <c r="Q291" s="483"/>
      <c r="R291" s="483"/>
      <c r="S291" s="483"/>
      <c r="T291" s="483"/>
      <c r="U291" s="483"/>
      <c r="V291" s="483"/>
      <c r="W291" s="483"/>
      <c r="X291" s="483"/>
      <c r="Y291" s="483"/>
      <c r="Z291" s="483"/>
      <c r="AA291" s="483"/>
      <c r="AB291" s="483"/>
      <c r="AC291" s="483"/>
      <c r="AD291" s="483"/>
    </row>
    <row r="292" spans="3:30">
      <c r="C292" s="483"/>
      <c r="D292" s="483"/>
      <c r="E292" s="483"/>
      <c r="F292" s="483"/>
      <c r="G292" s="483"/>
      <c r="H292" s="483"/>
      <c r="I292" s="483"/>
      <c r="J292" s="483"/>
      <c r="K292" s="483"/>
      <c r="L292" s="483"/>
      <c r="M292" s="483"/>
      <c r="N292" s="483"/>
      <c r="O292" s="483"/>
      <c r="P292" s="483"/>
      <c r="Q292" s="483"/>
      <c r="R292" s="483"/>
      <c r="S292" s="483"/>
      <c r="T292" s="483"/>
      <c r="U292" s="483"/>
      <c r="V292" s="483"/>
      <c r="W292" s="483"/>
      <c r="X292" s="483"/>
      <c r="Y292" s="483"/>
      <c r="Z292" s="483"/>
      <c r="AA292" s="483"/>
      <c r="AB292" s="483"/>
      <c r="AC292" s="483"/>
      <c r="AD292" s="483"/>
    </row>
    <row r="293" spans="3:30">
      <c r="C293" s="483"/>
      <c r="D293" s="483"/>
      <c r="E293" s="483"/>
      <c r="F293" s="483"/>
      <c r="G293" s="483"/>
      <c r="H293" s="483"/>
      <c r="I293" s="483"/>
      <c r="J293" s="483"/>
      <c r="K293" s="483"/>
      <c r="L293" s="483"/>
      <c r="M293" s="483"/>
      <c r="N293" s="483"/>
      <c r="O293" s="483"/>
      <c r="P293" s="483"/>
      <c r="Q293" s="483"/>
      <c r="R293" s="483"/>
      <c r="S293" s="483"/>
      <c r="T293" s="483"/>
      <c r="U293" s="483"/>
      <c r="V293" s="483"/>
      <c r="W293" s="483"/>
      <c r="X293" s="483"/>
      <c r="Y293" s="483"/>
      <c r="Z293" s="483"/>
      <c r="AA293" s="483"/>
      <c r="AB293" s="483"/>
      <c r="AC293" s="483"/>
      <c r="AD293" s="483"/>
    </row>
    <row r="294" spans="3:30">
      <c r="C294" s="483"/>
      <c r="D294" s="483"/>
      <c r="E294" s="483"/>
      <c r="F294" s="483"/>
      <c r="G294" s="483"/>
      <c r="H294" s="483"/>
      <c r="I294" s="483"/>
      <c r="J294" s="483"/>
      <c r="K294" s="483"/>
      <c r="L294" s="483"/>
      <c r="M294" s="483"/>
      <c r="N294" s="483"/>
      <c r="O294" s="483"/>
      <c r="P294" s="483"/>
      <c r="Q294" s="483"/>
      <c r="R294" s="483"/>
      <c r="S294" s="483"/>
      <c r="T294" s="483"/>
      <c r="U294" s="483"/>
      <c r="V294" s="483"/>
      <c r="W294" s="483"/>
      <c r="X294" s="483"/>
      <c r="Y294" s="483"/>
      <c r="Z294" s="483"/>
      <c r="AA294" s="483"/>
      <c r="AB294" s="483"/>
      <c r="AC294" s="483"/>
      <c r="AD294" s="483"/>
    </row>
    <row r="295" spans="3:30">
      <c r="C295" s="483"/>
      <c r="D295" s="483"/>
      <c r="E295" s="483"/>
      <c r="F295" s="483"/>
      <c r="G295" s="483"/>
      <c r="H295" s="483"/>
      <c r="I295" s="483"/>
      <c r="J295" s="483"/>
      <c r="K295" s="483"/>
      <c r="L295" s="483"/>
      <c r="M295" s="483"/>
      <c r="N295" s="483"/>
      <c r="O295" s="483"/>
      <c r="P295" s="483"/>
      <c r="Q295" s="483"/>
      <c r="R295" s="483"/>
      <c r="S295" s="483"/>
      <c r="T295" s="483"/>
      <c r="U295" s="483"/>
      <c r="V295" s="483"/>
      <c r="W295" s="483"/>
      <c r="X295" s="483"/>
      <c r="Y295" s="483"/>
      <c r="Z295" s="483"/>
      <c r="AA295" s="483"/>
      <c r="AB295" s="483"/>
      <c r="AC295" s="483"/>
      <c r="AD295" s="483"/>
    </row>
    <row r="296" spans="3:30">
      <c r="C296" s="483"/>
      <c r="D296" s="483"/>
      <c r="E296" s="483"/>
      <c r="F296" s="483"/>
      <c r="G296" s="483"/>
      <c r="H296" s="483"/>
      <c r="I296" s="483"/>
      <c r="J296" s="483"/>
      <c r="K296" s="483"/>
      <c r="L296" s="483"/>
      <c r="M296" s="483"/>
      <c r="N296" s="483"/>
      <c r="O296" s="483"/>
      <c r="P296" s="483"/>
      <c r="Q296" s="483"/>
      <c r="R296" s="483"/>
      <c r="S296" s="483"/>
      <c r="T296" s="483"/>
      <c r="U296" s="483"/>
      <c r="V296" s="483"/>
      <c r="W296" s="483"/>
      <c r="X296" s="483"/>
      <c r="Y296" s="483"/>
      <c r="Z296" s="483"/>
      <c r="AA296" s="483"/>
      <c r="AB296" s="483"/>
      <c r="AC296" s="483"/>
      <c r="AD296" s="483"/>
    </row>
    <row r="297" spans="3:30">
      <c r="C297" s="483"/>
      <c r="D297" s="483"/>
      <c r="E297" s="483"/>
      <c r="F297" s="483"/>
      <c r="G297" s="483"/>
      <c r="H297" s="483"/>
      <c r="I297" s="483"/>
      <c r="J297" s="483"/>
      <c r="K297" s="483"/>
      <c r="L297" s="483"/>
      <c r="M297" s="483"/>
      <c r="N297" s="483"/>
      <c r="O297" s="483"/>
      <c r="P297" s="483"/>
      <c r="Q297" s="483"/>
      <c r="R297" s="483"/>
      <c r="S297" s="483"/>
      <c r="T297" s="483"/>
      <c r="U297" s="483"/>
      <c r="V297" s="483"/>
      <c r="W297" s="483"/>
      <c r="X297" s="483"/>
      <c r="Y297" s="483"/>
      <c r="Z297" s="483"/>
      <c r="AA297" s="483"/>
      <c r="AB297" s="483"/>
      <c r="AC297" s="483"/>
      <c r="AD297" s="483"/>
    </row>
    <row r="298" spans="3:30">
      <c r="C298" s="483"/>
      <c r="D298" s="483"/>
      <c r="E298" s="483"/>
      <c r="F298" s="483"/>
      <c r="G298" s="483"/>
      <c r="H298" s="483"/>
      <c r="I298" s="483"/>
      <c r="J298" s="483"/>
      <c r="K298" s="483"/>
      <c r="L298" s="483"/>
      <c r="M298" s="483"/>
      <c r="N298" s="483"/>
      <c r="O298" s="483"/>
      <c r="P298" s="483"/>
      <c r="Q298" s="483"/>
      <c r="R298" s="483"/>
      <c r="S298" s="483"/>
      <c r="T298" s="483"/>
      <c r="U298" s="483"/>
      <c r="V298" s="483"/>
      <c r="W298" s="483"/>
      <c r="X298" s="483"/>
      <c r="Y298" s="483"/>
      <c r="Z298" s="483"/>
      <c r="AA298" s="483"/>
      <c r="AB298" s="483"/>
      <c r="AC298" s="483"/>
      <c r="AD298" s="483"/>
    </row>
    <row r="299" spans="3:30">
      <c r="C299" s="483"/>
      <c r="D299" s="483"/>
      <c r="E299" s="483"/>
      <c r="F299" s="483"/>
      <c r="G299" s="483"/>
      <c r="H299" s="483"/>
      <c r="I299" s="483"/>
      <c r="J299" s="483"/>
      <c r="K299" s="483"/>
      <c r="L299" s="483"/>
      <c r="M299" s="483"/>
      <c r="N299" s="483"/>
      <c r="O299" s="483"/>
      <c r="P299" s="483"/>
      <c r="Q299" s="483"/>
      <c r="R299" s="483"/>
      <c r="S299" s="483"/>
      <c r="T299" s="483"/>
      <c r="U299" s="483"/>
      <c r="V299" s="483"/>
      <c r="W299" s="483"/>
      <c r="X299" s="483"/>
      <c r="Y299" s="483"/>
      <c r="Z299" s="483"/>
      <c r="AA299" s="483"/>
      <c r="AB299" s="483"/>
      <c r="AC299" s="483"/>
      <c r="AD299" s="483"/>
    </row>
    <row r="300" spans="3:30">
      <c r="C300" s="483"/>
      <c r="D300" s="483"/>
      <c r="E300" s="483"/>
      <c r="F300" s="483"/>
      <c r="G300" s="483"/>
      <c r="H300" s="483"/>
      <c r="I300" s="483"/>
      <c r="J300" s="483"/>
      <c r="K300" s="483"/>
      <c r="L300" s="483"/>
      <c r="M300" s="483"/>
      <c r="N300" s="483"/>
      <c r="O300" s="483"/>
      <c r="P300" s="483"/>
      <c r="Q300" s="483"/>
      <c r="R300" s="483"/>
      <c r="S300" s="483"/>
      <c r="T300" s="483"/>
      <c r="U300" s="483"/>
      <c r="V300" s="483"/>
      <c r="W300" s="483"/>
      <c r="X300" s="483"/>
      <c r="Y300" s="483"/>
      <c r="Z300" s="483"/>
      <c r="AA300" s="483"/>
      <c r="AB300" s="483"/>
      <c r="AC300" s="483"/>
      <c r="AD300" s="483"/>
    </row>
    <row r="301" spans="3:30">
      <c r="C301" s="483"/>
      <c r="D301" s="483"/>
      <c r="E301" s="483"/>
      <c r="F301" s="483"/>
      <c r="G301" s="483"/>
      <c r="H301" s="483"/>
      <c r="I301" s="483"/>
      <c r="J301" s="483"/>
      <c r="K301" s="483"/>
      <c r="L301" s="483"/>
      <c r="M301" s="483"/>
      <c r="N301" s="483"/>
      <c r="O301" s="483"/>
      <c r="P301" s="483"/>
      <c r="Q301" s="483"/>
      <c r="R301" s="483"/>
      <c r="S301" s="483"/>
      <c r="T301" s="483"/>
      <c r="U301" s="483"/>
      <c r="V301" s="483"/>
      <c r="W301" s="483"/>
      <c r="X301" s="483"/>
      <c r="Y301" s="483"/>
      <c r="Z301" s="483"/>
      <c r="AA301" s="483"/>
      <c r="AB301" s="483"/>
      <c r="AC301" s="483"/>
      <c r="AD301" s="483"/>
    </row>
    <row r="302" spans="3:30">
      <c r="C302" s="483"/>
      <c r="D302" s="483"/>
      <c r="E302" s="483"/>
      <c r="F302" s="483"/>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3"/>
    </row>
    <row r="303" spans="3:30">
      <c r="C303" s="483"/>
      <c r="D303" s="483"/>
      <c r="E303" s="483"/>
      <c r="F303" s="483"/>
      <c r="G303" s="483"/>
      <c r="H303" s="483"/>
      <c r="I303" s="483"/>
      <c r="J303" s="483"/>
      <c r="K303" s="483"/>
      <c r="L303" s="483"/>
      <c r="M303" s="483"/>
      <c r="N303" s="483"/>
      <c r="O303" s="483"/>
      <c r="P303" s="483"/>
      <c r="Q303" s="483"/>
      <c r="R303" s="483"/>
      <c r="S303" s="483"/>
      <c r="T303" s="483"/>
      <c r="U303" s="483"/>
      <c r="V303" s="483"/>
      <c r="W303" s="483"/>
      <c r="X303" s="483"/>
      <c r="Y303" s="483"/>
      <c r="Z303" s="483"/>
      <c r="AA303" s="483"/>
      <c r="AB303" s="483"/>
      <c r="AC303" s="483"/>
      <c r="AD303" s="483"/>
    </row>
    <row r="304" spans="3:30">
      <c r="C304" s="483"/>
      <c r="D304" s="483"/>
      <c r="E304" s="483"/>
      <c r="F304" s="483"/>
      <c r="G304" s="483"/>
      <c r="H304" s="483"/>
      <c r="I304" s="483"/>
      <c r="J304" s="483"/>
      <c r="K304" s="483"/>
      <c r="L304" s="483"/>
      <c r="M304" s="483"/>
      <c r="N304" s="483"/>
      <c r="O304" s="483"/>
      <c r="P304" s="483"/>
      <c r="Q304" s="483"/>
      <c r="R304" s="483"/>
      <c r="S304" s="483"/>
      <c r="T304" s="483"/>
      <c r="U304" s="483"/>
      <c r="V304" s="483"/>
      <c r="W304" s="483"/>
      <c r="X304" s="483"/>
      <c r="Y304" s="483"/>
      <c r="Z304" s="483"/>
      <c r="AA304" s="483"/>
      <c r="AB304" s="483"/>
      <c r="AC304" s="483"/>
      <c r="AD304" s="483"/>
    </row>
    <row r="305" spans="3:30">
      <c r="C305" s="483"/>
      <c r="D305" s="483"/>
      <c r="E305" s="483"/>
      <c r="F305" s="483"/>
      <c r="G305" s="483"/>
      <c r="H305" s="483"/>
      <c r="I305" s="483"/>
      <c r="J305" s="483"/>
      <c r="K305" s="483"/>
      <c r="L305" s="483"/>
      <c r="M305" s="483"/>
      <c r="N305" s="483"/>
      <c r="O305" s="483"/>
      <c r="P305" s="483"/>
      <c r="Q305" s="483"/>
      <c r="R305" s="483"/>
      <c r="S305" s="483"/>
      <c r="T305" s="483"/>
      <c r="U305" s="483"/>
      <c r="V305" s="483"/>
      <c r="W305" s="483"/>
      <c r="X305" s="483"/>
      <c r="Y305" s="483"/>
      <c r="Z305" s="483"/>
      <c r="AA305" s="483"/>
      <c r="AB305" s="483"/>
      <c r="AC305" s="483"/>
      <c r="AD305" s="483"/>
    </row>
    <row r="306" spans="3:30">
      <c r="C306" s="483"/>
      <c r="D306" s="483"/>
      <c r="E306" s="483"/>
      <c r="F306" s="483"/>
      <c r="G306" s="483"/>
      <c r="H306" s="483"/>
      <c r="I306" s="483"/>
      <c r="J306" s="483"/>
      <c r="K306" s="483"/>
      <c r="L306" s="483"/>
      <c r="M306" s="483"/>
      <c r="N306" s="483"/>
      <c r="O306" s="483"/>
      <c r="P306" s="483"/>
      <c r="Q306" s="483"/>
      <c r="R306" s="483"/>
      <c r="S306" s="483"/>
      <c r="T306" s="483"/>
      <c r="U306" s="483"/>
      <c r="V306" s="483"/>
      <c r="W306" s="483"/>
      <c r="X306" s="483"/>
      <c r="Y306" s="483"/>
      <c r="Z306" s="483"/>
      <c r="AA306" s="483"/>
      <c r="AB306" s="483"/>
      <c r="AC306" s="483"/>
      <c r="AD306" s="483"/>
    </row>
    <row r="307" spans="3:30">
      <c r="C307" s="483"/>
      <c r="D307" s="483"/>
      <c r="E307" s="483"/>
      <c r="F307" s="483"/>
      <c r="G307" s="483"/>
      <c r="H307" s="483"/>
      <c r="I307" s="483"/>
      <c r="J307" s="483"/>
      <c r="K307" s="483"/>
      <c r="L307" s="483"/>
      <c r="M307" s="483"/>
      <c r="N307" s="483"/>
      <c r="O307" s="483"/>
      <c r="P307" s="483"/>
      <c r="Q307" s="483"/>
      <c r="R307" s="483"/>
      <c r="S307" s="483"/>
      <c r="T307" s="483"/>
      <c r="U307" s="483"/>
      <c r="V307" s="483"/>
      <c r="W307" s="483"/>
      <c r="X307" s="483"/>
      <c r="Y307" s="483"/>
      <c r="Z307" s="483"/>
      <c r="AA307" s="483"/>
      <c r="AB307" s="483"/>
      <c r="AC307" s="483"/>
      <c r="AD307" s="483"/>
    </row>
    <row r="308" spans="3:30">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row>
    <row r="309" spans="3:30">
      <c r="C309" s="483"/>
      <c r="D309" s="483"/>
      <c r="E309" s="483"/>
      <c r="F309" s="483"/>
      <c r="G309" s="483"/>
      <c r="H309" s="483"/>
      <c r="I309" s="483"/>
      <c r="J309" s="483"/>
      <c r="K309" s="483"/>
      <c r="L309" s="483"/>
      <c r="M309" s="483"/>
      <c r="N309" s="483"/>
      <c r="O309" s="483"/>
      <c r="P309" s="483"/>
      <c r="Q309" s="483"/>
      <c r="R309" s="483"/>
      <c r="S309" s="483"/>
      <c r="T309" s="483"/>
      <c r="U309" s="483"/>
      <c r="V309" s="483"/>
      <c r="W309" s="483"/>
      <c r="X309" s="483"/>
      <c r="Y309" s="483"/>
      <c r="Z309" s="483"/>
      <c r="AA309" s="483"/>
      <c r="AB309" s="483"/>
      <c r="AC309" s="483"/>
      <c r="AD309" s="483"/>
    </row>
    <row r="310" spans="3:30">
      <c r="C310" s="483"/>
      <c r="D310" s="483"/>
      <c r="E310" s="483"/>
      <c r="F310" s="483"/>
      <c r="G310" s="483"/>
      <c r="H310" s="483"/>
      <c r="I310" s="483"/>
      <c r="J310" s="483"/>
      <c r="K310" s="483"/>
      <c r="L310" s="483"/>
      <c r="M310" s="483"/>
      <c r="N310" s="483"/>
      <c r="O310" s="483"/>
      <c r="P310" s="483"/>
      <c r="Q310" s="483"/>
      <c r="R310" s="483"/>
      <c r="S310" s="483"/>
      <c r="T310" s="483"/>
      <c r="U310" s="483"/>
      <c r="V310" s="483"/>
      <c r="W310" s="483"/>
      <c r="X310" s="483"/>
      <c r="Y310" s="483"/>
      <c r="Z310" s="483"/>
      <c r="AA310" s="483"/>
      <c r="AB310" s="483"/>
      <c r="AC310" s="483"/>
      <c r="AD310" s="483"/>
    </row>
    <row r="311" spans="3:30">
      <c r="C311" s="483"/>
      <c r="D311" s="483"/>
      <c r="E311" s="483"/>
      <c r="F311" s="483"/>
      <c r="G311" s="483"/>
      <c r="H311" s="483"/>
      <c r="I311" s="483"/>
      <c r="J311" s="483"/>
      <c r="K311" s="483"/>
      <c r="L311" s="483"/>
      <c r="M311" s="483"/>
      <c r="N311" s="483"/>
      <c r="O311" s="483"/>
      <c r="P311" s="483"/>
      <c r="Q311" s="483"/>
      <c r="R311" s="483"/>
      <c r="S311" s="483"/>
      <c r="T311" s="483"/>
      <c r="U311" s="483"/>
      <c r="V311" s="483"/>
      <c r="W311" s="483"/>
      <c r="X311" s="483"/>
      <c r="Y311" s="483"/>
      <c r="Z311" s="483"/>
      <c r="AA311" s="483"/>
      <c r="AB311" s="483"/>
      <c r="AC311" s="483"/>
      <c r="AD311" s="483"/>
    </row>
    <row r="312" spans="3:30">
      <c r="C312" s="483"/>
      <c r="D312" s="483"/>
      <c r="E312" s="483"/>
      <c r="F312" s="483"/>
      <c r="G312" s="483"/>
      <c r="H312" s="483"/>
      <c r="I312" s="483"/>
      <c r="J312" s="483"/>
      <c r="K312" s="483"/>
      <c r="L312" s="483"/>
      <c r="M312" s="483"/>
      <c r="N312" s="483"/>
      <c r="O312" s="483"/>
      <c r="P312" s="483"/>
      <c r="Q312" s="483"/>
      <c r="R312" s="483"/>
      <c r="S312" s="483"/>
      <c r="T312" s="483"/>
      <c r="U312" s="483"/>
      <c r="V312" s="483"/>
      <c r="W312" s="483"/>
      <c r="X312" s="483"/>
      <c r="Y312" s="483"/>
      <c r="Z312" s="483"/>
      <c r="AA312" s="483"/>
      <c r="AB312" s="483"/>
      <c r="AC312" s="483"/>
      <c r="AD312" s="483"/>
    </row>
    <row r="313" spans="3:30">
      <c r="C313" s="483"/>
      <c r="D313" s="483"/>
      <c r="E313" s="483"/>
      <c r="F313" s="483"/>
      <c r="G313" s="483"/>
      <c r="H313" s="483"/>
      <c r="I313" s="483"/>
      <c r="J313" s="483"/>
      <c r="K313" s="483"/>
      <c r="L313" s="483"/>
      <c r="M313" s="483"/>
      <c r="N313" s="483"/>
      <c r="O313" s="483"/>
      <c r="P313" s="483"/>
      <c r="Q313" s="483"/>
      <c r="R313" s="483"/>
      <c r="S313" s="483"/>
      <c r="T313" s="483"/>
      <c r="U313" s="483"/>
      <c r="V313" s="483"/>
      <c r="W313" s="483"/>
      <c r="X313" s="483"/>
      <c r="Y313" s="483"/>
      <c r="Z313" s="483"/>
      <c r="AA313" s="483"/>
      <c r="AB313" s="483"/>
      <c r="AC313" s="483"/>
      <c r="AD313" s="483"/>
    </row>
    <row r="314" spans="3:30">
      <c r="C314" s="483"/>
      <c r="D314" s="483"/>
      <c r="E314" s="483"/>
      <c r="F314" s="483"/>
      <c r="G314" s="483"/>
      <c r="H314" s="483"/>
      <c r="I314" s="483"/>
      <c r="J314" s="483"/>
      <c r="K314" s="483"/>
      <c r="L314" s="483"/>
      <c r="M314" s="483"/>
      <c r="N314" s="483"/>
      <c r="O314" s="483"/>
      <c r="P314" s="483"/>
      <c r="Q314" s="483"/>
      <c r="R314" s="483"/>
      <c r="S314" s="483"/>
      <c r="T314" s="483"/>
      <c r="U314" s="483"/>
      <c r="V314" s="483"/>
      <c r="W314" s="483"/>
      <c r="X314" s="483"/>
      <c r="Y314" s="483"/>
      <c r="Z314" s="483"/>
      <c r="AA314" s="483"/>
      <c r="AB314" s="483"/>
      <c r="AC314" s="483"/>
      <c r="AD314" s="483"/>
    </row>
    <row r="315" spans="3:30">
      <c r="C315" s="483"/>
      <c r="D315" s="483"/>
      <c r="E315" s="483"/>
      <c r="F315" s="483"/>
      <c r="G315" s="483"/>
      <c r="H315" s="483"/>
      <c r="I315" s="483"/>
      <c r="J315" s="483"/>
      <c r="K315" s="483"/>
      <c r="L315" s="483"/>
      <c r="M315" s="483"/>
      <c r="N315" s="483"/>
      <c r="O315" s="483"/>
      <c r="P315" s="483"/>
      <c r="Q315" s="483"/>
      <c r="R315" s="483"/>
      <c r="S315" s="483"/>
      <c r="T315" s="483"/>
      <c r="U315" s="483"/>
      <c r="V315" s="483"/>
      <c r="W315" s="483"/>
      <c r="X315" s="483"/>
      <c r="Y315" s="483"/>
      <c r="Z315" s="483"/>
      <c r="AA315" s="483"/>
      <c r="AB315" s="483"/>
      <c r="AC315" s="483"/>
      <c r="AD315" s="483"/>
    </row>
    <row r="316" spans="3:30">
      <c r="C316" s="483"/>
      <c r="D316" s="483"/>
      <c r="E316" s="483"/>
      <c r="F316" s="483"/>
      <c r="G316" s="483"/>
      <c r="H316" s="483"/>
      <c r="I316" s="483"/>
      <c r="J316" s="483"/>
      <c r="K316" s="483"/>
      <c r="L316" s="483"/>
      <c r="M316" s="483"/>
      <c r="N316" s="483"/>
      <c r="O316" s="483"/>
      <c r="P316" s="483"/>
      <c r="Q316" s="483"/>
      <c r="R316" s="483"/>
      <c r="S316" s="483"/>
      <c r="T316" s="483"/>
      <c r="U316" s="483"/>
      <c r="V316" s="483"/>
      <c r="W316" s="483"/>
      <c r="X316" s="483"/>
      <c r="Y316" s="483"/>
      <c r="Z316" s="483"/>
      <c r="AA316" s="483"/>
      <c r="AB316" s="483"/>
      <c r="AC316" s="483"/>
      <c r="AD316" s="483"/>
    </row>
    <row r="317" spans="3:30">
      <c r="C317" s="483"/>
      <c r="D317" s="483"/>
      <c r="E317" s="483"/>
      <c r="F317" s="483"/>
      <c r="G317" s="483"/>
      <c r="H317" s="483"/>
      <c r="I317" s="483"/>
      <c r="J317" s="483"/>
      <c r="K317" s="483"/>
      <c r="L317" s="483"/>
      <c r="M317" s="483"/>
      <c r="N317" s="483"/>
      <c r="O317" s="483"/>
      <c r="P317" s="483"/>
      <c r="Q317" s="483"/>
      <c r="R317" s="483"/>
      <c r="S317" s="483"/>
      <c r="T317" s="483"/>
      <c r="U317" s="483"/>
      <c r="V317" s="483"/>
      <c r="W317" s="483"/>
      <c r="X317" s="483"/>
      <c r="Y317" s="483"/>
      <c r="Z317" s="483"/>
      <c r="AA317" s="483"/>
      <c r="AB317" s="483"/>
      <c r="AC317" s="483"/>
      <c r="AD317" s="483"/>
    </row>
    <row r="318" spans="3:30">
      <c r="C318" s="483"/>
      <c r="D318" s="483"/>
      <c r="E318" s="483"/>
      <c r="F318" s="483"/>
      <c r="G318" s="483"/>
      <c r="H318" s="483"/>
      <c r="I318" s="483"/>
      <c r="J318" s="483"/>
      <c r="K318" s="483"/>
      <c r="L318" s="483"/>
      <c r="M318" s="483"/>
      <c r="N318" s="483"/>
      <c r="O318" s="483"/>
      <c r="P318" s="483"/>
      <c r="Q318" s="483"/>
      <c r="R318" s="483"/>
      <c r="S318" s="483"/>
      <c r="T318" s="483"/>
      <c r="U318" s="483"/>
      <c r="V318" s="483"/>
      <c r="W318" s="483"/>
      <c r="X318" s="483"/>
      <c r="Y318" s="483"/>
      <c r="Z318" s="483"/>
      <c r="AA318" s="483"/>
      <c r="AB318" s="483"/>
      <c r="AC318" s="483"/>
      <c r="AD318" s="483"/>
    </row>
    <row r="319" spans="3:30">
      <c r="C319" s="483"/>
      <c r="D319" s="483"/>
      <c r="E319" s="483"/>
      <c r="F319" s="483"/>
      <c r="G319" s="483"/>
      <c r="H319" s="483"/>
      <c r="I319" s="483"/>
      <c r="J319" s="483"/>
      <c r="K319" s="483"/>
      <c r="L319" s="483"/>
      <c r="M319" s="483"/>
      <c r="N319" s="483"/>
      <c r="O319" s="483"/>
      <c r="P319" s="483"/>
      <c r="Q319" s="483"/>
      <c r="R319" s="483"/>
      <c r="S319" s="483"/>
      <c r="T319" s="483"/>
      <c r="U319" s="483"/>
      <c r="V319" s="483"/>
      <c r="W319" s="483"/>
      <c r="X319" s="483"/>
      <c r="Y319" s="483"/>
      <c r="Z319" s="483"/>
      <c r="AA319" s="483"/>
      <c r="AB319" s="483"/>
      <c r="AC319" s="483"/>
      <c r="AD319" s="483"/>
    </row>
    <row r="320" spans="3:30">
      <c r="C320" s="483"/>
      <c r="D320" s="483"/>
      <c r="E320" s="483"/>
      <c r="F320" s="483"/>
      <c r="G320" s="483"/>
      <c r="H320" s="483"/>
      <c r="I320" s="483"/>
      <c r="J320" s="483"/>
      <c r="K320" s="483"/>
      <c r="L320" s="483"/>
      <c r="M320" s="483"/>
      <c r="N320" s="483"/>
      <c r="O320" s="483"/>
      <c r="P320" s="483"/>
      <c r="Q320" s="483"/>
      <c r="R320" s="483"/>
      <c r="S320" s="483"/>
      <c r="T320" s="483"/>
      <c r="U320" s="483"/>
      <c r="V320" s="483"/>
      <c r="W320" s="483"/>
      <c r="X320" s="483"/>
      <c r="Y320" s="483"/>
      <c r="Z320" s="483"/>
      <c r="AA320" s="483"/>
      <c r="AB320" s="483"/>
      <c r="AC320" s="483"/>
      <c r="AD320" s="483"/>
    </row>
    <row r="321" spans="3:30">
      <c r="C321" s="483"/>
      <c r="D321" s="483"/>
      <c r="E321" s="483"/>
      <c r="F321" s="483"/>
      <c r="G321" s="483"/>
      <c r="H321" s="483"/>
      <c r="I321" s="483"/>
      <c r="J321" s="483"/>
      <c r="K321" s="483"/>
      <c r="L321" s="483"/>
      <c r="M321" s="483"/>
      <c r="N321" s="483"/>
      <c r="O321" s="483"/>
      <c r="P321" s="483"/>
      <c r="Q321" s="483"/>
      <c r="R321" s="483"/>
      <c r="S321" s="483"/>
      <c r="T321" s="483"/>
      <c r="U321" s="483"/>
      <c r="V321" s="483"/>
      <c r="W321" s="483"/>
      <c r="X321" s="483"/>
      <c r="Y321" s="483"/>
      <c r="Z321" s="483"/>
      <c r="AA321" s="483"/>
      <c r="AB321" s="483"/>
      <c r="AC321" s="483"/>
      <c r="AD321" s="483"/>
    </row>
    <row r="322" spans="3:30">
      <c r="C322" s="483"/>
      <c r="D322" s="483"/>
      <c r="E322" s="483"/>
      <c r="F322" s="483"/>
      <c r="G322" s="483"/>
      <c r="H322" s="483"/>
      <c r="I322" s="483"/>
      <c r="J322" s="483"/>
      <c r="K322" s="483"/>
      <c r="L322" s="483"/>
      <c r="M322" s="483"/>
      <c r="N322" s="483"/>
      <c r="O322" s="483"/>
      <c r="P322" s="483"/>
      <c r="Q322" s="483"/>
      <c r="R322" s="483"/>
      <c r="S322" s="483"/>
      <c r="T322" s="483"/>
      <c r="U322" s="483"/>
      <c r="V322" s="483"/>
      <c r="W322" s="483"/>
      <c r="X322" s="483"/>
      <c r="Y322" s="483"/>
      <c r="Z322" s="483"/>
      <c r="AA322" s="483"/>
      <c r="AB322" s="483"/>
      <c r="AC322" s="483"/>
      <c r="AD322" s="483"/>
    </row>
    <row r="323" spans="3:30">
      <c r="C323" s="483"/>
      <c r="D323" s="483"/>
      <c r="E323" s="483"/>
      <c r="F323" s="483"/>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3"/>
    </row>
    <row r="324" spans="3:30">
      <c r="C324" s="483"/>
      <c r="D324" s="483"/>
      <c r="E324" s="483"/>
      <c r="F324" s="483"/>
      <c r="G324" s="483"/>
      <c r="H324" s="483"/>
      <c r="I324" s="483"/>
      <c r="J324" s="483"/>
      <c r="K324" s="483"/>
      <c r="L324" s="483"/>
      <c r="M324" s="483"/>
      <c r="N324" s="483"/>
      <c r="O324" s="483"/>
      <c r="P324" s="483"/>
      <c r="Q324" s="483"/>
      <c r="R324" s="483"/>
      <c r="S324" s="483"/>
      <c r="T324" s="483"/>
      <c r="U324" s="483"/>
      <c r="V324" s="483"/>
      <c r="W324" s="483"/>
      <c r="X324" s="483"/>
      <c r="Y324" s="483"/>
      <c r="Z324" s="483"/>
      <c r="AA324" s="483"/>
      <c r="AB324" s="483"/>
      <c r="AC324" s="483"/>
      <c r="AD324" s="483"/>
    </row>
    <row r="325" spans="3:30">
      <c r="C325" s="483"/>
      <c r="D325" s="483"/>
      <c r="E325" s="483"/>
      <c r="F325" s="483"/>
      <c r="G325" s="483"/>
      <c r="H325" s="483"/>
      <c r="I325" s="483"/>
      <c r="J325" s="483"/>
      <c r="K325" s="483"/>
      <c r="L325" s="483"/>
      <c r="M325" s="483"/>
      <c r="N325" s="483"/>
      <c r="O325" s="483"/>
      <c r="P325" s="483"/>
      <c r="Q325" s="483"/>
      <c r="R325" s="483"/>
      <c r="S325" s="483"/>
      <c r="T325" s="483"/>
      <c r="U325" s="483"/>
      <c r="V325" s="483"/>
      <c r="W325" s="483"/>
      <c r="X325" s="483"/>
      <c r="Y325" s="483"/>
      <c r="Z325" s="483"/>
      <c r="AA325" s="483"/>
      <c r="AB325" s="483"/>
      <c r="AC325" s="483"/>
      <c r="AD325" s="483"/>
    </row>
    <row r="326" spans="3:30">
      <c r="C326" s="483"/>
      <c r="D326" s="483"/>
      <c r="E326" s="483"/>
      <c r="F326" s="483"/>
      <c r="G326" s="483"/>
      <c r="H326" s="483"/>
      <c r="I326" s="483"/>
      <c r="J326" s="483"/>
      <c r="K326" s="483"/>
      <c r="L326" s="483"/>
      <c r="M326" s="483"/>
      <c r="N326" s="483"/>
      <c r="O326" s="483"/>
      <c r="P326" s="483"/>
      <c r="Q326" s="483"/>
      <c r="R326" s="483"/>
      <c r="S326" s="483"/>
      <c r="T326" s="483"/>
      <c r="U326" s="483"/>
      <c r="V326" s="483"/>
      <c r="W326" s="483"/>
      <c r="X326" s="483"/>
      <c r="Y326" s="483"/>
      <c r="Z326" s="483"/>
      <c r="AA326" s="483"/>
      <c r="AB326" s="483"/>
      <c r="AC326" s="483"/>
      <c r="AD326" s="483"/>
    </row>
    <row r="327" spans="3:30">
      <c r="C327" s="483"/>
      <c r="D327" s="483"/>
      <c r="E327" s="483"/>
      <c r="F327" s="483"/>
      <c r="G327" s="483"/>
      <c r="H327" s="483"/>
      <c r="I327" s="483"/>
      <c r="J327" s="483"/>
      <c r="K327" s="483"/>
      <c r="L327" s="483"/>
      <c r="M327" s="483"/>
      <c r="N327" s="483"/>
      <c r="O327" s="483"/>
      <c r="P327" s="483"/>
      <c r="Q327" s="483"/>
      <c r="R327" s="483"/>
      <c r="S327" s="483"/>
      <c r="T327" s="483"/>
      <c r="U327" s="483"/>
      <c r="V327" s="483"/>
      <c r="W327" s="483"/>
      <c r="X327" s="483"/>
      <c r="Y327" s="483"/>
      <c r="Z327" s="483"/>
      <c r="AA327" s="483"/>
      <c r="AB327" s="483"/>
      <c r="AC327" s="483"/>
      <c r="AD327" s="483"/>
    </row>
    <row r="328" spans="3:30">
      <c r="C328" s="483"/>
      <c r="D328" s="483"/>
      <c r="E328" s="483"/>
      <c r="F328" s="483"/>
      <c r="G328" s="483"/>
      <c r="H328" s="483"/>
      <c r="I328" s="483"/>
      <c r="J328" s="483"/>
      <c r="K328" s="483"/>
      <c r="L328" s="483"/>
      <c r="M328" s="483"/>
      <c r="N328" s="483"/>
      <c r="O328" s="483"/>
      <c r="P328" s="483"/>
      <c r="Q328" s="483"/>
      <c r="R328" s="483"/>
      <c r="S328" s="483"/>
      <c r="T328" s="483"/>
      <c r="U328" s="483"/>
      <c r="V328" s="483"/>
      <c r="W328" s="483"/>
      <c r="X328" s="483"/>
      <c r="Y328" s="483"/>
      <c r="Z328" s="483"/>
      <c r="AA328" s="483"/>
      <c r="AB328" s="483"/>
      <c r="AC328" s="483"/>
      <c r="AD328" s="483"/>
    </row>
    <row r="329" spans="3:30">
      <c r="C329" s="483"/>
      <c r="D329" s="483"/>
      <c r="E329" s="483"/>
      <c r="F329" s="483"/>
      <c r="G329" s="483"/>
      <c r="H329" s="483"/>
      <c r="I329" s="483"/>
      <c r="J329" s="483"/>
      <c r="K329" s="483"/>
      <c r="L329" s="483"/>
      <c r="M329" s="483"/>
      <c r="N329" s="483"/>
      <c r="O329" s="483"/>
      <c r="P329" s="483"/>
      <c r="Q329" s="483"/>
      <c r="R329" s="483"/>
      <c r="S329" s="483"/>
      <c r="T329" s="483"/>
      <c r="U329" s="483"/>
      <c r="V329" s="483"/>
      <c r="W329" s="483"/>
      <c r="X329" s="483"/>
      <c r="Y329" s="483"/>
      <c r="Z329" s="483"/>
      <c r="AA329" s="483"/>
      <c r="AB329" s="483"/>
      <c r="AC329" s="483"/>
      <c r="AD329" s="483"/>
    </row>
    <row r="330" spans="3:30">
      <c r="C330" s="483"/>
      <c r="D330" s="483"/>
      <c r="E330" s="483"/>
      <c r="F330" s="483"/>
      <c r="G330" s="483"/>
      <c r="H330" s="483"/>
      <c r="I330" s="483"/>
      <c r="J330" s="483"/>
      <c r="K330" s="483"/>
      <c r="L330" s="483"/>
      <c r="M330" s="483"/>
      <c r="N330" s="483"/>
      <c r="O330" s="483"/>
      <c r="P330" s="483"/>
      <c r="Q330" s="483"/>
      <c r="R330" s="483"/>
      <c r="S330" s="483"/>
      <c r="T330" s="483"/>
      <c r="U330" s="483"/>
      <c r="V330" s="483"/>
      <c r="W330" s="483"/>
      <c r="X330" s="483"/>
      <c r="Y330" s="483"/>
      <c r="Z330" s="483"/>
      <c r="AA330" s="483"/>
      <c r="AB330" s="483"/>
      <c r="AC330" s="483"/>
      <c r="AD330" s="483"/>
    </row>
    <row r="331" spans="3:30">
      <c r="C331" s="483"/>
      <c r="D331" s="483"/>
      <c r="E331" s="483"/>
      <c r="F331" s="483"/>
      <c r="G331" s="483"/>
      <c r="H331" s="483"/>
      <c r="I331" s="483"/>
      <c r="J331" s="483"/>
      <c r="K331" s="483"/>
      <c r="L331" s="483"/>
      <c r="M331" s="483"/>
      <c r="N331" s="483"/>
      <c r="O331" s="483"/>
      <c r="P331" s="483"/>
      <c r="Q331" s="483"/>
      <c r="R331" s="483"/>
      <c r="S331" s="483"/>
      <c r="T331" s="483"/>
      <c r="U331" s="483"/>
      <c r="V331" s="483"/>
      <c r="W331" s="483"/>
      <c r="X331" s="483"/>
      <c r="Y331" s="483"/>
      <c r="Z331" s="483"/>
      <c r="AA331" s="483"/>
      <c r="AB331" s="483"/>
      <c r="AC331" s="483"/>
      <c r="AD331" s="483"/>
    </row>
    <row r="332" spans="3:30">
      <c r="C332" s="483"/>
      <c r="D332" s="483"/>
      <c r="E332" s="483"/>
      <c r="F332" s="483"/>
      <c r="G332" s="483"/>
      <c r="H332" s="483"/>
      <c r="I332" s="483"/>
      <c r="J332" s="483"/>
      <c r="K332" s="483"/>
      <c r="L332" s="483"/>
      <c r="M332" s="483"/>
      <c r="N332" s="483"/>
      <c r="O332" s="483"/>
      <c r="P332" s="483"/>
      <c r="Q332" s="483"/>
      <c r="R332" s="483"/>
      <c r="S332" s="483"/>
      <c r="T332" s="483"/>
      <c r="U332" s="483"/>
      <c r="V332" s="483"/>
      <c r="W332" s="483"/>
      <c r="X332" s="483"/>
      <c r="Y332" s="483"/>
      <c r="Z332" s="483"/>
      <c r="AA332" s="483"/>
      <c r="AB332" s="483"/>
      <c r="AC332" s="483"/>
      <c r="AD332" s="483"/>
    </row>
    <row r="333" spans="3:30">
      <c r="C333" s="483"/>
      <c r="D333" s="483"/>
      <c r="E333" s="483"/>
      <c r="F333" s="483"/>
      <c r="G333" s="483"/>
      <c r="H333" s="483"/>
      <c r="I333" s="483"/>
      <c r="J333" s="483"/>
      <c r="K333" s="483"/>
      <c r="L333" s="483"/>
      <c r="M333" s="483"/>
      <c r="N333" s="483"/>
      <c r="O333" s="483"/>
      <c r="P333" s="483"/>
      <c r="Q333" s="483"/>
      <c r="R333" s="483"/>
      <c r="S333" s="483"/>
      <c r="T333" s="483"/>
      <c r="U333" s="483"/>
      <c r="V333" s="483"/>
      <c r="W333" s="483"/>
      <c r="X333" s="483"/>
      <c r="Y333" s="483"/>
      <c r="Z333" s="483"/>
      <c r="AA333" s="483"/>
      <c r="AB333" s="483"/>
      <c r="AC333" s="483"/>
      <c r="AD333" s="483"/>
    </row>
    <row r="334" spans="3:30">
      <c r="C334" s="483"/>
      <c r="D334" s="483"/>
      <c r="E334" s="483"/>
      <c r="F334" s="483"/>
      <c r="G334" s="483"/>
      <c r="H334" s="483"/>
      <c r="I334" s="483"/>
      <c r="J334" s="483"/>
      <c r="K334" s="483"/>
      <c r="L334" s="483"/>
      <c r="M334" s="483"/>
      <c r="N334" s="483"/>
      <c r="O334" s="483"/>
      <c r="P334" s="483"/>
      <c r="Q334" s="483"/>
      <c r="R334" s="483"/>
      <c r="S334" s="483"/>
      <c r="T334" s="483"/>
      <c r="U334" s="483"/>
      <c r="V334" s="483"/>
      <c r="W334" s="483"/>
      <c r="X334" s="483"/>
      <c r="Y334" s="483"/>
      <c r="Z334" s="483"/>
      <c r="AA334" s="483"/>
      <c r="AB334" s="483"/>
      <c r="AC334" s="483"/>
      <c r="AD334" s="483"/>
    </row>
    <row r="335" spans="3:30">
      <c r="C335" s="483"/>
      <c r="D335" s="483"/>
      <c r="E335" s="483"/>
      <c r="F335" s="483"/>
      <c r="G335" s="483"/>
      <c r="H335" s="483"/>
      <c r="I335" s="483"/>
      <c r="J335" s="483"/>
      <c r="K335" s="483"/>
      <c r="L335" s="483"/>
      <c r="M335" s="483"/>
      <c r="N335" s="483"/>
      <c r="O335" s="483"/>
      <c r="P335" s="483"/>
      <c r="Q335" s="483"/>
      <c r="R335" s="483"/>
      <c r="S335" s="483"/>
      <c r="T335" s="483"/>
      <c r="U335" s="483"/>
      <c r="V335" s="483"/>
      <c r="W335" s="483"/>
      <c r="X335" s="483"/>
      <c r="Y335" s="483"/>
      <c r="Z335" s="483"/>
      <c r="AA335" s="483"/>
      <c r="AB335" s="483"/>
      <c r="AC335" s="483"/>
      <c r="AD335" s="483"/>
    </row>
    <row r="336" spans="3:30">
      <c r="C336" s="483"/>
      <c r="D336" s="483"/>
      <c r="E336" s="483"/>
      <c r="F336" s="483"/>
      <c r="G336" s="483"/>
      <c r="H336" s="483"/>
      <c r="I336" s="483"/>
      <c r="J336" s="483"/>
      <c r="K336" s="483"/>
      <c r="L336" s="483"/>
      <c r="M336" s="483"/>
      <c r="N336" s="483"/>
      <c r="O336" s="483"/>
      <c r="P336" s="483"/>
      <c r="Q336" s="483"/>
      <c r="R336" s="483"/>
      <c r="S336" s="483"/>
      <c r="T336" s="483"/>
      <c r="U336" s="483"/>
      <c r="V336" s="483"/>
      <c r="W336" s="483"/>
      <c r="X336" s="483"/>
      <c r="Y336" s="483"/>
      <c r="Z336" s="483"/>
      <c r="AA336" s="483"/>
      <c r="AB336" s="483"/>
      <c r="AC336" s="483"/>
      <c r="AD336" s="483"/>
    </row>
    <row r="337" spans="3:30">
      <c r="C337" s="483"/>
      <c r="D337" s="483"/>
      <c r="E337" s="483"/>
      <c r="F337" s="483"/>
      <c r="G337" s="483"/>
      <c r="H337" s="483"/>
      <c r="I337" s="483"/>
      <c r="J337" s="483"/>
      <c r="K337" s="483"/>
      <c r="L337" s="483"/>
      <c r="M337" s="483"/>
      <c r="N337" s="483"/>
      <c r="O337" s="483"/>
      <c r="P337" s="483"/>
      <c r="Q337" s="483"/>
      <c r="R337" s="483"/>
      <c r="S337" s="483"/>
      <c r="T337" s="483"/>
      <c r="U337" s="483"/>
      <c r="V337" s="483"/>
      <c r="W337" s="483"/>
      <c r="X337" s="483"/>
      <c r="Y337" s="483"/>
      <c r="Z337" s="483"/>
      <c r="AA337" s="483"/>
      <c r="AB337" s="483"/>
      <c r="AC337" s="483"/>
      <c r="AD337" s="483"/>
    </row>
    <row r="338" spans="3:30">
      <c r="C338" s="483"/>
      <c r="D338" s="483"/>
      <c r="E338" s="483"/>
      <c r="F338" s="483"/>
      <c r="G338" s="483"/>
      <c r="H338" s="483"/>
      <c r="I338" s="483"/>
      <c r="J338" s="483"/>
      <c r="K338" s="483"/>
      <c r="L338" s="483"/>
      <c r="M338" s="483"/>
      <c r="N338" s="483"/>
      <c r="O338" s="483"/>
      <c r="P338" s="483"/>
      <c r="Q338" s="483"/>
      <c r="R338" s="483"/>
      <c r="S338" s="483"/>
      <c r="T338" s="483"/>
      <c r="U338" s="483"/>
      <c r="V338" s="483"/>
      <c r="W338" s="483"/>
      <c r="X338" s="483"/>
      <c r="Y338" s="483"/>
      <c r="Z338" s="483"/>
      <c r="AA338" s="483"/>
      <c r="AB338" s="483"/>
      <c r="AC338" s="483"/>
      <c r="AD338" s="483"/>
    </row>
    <row r="339" spans="3:30">
      <c r="C339" s="483"/>
      <c r="D339" s="483"/>
      <c r="E339" s="483"/>
      <c r="F339" s="483"/>
      <c r="G339" s="483"/>
      <c r="H339" s="483"/>
      <c r="I339" s="483"/>
      <c r="J339" s="483"/>
      <c r="K339" s="483"/>
      <c r="L339" s="483"/>
      <c r="M339" s="483"/>
      <c r="N339" s="483"/>
      <c r="O339" s="483"/>
      <c r="P339" s="483"/>
      <c r="Q339" s="483"/>
      <c r="R339" s="483"/>
      <c r="S339" s="483"/>
      <c r="T339" s="483"/>
      <c r="U339" s="483"/>
      <c r="V339" s="483"/>
      <c r="W339" s="483"/>
      <c r="X339" s="483"/>
      <c r="Y339" s="483"/>
      <c r="Z339" s="483"/>
      <c r="AA339" s="483"/>
      <c r="AB339" s="483"/>
      <c r="AC339" s="483"/>
      <c r="AD339" s="483"/>
    </row>
    <row r="340" spans="3:30">
      <c r="C340" s="483"/>
      <c r="D340" s="483"/>
      <c r="E340" s="483"/>
      <c r="F340" s="483"/>
      <c r="G340" s="483"/>
      <c r="H340" s="483"/>
      <c r="I340" s="483"/>
      <c r="J340" s="483"/>
      <c r="K340" s="483"/>
      <c r="L340" s="483"/>
      <c r="M340" s="483"/>
      <c r="N340" s="483"/>
      <c r="O340" s="483"/>
      <c r="P340" s="483"/>
      <c r="Q340" s="483"/>
      <c r="R340" s="483"/>
      <c r="S340" s="483"/>
      <c r="T340" s="483"/>
      <c r="U340" s="483"/>
      <c r="V340" s="483"/>
      <c r="W340" s="483"/>
      <c r="X340" s="483"/>
      <c r="Y340" s="483"/>
      <c r="Z340" s="483"/>
      <c r="AA340" s="483"/>
      <c r="AB340" s="483"/>
      <c r="AC340" s="483"/>
      <c r="AD340" s="483"/>
    </row>
    <row r="341" spans="3:30">
      <c r="C341" s="483"/>
      <c r="D341" s="483"/>
      <c r="E341" s="483"/>
      <c r="F341" s="483"/>
      <c r="G341" s="483"/>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483"/>
    </row>
    <row r="342" spans="3:30">
      <c r="C342" s="483"/>
      <c r="D342" s="483"/>
      <c r="E342" s="483"/>
      <c r="F342" s="483"/>
      <c r="G342" s="483"/>
      <c r="H342" s="483"/>
      <c r="I342" s="483"/>
      <c r="J342" s="483"/>
      <c r="K342" s="483"/>
      <c r="L342" s="483"/>
      <c r="M342" s="483"/>
      <c r="N342" s="483"/>
      <c r="O342" s="483"/>
      <c r="P342" s="483"/>
      <c r="Q342" s="483"/>
      <c r="R342" s="483"/>
      <c r="S342" s="483"/>
      <c r="T342" s="483"/>
      <c r="U342" s="483"/>
      <c r="V342" s="483"/>
      <c r="W342" s="483"/>
      <c r="X342" s="483"/>
      <c r="Y342" s="483"/>
      <c r="Z342" s="483"/>
      <c r="AA342" s="483"/>
      <c r="AB342" s="483"/>
      <c r="AC342" s="483"/>
      <c r="AD342" s="483"/>
    </row>
    <row r="343" spans="3:30">
      <c r="C343" s="483"/>
      <c r="D343" s="483"/>
      <c r="E343" s="483"/>
      <c r="F343" s="483"/>
      <c r="G343" s="483"/>
      <c r="H343" s="483"/>
      <c r="I343" s="483"/>
      <c r="J343" s="483"/>
      <c r="K343" s="483"/>
      <c r="L343" s="483"/>
      <c r="M343" s="483"/>
      <c r="N343" s="483"/>
      <c r="O343" s="483"/>
      <c r="P343" s="483"/>
      <c r="Q343" s="483"/>
      <c r="R343" s="483"/>
      <c r="S343" s="483"/>
      <c r="T343" s="483"/>
      <c r="U343" s="483"/>
      <c r="V343" s="483"/>
      <c r="W343" s="483"/>
      <c r="X343" s="483"/>
      <c r="Y343" s="483"/>
      <c r="Z343" s="483"/>
      <c r="AA343" s="483"/>
      <c r="AB343" s="483"/>
      <c r="AC343" s="483"/>
      <c r="AD343" s="483"/>
    </row>
    <row r="344" spans="3:30">
      <c r="C344" s="483"/>
      <c r="D344" s="483"/>
      <c r="E344" s="483"/>
      <c r="F344" s="483"/>
      <c r="G344" s="483"/>
      <c r="H344" s="483"/>
      <c r="I344" s="483"/>
      <c r="J344" s="483"/>
      <c r="K344" s="483"/>
      <c r="L344" s="483"/>
      <c r="M344" s="483"/>
      <c r="N344" s="483"/>
      <c r="O344" s="483"/>
      <c r="P344" s="483"/>
      <c r="Q344" s="483"/>
      <c r="R344" s="483"/>
      <c r="S344" s="483"/>
      <c r="T344" s="483"/>
      <c r="U344" s="483"/>
      <c r="V344" s="483"/>
      <c r="W344" s="483"/>
      <c r="X344" s="483"/>
      <c r="Y344" s="483"/>
      <c r="Z344" s="483"/>
      <c r="AA344" s="483"/>
      <c r="AB344" s="483"/>
      <c r="AC344" s="483"/>
      <c r="AD344" s="483"/>
    </row>
    <row r="345" spans="3:30">
      <c r="C345" s="483"/>
      <c r="D345" s="483"/>
      <c r="E345" s="483"/>
      <c r="F345" s="483"/>
      <c r="G345" s="483"/>
      <c r="H345" s="483"/>
      <c r="I345" s="483"/>
      <c r="J345" s="483"/>
      <c r="K345" s="483"/>
      <c r="L345" s="483"/>
      <c r="M345" s="483"/>
      <c r="N345" s="483"/>
      <c r="O345" s="483"/>
      <c r="P345" s="483"/>
      <c r="Q345" s="483"/>
      <c r="R345" s="483"/>
      <c r="S345" s="483"/>
      <c r="T345" s="483"/>
      <c r="U345" s="483"/>
      <c r="V345" s="483"/>
      <c r="W345" s="483"/>
      <c r="X345" s="483"/>
      <c r="Y345" s="483"/>
      <c r="Z345" s="483"/>
      <c r="AA345" s="483"/>
      <c r="AB345" s="483"/>
      <c r="AC345" s="483"/>
      <c r="AD345" s="483"/>
    </row>
    <row r="346" spans="3:30">
      <c r="C346" s="483"/>
      <c r="D346" s="483"/>
      <c r="E346" s="483"/>
      <c r="F346" s="483"/>
      <c r="G346" s="483"/>
      <c r="H346" s="483"/>
      <c r="I346" s="483"/>
      <c r="J346" s="483"/>
      <c r="K346" s="483"/>
      <c r="L346" s="483"/>
      <c r="M346" s="483"/>
      <c r="N346" s="483"/>
      <c r="O346" s="483"/>
      <c r="P346" s="483"/>
      <c r="Q346" s="483"/>
      <c r="R346" s="483"/>
      <c r="S346" s="483"/>
      <c r="T346" s="483"/>
      <c r="U346" s="483"/>
      <c r="V346" s="483"/>
      <c r="W346" s="483"/>
      <c r="X346" s="483"/>
      <c r="Y346" s="483"/>
      <c r="Z346" s="483"/>
      <c r="AA346" s="483"/>
      <c r="AB346" s="483"/>
      <c r="AC346" s="483"/>
      <c r="AD346" s="483"/>
    </row>
    <row r="347" spans="3:30">
      <c r="C347" s="483"/>
      <c r="D347" s="483"/>
      <c r="E347" s="483"/>
      <c r="F347" s="483"/>
      <c r="G347" s="483"/>
      <c r="H347" s="483"/>
      <c r="I347" s="483"/>
      <c r="J347" s="483"/>
      <c r="K347" s="483"/>
      <c r="L347" s="483"/>
      <c r="M347" s="483"/>
      <c r="N347" s="483"/>
      <c r="O347" s="483"/>
      <c r="P347" s="483"/>
      <c r="Q347" s="483"/>
      <c r="R347" s="483"/>
      <c r="S347" s="483"/>
      <c r="T347" s="483"/>
      <c r="U347" s="483"/>
      <c r="V347" s="483"/>
      <c r="W347" s="483"/>
      <c r="X347" s="483"/>
      <c r="Y347" s="483"/>
      <c r="Z347" s="483"/>
      <c r="AA347" s="483"/>
      <c r="AB347" s="483"/>
      <c r="AC347" s="483"/>
      <c r="AD347" s="483"/>
    </row>
    <row r="348" spans="3:30">
      <c r="C348" s="483"/>
      <c r="D348" s="483"/>
      <c r="E348" s="483"/>
      <c r="F348" s="483"/>
      <c r="G348" s="483"/>
      <c r="H348" s="483"/>
      <c r="I348" s="483"/>
      <c r="J348" s="483"/>
      <c r="K348" s="483"/>
      <c r="L348" s="483"/>
      <c r="M348" s="483"/>
      <c r="N348" s="483"/>
      <c r="O348" s="483"/>
      <c r="P348" s="483"/>
      <c r="Q348" s="483"/>
      <c r="R348" s="483"/>
      <c r="S348" s="483"/>
      <c r="T348" s="483"/>
      <c r="U348" s="483"/>
      <c r="V348" s="483"/>
      <c r="W348" s="483"/>
      <c r="X348" s="483"/>
      <c r="Y348" s="483"/>
      <c r="Z348" s="483"/>
      <c r="AA348" s="483"/>
      <c r="AB348" s="483"/>
      <c r="AC348" s="483"/>
      <c r="AD348" s="483"/>
    </row>
    <row r="349" spans="3:30">
      <c r="C349" s="483"/>
      <c r="D349" s="483"/>
      <c r="E349" s="483"/>
      <c r="F349" s="483"/>
      <c r="G349" s="483"/>
      <c r="H349" s="483"/>
      <c r="I349" s="483"/>
      <c r="J349" s="483"/>
      <c r="K349" s="483"/>
      <c r="L349" s="483"/>
      <c r="M349" s="483"/>
      <c r="N349" s="483"/>
      <c r="O349" s="483"/>
      <c r="P349" s="483"/>
      <c r="Q349" s="483"/>
      <c r="R349" s="483"/>
      <c r="S349" s="483"/>
      <c r="T349" s="483"/>
      <c r="U349" s="483"/>
      <c r="V349" s="483"/>
      <c r="W349" s="483"/>
      <c r="X349" s="483"/>
      <c r="Y349" s="483"/>
      <c r="Z349" s="483"/>
      <c r="AA349" s="483"/>
      <c r="AB349" s="483"/>
      <c r="AC349" s="483"/>
      <c r="AD349" s="483"/>
    </row>
    <row r="350" spans="3:30">
      <c r="C350" s="483"/>
      <c r="D350" s="483"/>
      <c r="E350" s="483"/>
      <c r="F350" s="483"/>
      <c r="G350" s="483"/>
      <c r="H350" s="483"/>
      <c r="I350" s="483"/>
      <c r="J350" s="483"/>
      <c r="K350" s="483"/>
      <c r="L350" s="483"/>
      <c r="M350" s="483"/>
      <c r="N350" s="483"/>
      <c r="O350" s="483"/>
      <c r="P350" s="483"/>
      <c r="Q350" s="483"/>
      <c r="R350" s="483"/>
      <c r="S350" s="483"/>
      <c r="T350" s="483"/>
      <c r="U350" s="483"/>
      <c r="V350" s="483"/>
      <c r="W350" s="483"/>
      <c r="X350" s="483"/>
      <c r="Y350" s="483"/>
      <c r="Z350" s="483"/>
      <c r="AA350" s="483"/>
      <c r="AB350" s="483"/>
      <c r="AC350" s="483"/>
      <c r="AD350" s="483"/>
    </row>
    <row r="351" spans="3:30">
      <c r="C351" s="483"/>
      <c r="D351" s="483"/>
      <c r="E351" s="483"/>
      <c r="F351" s="483"/>
      <c r="G351" s="483"/>
      <c r="H351" s="483"/>
      <c r="I351" s="483"/>
      <c r="J351" s="483"/>
      <c r="K351" s="483"/>
      <c r="L351" s="483"/>
      <c r="M351" s="483"/>
      <c r="N351" s="483"/>
      <c r="O351" s="483"/>
      <c r="P351" s="483"/>
      <c r="Q351" s="483"/>
      <c r="R351" s="483"/>
      <c r="S351" s="483"/>
      <c r="T351" s="483"/>
      <c r="U351" s="483"/>
      <c r="V351" s="483"/>
      <c r="W351" s="483"/>
      <c r="X351" s="483"/>
      <c r="Y351" s="483"/>
      <c r="Z351" s="483"/>
      <c r="AA351" s="483"/>
      <c r="AB351" s="483"/>
      <c r="AC351" s="483"/>
      <c r="AD351" s="483"/>
    </row>
    <row r="352" spans="3:30">
      <c r="C352" s="483"/>
      <c r="D352" s="483"/>
      <c r="E352" s="483"/>
      <c r="F352" s="483"/>
      <c r="G352" s="483"/>
      <c r="H352" s="483"/>
      <c r="I352" s="483"/>
      <c r="J352" s="483"/>
      <c r="K352" s="483"/>
      <c r="L352" s="483"/>
      <c r="M352" s="483"/>
      <c r="N352" s="483"/>
      <c r="O352" s="483"/>
      <c r="P352" s="483"/>
      <c r="Q352" s="483"/>
      <c r="R352" s="483"/>
      <c r="S352" s="483"/>
      <c r="T352" s="483"/>
      <c r="U352" s="483"/>
      <c r="V352" s="483"/>
      <c r="W352" s="483"/>
      <c r="X352" s="483"/>
      <c r="Y352" s="483"/>
      <c r="Z352" s="483"/>
      <c r="AA352" s="483"/>
      <c r="AB352" s="483"/>
      <c r="AC352" s="483"/>
      <c r="AD352" s="483"/>
    </row>
    <row r="353" spans="3:30">
      <c r="C353" s="483"/>
      <c r="D353" s="483"/>
      <c r="E353" s="483"/>
      <c r="F353" s="483"/>
      <c r="G353" s="483"/>
      <c r="H353" s="483"/>
      <c r="I353" s="483"/>
      <c r="J353" s="483"/>
      <c r="K353" s="483"/>
      <c r="L353" s="483"/>
      <c r="M353" s="483"/>
      <c r="N353" s="483"/>
      <c r="O353" s="483"/>
      <c r="P353" s="483"/>
      <c r="Q353" s="483"/>
      <c r="R353" s="483"/>
      <c r="S353" s="483"/>
      <c r="T353" s="483"/>
      <c r="U353" s="483"/>
      <c r="V353" s="483"/>
      <c r="W353" s="483"/>
      <c r="X353" s="483"/>
      <c r="Y353" s="483"/>
      <c r="Z353" s="483"/>
      <c r="AA353" s="483"/>
      <c r="AB353" s="483"/>
      <c r="AC353" s="483"/>
      <c r="AD353" s="483"/>
    </row>
    <row r="354" spans="3:30">
      <c r="C354" s="483"/>
      <c r="D354" s="483"/>
      <c r="E354" s="483"/>
      <c r="F354" s="483"/>
      <c r="G354" s="483"/>
      <c r="H354" s="483"/>
      <c r="I354" s="483"/>
      <c r="J354" s="483"/>
      <c r="K354" s="483"/>
      <c r="L354" s="483"/>
      <c r="M354" s="483"/>
      <c r="N354" s="483"/>
      <c r="O354" s="483"/>
      <c r="P354" s="483"/>
      <c r="Q354" s="483"/>
      <c r="R354" s="483"/>
      <c r="S354" s="483"/>
      <c r="T354" s="483"/>
      <c r="U354" s="483"/>
      <c r="V354" s="483"/>
      <c r="W354" s="483"/>
      <c r="X354" s="483"/>
      <c r="Y354" s="483"/>
      <c r="Z354" s="483"/>
      <c r="AA354" s="483"/>
      <c r="AB354" s="483"/>
      <c r="AC354" s="483"/>
      <c r="AD354" s="483"/>
    </row>
    <row r="355" spans="3:30">
      <c r="C355" s="483"/>
      <c r="D355" s="483"/>
      <c r="E355" s="483"/>
      <c r="F355" s="483"/>
      <c r="G355" s="483"/>
      <c r="H355" s="483"/>
      <c r="I355" s="483"/>
      <c r="J355" s="483"/>
      <c r="K355" s="483"/>
      <c r="L355" s="483"/>
      <c r="M355" s="483"/>
      <c r="N355" s="483"/>
      <c r="O355" s="483"/>
      <c r="P355" s="483"/>
      <c r="Q355" s="483"/>
      <c r="R355" s="483"/>
      <c r="S355" s="483"/>
      <c r="T355" s="483"/>
      <c r="U355" s="483"/>
      <c r="V355" s="483"/>
      <c r="W355" s="483"/>
      <c r="X355" s="483"/>
      <c r="Y355" s="483"/>
      <c r="Z355" s="483"/>
      <c r="AA355" s="483"/>
      <c r="AB355" s="483"/>
      <c r="AC355" s="483"/>
      <c r="AD355" s="483"/>
    </row>
    <row r="356" spans="3:30">
      <c r="C356" s="483"/>
      <c r="D356" s="483"/>
      <c r="E356" s="483"/>
      <c r="F356" s="483"/>
      <c r="G356" s="483"/>
      <c r="H356" s="483"/>
      <c r="I356" s="483"/>
      <c r="J356" s="483"/>
      <c r="K356" s="483"/>
      <c r="L356" s="483"/>
      <c r="M356" s="483"/>
      <c r="N356" s="483"/>
      <c r="O356" s="483"/>
      <c r="P356" s="483"/>
      <c r="Q356" s="483"/>
      <c r="R356" s="483"/>
      <c r="S356" s="483"/>
      <c r="T356" s="483"/>
      <c r="U356" s="483"/>
      <c r="V356" s="483"/>
      <c r="W356" s="483"/>
      <c r="X356" s="483"/>
      <c r="Y356" s="483"/>
      <c r="Z356" s="483"/>
      <c r="AA356" s="483"/>
      <c r="AB356" s="483"/>
      <c r="AC356" s="483"/>
      <c r="AD356" s="483"/>
    </row>
    <row r="357" spans="3:30">
      <c r="C357" s="483"/>
      <c r="D357" s="483"/>
      <c r="E357" s="483"/>
      <c r="F357" s="483"/>
      <c r="G357" s="483"/>
      <c r="H357" s="483"/>
      <c r="I357" s="483"/>
      <c r="J357" s="483"/>
      <c r="K357" s="483"/>
      <c r="L357" s="483"/>
      <c r="M357" s="483"/>
      <c r="N357" s="483"/>
      <c r="O357" s="483"/>
      <c r="P357" s="483"/>
      <c r="Q357" s="483"/>
      <c r="R357" s="483"/>
      <c r="S357" s="483"/>
      <c r="T357" s="483"/>
      <c r="U357" s="483"/>
      <c r="V357" s="483"/>
      <c r="W357" s="483"/>
      <c r="X357" s="483"/>
      <c r="Y357" s="483"/>
      <c r="Z357" s="483"/>
      <c r="AA357" s="483"/>
      <c r="AB357" s="483"/>
      <c r="AC357" s="483"/>
      <c r="AD357" s="483"/>
    </row>
    <row r="358" spans="3:30">
      <c r="C358" s="483"/>
      <c r="D358" s="483"/>
      <c r="E358" s="483"/>
      <c r="F358" s="483"/>
      <c r="G358" s="483"/>
      <c r="H358" s="483"/>
      <c r="I358" s="483"/>
      <c r="J358" s="483"/>
      <c r="K358" s="483"/>
      <c r="L358" s="483"/>
      <c r="M358" s="483"/>
      <c r="N358" s="483"/>
      <c r="O358" s="483"/>
      <c r="P358" s="483"/>
      <c r="Q358" s="483"/>
      <c r="R358" s="483"/>
      <c r="S358" s="483"/>
      <c r="T358" s="483"/>
      <c r="U358" s="483"/>
      <c r="V358" s="483"/>
      <c r="W358" s="483"/>
      <c r="X358" s="483"/>
      <c r="Y358" s="483"/>
      <c r="Z358" s="483"/>
      <c r="AA358" s="483"/>
      <c r="AB358" s="483"/>
      <c r="AC358" s="483"/>
      <c r="AD358" s="483"/>
    </row>
    <row r="359" spans="3:30">
      <c r="C359" s="483"/>
      <c r="D359" s="483"/>
      <c r="E359" s="483"/>
      <c r="F359" s="483"/>
      <c r="G359" s="483"/>
      <c r="H359" s="483"/>
      <c r="I359" s="483"/>
      <c r="J359" s="483"/>
      <c r="K359" s="483"/>
      <c r="L359" s="483"/>
      <c r="M359" s="483"/>
      <c r="N359" s="483"/>
      <c r="O359" s="483"/>
      <c r="P359" s="483"/>
      <c r="Q359" s="483"/>
      <c r="R359" s="483"/>
      <c r="S359" s="483"/>
      <c r="T359" s="483"/>
      <c r="U359" s="483"/>
      <c r="V359" s="483"/>
      <c r="W359" s="483"/>
      <c r="X359" s="483"/>
      <c r="Y359" s="483"/>
      <c r="Z359" s="483"/>
      <c r="AA359" s="483"/>
      <c r="AB359" s="483"/>
      <c r="AC359" s="483"/>
      <c r="AD359" s="483"/>
    </row>
    <row r="360" spans="3:30">
      <c r="C360" s="483"/>
      <c r="D360" s="483"/>
      <c r="E360" s="483"/>
      <c r="F360" s="483"/>
      <c r="G360" s="483"/>
      <c r="H360" s="483"/>
      <c r="I360" s="483"/>
      <c r="J360" s="483"/>
      <c r="K360" s="483"/>
      <c r="L360" s="483"/>
      <c r="M360" s="483"/>
      <c r="N360" s="483"/>
      <c r="O360" s="483"/>
      <c r="P360" s="483"/>
      <c r="Q360" s="483"/>
      <c r="R360" s="483"/>
      <c r="S360" s="483"/>
      <c r="T360" s="483"/>
      <c r="U360" s="483"/>
      <c r="V360" s="483"/>
      <c r="W360" s="483"/>
      <c r="X360" s="483"/>
      <c r="Y360" s="483"/>
      <c r="Z360" s="483"/>
      <c r="AA360" s="483"/>
      <c r="AB360" s="483"/>
      <c r="AC360" s="483"/>
      <c r="AD360" s="483"/>
    </row>
    <row r="361" spans="3:30">
      <c r="C361" s="483"/>
      <c r="D361" s="483"/>
      <c r="E361" s="483"/>
      <c r="F361" s="483"/>
      <c r="G361" s="483"/>
      <c r="H361" s="483"/>
      <c r="I361" s="483"/>
      <c r="J361" s="483"/>
      <c r="K361" s="483"/>
      <c r="L361" s="483"/>
      <c r="M361" s="483"/>
      <c r="N361" s="483"/>
      <c r="O361" s="483"/>
      <c r="P361" s="483"/>
      <c r="Q361" s="483"/>
      <c r="R361" s="483"/>
      <c r="S361" s="483"/>
      <c r="T361" s="483"/>
      <c r="U361" s="483"/>
      <c r="V361" s="483"/>
      <c r="W361" s="483"/>
      <c r="X361" s="483"/>
      <c r="Y361" s="483"/>
      <c r="Z361" s="483"/>
      <c r="AA361" s="483"/>
      <c r="AB361" s="483"/>
      <c r="AC361" s="483"/>
      <c r="AD361" s="483"/>
    </row>
    <row r="362" spans="3:30">
      <c r="C362" s="483"/>
      <c r="D362" s="483"/>
      <c r="E362" s="483"/>
      <c r="F362" s="483"/>
      <c r="G362" s="483"/>
      <c r="H362" s="483"/>
      <c r="I362" s="483"/>
      <c r="J362" s="483"/>
      <c r="K362" s="483"/>
      <c r="L362" s="483"/>
      <c r="M362" s="483"/>
      <c r="N362" s="483"/>
      <c r="O362" s="483"/>
      <c r="P362" s="483"/>
      <c r="Q362" s="483"/>
      <c r="R362" s="483"/>
      <c r="S362" s="483"/>
      <c r="T362" s="483"/>
      <c r="U362" s="483"/>
      <c r="V362" s="483"/>
      <c r="W362" s="483"/>
      <c r="X362" s="483"/>
      <c r="Y362" s="483"/>
      <c r="Z362" s="483"/>
      <c r="AA362" s="483"/>
      <c r="AB362" s="483"/>
      <c r="AC362" s="483"/>
      <c r="AD362" s="483"/>
    </row>
    <row r="363" spans="3:30">
      <c r="C363" s="483"/>
      <c r="D363" s="483"/>
      <c r="E363" s="483"/>
      <c r="F363" s="483"/>
      <c r="G363" s="483"/>
      <c r="H363" s="483"/>
      <c r="I363" s="483"/>
      <c r="J363" s="483"/>
      <c r="K363" s="483"/>
      <c r="L363" s="483"/>
      <c r="M363" s="483"/>
      <c r="N363" s="483"/>
      <c r="O363" s="483"/>
      <c r="P363" s="483"/>
      <c r="Q363" s="483"/>
      <c r="R363" s="483"/>
      <c r="S363" s="483"/>
      <c r="T363" s="483"/>
      <c r="U363" s="483"/>
      <c r="V363" s="483"/>
      <c r="W363" s="483"/>
      <c r="X363" s="483"/>
      <c r="Y363" s="483"/>
      <c r="Z363" s="483"/>
      <c r="AA363" s="483"/>
      <c r="AB363" s="483"/>
      <c r="AC363" s="483"/>
      <c r="AD363" s="483"/>
    </row>
    <row r="364" spans="3:30">
      <c r="C364" s="483"/>
      <c r="D364" s="483"/>
      <c r="E364" s="483"/>
      <c r="F364" s="483"/>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3"/>
      <c r="AD364" s="483"/>
    </row>
    <row r="365" spans="3:30">
      <c r="C365" s="483"/>
      <c r="D365" s="483"/>
      <c r="E365" s="483"/>
      <c r="F365" s="483"/>
      <c r="G365" s="483"/>
      <c r="H365" s="483"/>
      <c r="I365" s="483"/>
      <c r="J365" s="483"/>
      <c r="K365" s="483"/>
      <c r="L365" s="483"/>
      <c r="M365" s="483"/>
      <c r="N365" s="483"/>
      <c r="O365" s="483"/>
      <c r="P365" s="483"/>
      <c r="Q365" s="483"/>
      <c r="R365" s="483"/>
      <c r="S365" s="483"/>
      <c r="T365" s="483"/>
      <c r="U365" s="483"/>
      <c r="V365" s="483"/>
      <c r="W365" s="483"/>
      <c r="X365" s="483"/>
      <c r="Y365" s="483"/>
      <c r="Z365" s="483"/>
      <c r="AA365" s="483"/>
      <c r="AB365" s="483"/>
      <c r="AC365" s="483"/>
      <c r="AD365" s="483"/>
    </row>
    <row r="366" spans="3:30">
      <c r="C366" s="483"/>
      <c r="D366" s="483"/>
      <c r="E366" s="483"/>
      <c r="F366" s="483"/>
      <c r="G366" s="483"/>
      <c r="H366" s="483"/>
      <c r="I366" s="483"/>
      <c r="J366" s="483"/>
      <c r="K366" s="483"/>
      <c r="L366" s="483"/>
      <c r="M366" s="483"/>
      <c r="N366" s="483"/>
      <c r="O366" s="483"/>
      <c r="P366" s="483"/>
      <c r="Q366" s="483"/>
      <c r="R366" s="483"/>
      <c r="S366" s="483"/>
      <c r="T366" s="483"/>
      <c r="U366" s="483"/>
      <c r="V366" s="483"/>
      <c r="W366" s="483"/>
      <c r="X366" s="483"/>
      <c r="Y366" s="483"/>
      <c r="Z366" s="483"/>
      <c r="AA366" s="483"/>
      <c r="AB366" s="483"/>
      <c r="AC366" s="483"/>
      <c r="AD366" s="483"/>
    </row>
    <row r="367" spans="3:30">
      <c r="C367" s="483"/>
      <c r="D367" s="483"/>
      <c r="E367" s="483"/>
      <c r="F367" s="483"/>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row>
    <row r="368" spans="3:30">
      <c r="C368" s="483"/>
      <c r="D368" s="483"/>
      <c r="E368" s="483"/>
      <c r="F368" s="483"/>
      <c r="G368" s="483"/>
      <c r="H368" s="483"/>
      <c r="I368" s="483"/>
      <c r="J368" s="483"/>
      <c r="K368" s="483"/>
      <c r="L368" s="483"/>
      <c r="M368" s="483"/>
      <c r="N368" s="483"/>
      <c r="O368" s="483"/>
      <c r="P368" s="483"/>
      <c r="Q368" s="483"/>
      <c r="R368" s="483"/>
      <c r="S368" s="483"/>
      <c r="T368" s="483"/>
      <c r="U368" s="483"/>
      <c r="V368" s="483"/>
      <c r="W368" s="483"/>
      <c r="X368" s="483"/>
      <c r="Y368" s="483"/>
      <c r="Z368" s="483"/>
      <c r="AA368" s="483"/>
      <c r="AB368" s="483"/>
      <c r="AC368" s="483"/>
      <c r="AD368" s="483"/>
    </row>
    <row r="369" spans="3:30">
      <c r="C369" s="483"/>
      <c r="D369" s="483"/>
      <c r="E369" s="483"/>
      <c r="F369" s="483"/>
      <c r="G369" s="483"/>
      <c r="H369" s="483"/>
      <c r="I369" s="483"/>
      <c r="J369" s="483"/>
      <c r="K369" s="483"/>
      <c r="L369" s="483"/>
      <c r="M369" s="483"/>
      <c r="N369" s="483"/>
      <c r="O369" s="483"/>
      <c r="P369" s="483"/>
      <c r="Q369" s="483"/>
      <c r="R369" s="483"/>
      <c r="S369" s="483"/>
      <c r="T369" s="483"/>
      <c r="U369" s="483"/>
      <c r="V369" s="483"/>
      <c r="W369" s="483"/>
      <c r="X369" s="483"/>
      <c r="Y369" s="483"/>
      <c r="Z369" s="483"/>
      <c r="AA369" s="483"/>
      <c r="AB369" s="483"/>
      <c r="AC369" s="483"/>
      <c r="AD369" s="483"/>
    </row>
    <row r="370" spans="3:30">
      <c r="C370" s="483"/>
      <c r="D370" s="483"/>
      <c r="E370" s="483"/>
      <c r="F370" s="483"/>
      <c r="G370" s="483"/>
      <c r="H370" s="483"/>
      <c r="I370" s="483"/>
      <c r="J370" s="483"/>
      <c r="K370" s="483"/>
      <c r="L370" s="483"/>
      <c r="M370" s="483"/>
      <c r="N370" s="483"/>
      <c r="O370" s="483"/>
      <c r="P370" s="483"/>
      <c r="Q370" s="483"/>
      <c r="R370" s="483"/>
      <c r="S370" s="483"/>
      <c r="T370" s="483"/>
      <c r="U370" s="483"/>
      <c r="V370" s="483"/>
      <c r="W370" s="483"/>
      <c r="X370" s="483"/>
      <c r="Y370" s="483"/>
      <c r="Z370" s="483"/>
      <c r="AA370" s="483"/>
      <c r="AB370" s="483"/>
      <c r="AC370" s="483"/>
      <c r="AD370" s="483"/>
    </row>
    <row r="371" spans="3:30">
      <c r="C371" s="483"/>
      <c r="D371" s="483"/>
      <c r="E371" s="483"/>
      <c r="F371" s="483"/>
      <c r="G371" s="483"/>
      <c r="H371" s="483"/>
      <c r="I371" s="483"/>
      <c r="J371" s="483"/>
      <c r="K371" s="483"/>
      <c r="L371" s="483"/>
      <c r="M371" s="483"/>
      <c r="N371" s="483"/>
      <c r="O371" s="483"/>
      <c r="P371" s="483"/>
      <c r="Q371" s="483"/>
      <c r="R371" s="483"/>
      <c r="S371" s="483"/>
      <c r="T371" s="483"/>
      <c r="U371" s="483"/>
      <c r="V371" s="483"/>
      <c r="W371" s="483"/>
      <c r="X371" s="483"/>
      <c r="Y371" s="483"/>
      <c r="Z371" s="483"/>
      <c r="AA371" s="483"/>
      <c r="AB371" s="483"/>
      <c r="AC371" s="483"/>
      <c r="AD371" s="483"/>
    </row>
    <row r="372" spans="3:30">
      <c r="C372" s="483"/>
      <c r="D372" s="483"/>
      <c r="E372" s="483"/>
      <c r="F372" s="483"/>
      <c r="G372" s="483"/>
      <c r="H372" s="483"/>
      <c r="I372" s="483"/>
      <c r="J372" s="483"/>
      <c r="K372" s="483"/>
      <c r="L372" s="483"/>
      <c r="M372" s="483"/>
      <c r="N372" s="483"/>
      <c r="O372" s="483"/>
      <c r="P372" s="483"/>
      <c r="Q372" s="483"/>
      <c r="R372" s="483"/>
      <c r="S372" s="483"/>
      <c r="T372" s="483"/>
      <c r="U372" s="483"/>
      <c r="V372" s="483"/>
      <c r="W372" s="483"/>
      <c r="X372" s="483"/>
      <c r="Y372" s="483"/>
      <c r="Z372" s="483"/>
      <c r="AA372" s="483"/>
      <c r="AB372" s="483"/>
      <c r="AC372" s="483"/>
      <c r="AD372" s="483"/>
    </row>
    <row r="373" spans="3:30">
      <c r="C373" s="483"/>
      <c r="D373" s="483"/>
      <c r="E373" s="483"/>
      <c r="F373" s="483"/>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row>
    <row r="374" spans="3:30">
      <c r="C374" s="483"/>
      <c r="D374" s="483"/>
      <c r="E374" s="483"/>
      <c r="F374" s="483"/>
      <c r="G374" s="483"/>
      <c r="H374" s="483"/>
      <c r="I374" s="483"/>
      <c r="J374" s="483"/>
      <c r="K374" s="483"/>
      <c r="L374" s="483"/>
      <c r="M374" s="483"/>
      <c r="N374" s="483"/>
      <c r="O374" s="483"/>
      <c r="P374" s="483"/>
      <c r="Q374" s="483"/>
      <c r="R374" s="483"/>
      <c r="S374" s="483"/>
      <c r="T374" s="483"/>
      <c r="U374" s="483"/>
      <c r="V374" s="483"/>
      <c r="W374" s="483"/>
      <c r="X374" s="483"/>
      <c r="Y374" s="483"/>
      <c r="Z374" s="483"/>
      <c r="AA374" s="483"/>
      <c r="AB374" s="483"/>
      <c r="AC374" s="483"/>
      <c r="AD374" s="483"/>
    </row>
    <row r="375" spans="3:30">
      <c r="C375" s="483"/>
      <c r="D375" s="483"/>
      <c r="E375" s="483"/>
      <c r="F375" s="483"/>
      <c r="G375" s="483"/>
      <c r="H375" s="483"/>
      <c r="I375" s="483"/>
      <c r="J375" s="483"/>
      <c r="K375" s="483"/>
      <c r="L375" s="483"/>
      <c r="M375" s="483"/>
      <c r="N375" s="483"/>
      <c r="O375" s="483"/>
      <c r="P375" s="483"/>
      <c r="Q375" s="483"/>
      <c r="R375" s="483"/>
      <c r="S375" s="483"/>
      <c r="T375" s="483"/>
      <c r="U375" s="483"/>
      <c r="V375" s="483"/>
      <c r="W375" s="483"/>
      <c r="X375" s="483"/>
      <c r="Y375" s="483"/>
      <c r="Z375" s="483"/>
      <c r="AA375" s="483"/>
      <c r="AB375" s="483"/>
      <c r="AC375" s="483"/>
      <c r="AD375" s="483"/>
    </row>
    <row r="376" spans="3:30">
      <c r="C376" s="483"/>
      <c r="D376" s="483"/>
      <c r="E376" s="483"/>
      <c r="F376" s="483"/>
      <c r="G376" s="483"/>
      <c r="H376" s="483"/>
      <c r="I376" s="483"/>
      <c r="J376" s="483"/>
      <c r="K376" s="483"/>
      <c r="L376" s="483"/>
      <c r="M376" s="483"/>
      <c r="N376" s="483"/>
      <c r="O376" s="483"/>
      <c r="P376" s="483"/>
      <c r="Q376" s="483"/>
      <c r="R376" s="483"/>
      <c r="S376" s="483"/>
      <c r="T376" s="483"/>
      <c r="U376" s="483"/>
      <c r="V376" s="483"/>
      <c r="W376" s="483"/>
      <c r="X376" s="483"/>
      <c r="Y376" s="483"/>
      <c r="Z376" s="483"/>
      <c r="AA376" s="483"/>
      <c r="AB376" s="483"/>
      <c r="AC376" s="483"/>
      <c r="AD376" s="483"/>
    </row>
    <row r="377" spans="3:30">
      <c r="C377" s="483"/>
      <c r="D377" s="483"/>
      <c r="E377" s="483"/>
      <c r="F377" s="483"/>
      <c r="G377" s="483"/>
      <c r="H377" s="483"/>
      <c r="I377" s="483"/>
      <c r="J377" s="483"/>
      <c r="K377" s="483"/>
      <c r="L377" s="483"/>
      <c r="M377" s="483"/>
      <c r="N377" s="483"/>
      <c r="O377" s="483"/>
      <c r="P377" s="483"/>
      <c r="Q377" s="483"/>
      <c r="R377" s="483"/>
      <c r="S377" s="483"/>
      <c r="T377" s="483"/>
      <c r="U377" s="483"/>
      <c r="V377" s="483"/>
      <c r="W377" s="483"/>
      <c r="X377" s="483"/>
      <c r="Y377" s="483"/>
      <c r="Z377" s="483"/>
      <c r="AA377" s="483"/>
      <c r="AB377" s="483"/>
      <c r="AC377" s="483"/>
      <c r="AD377" s="483"/>
    </row>
    <row r="378" spans="3:30">
      <c r="C378" s="483"/>
      <c r="D378" s="483"/>
      <c r="E378" s="483"/>
      <c r="F378" s="483"/>
      <c r="G378" s="483"/>
      <c r="H378" s="483"/>
      <c r="I378" s="483"/>
      <c r="J378" s="483"/>
      <c r="K378" s="483"/>
      <c r="L378" s="483"/>
      <c r="M378" s="483"/>
      <c r="N378" s="483"/>
      <c r="O378" s="483"/>
      <c r="P378" s="483"/>
      <c r="Q378" s="483"/>
      <c r="R378" s="483"/>
      <c r="S378" s="483"/>
      <c r="T378" s="483"/>
      <c r="U378" s="483"/>
      <c r="V378" s="483"/>
      <c r="W378" s="483"/>
      <c r="X378" s="483"/>
      <c r="Y378" s="483"/>
      <c r="Z378" s="483"/>
      <c r="AA378" s="483"/>
      <c r="AB378" s="483"/>
      <c r="AC378" s="483"/>
      <c r="AD378" s="483"/>
    </row>
    <row r="379" spans="3:30">
      <c r="C379" s="483"/>
      <c r="D379" s="483"/>
      <c r="E379" s="483"/>
      <c r="F379" s="483"/>
      <c r="G379" s="483"/>
      <c r="H379" s="483"/>
      <c r="I379" s="483"/>
      <c r="J379" s="483"/>
      <c r="K379" s="483"/>
      <c r="L379" s="483"/>
      <c r="M379" s="483"/>
      <c r="N379" s="483"/>
      <c r="O379" s="483"/>
      <c r="P379" s="483"/>
      <c r="Q379" s="483"/>
      <c r="R379" s="483"/>
      <c r="S379" s="483"/>
      <c r="T379" s="483"/>
      <c r="U379" s="483"/>
      <c r="V379" s="483"/>
      <c r="W379" s="483"/>
      <c r="X379" s="483"/>
      <c r="Y379" s="483"/>
      <c r="Z379" s="483"/>
      <c r="AA379" s="483"/>
      <c r="AB379" s="483"/>
      <c r="AC379" s="483"/>
      <c r="AD379" s="483"/>
    </row>
    <row r="380" spans="3:30">
      <c r="C380" s="483"/>
      <c r="D380" s="483"/>
      <c r="E380" s="483"/>
      <c r="F380" s="483"/>
      <c r="G380" s="483"/>
      <c r="H380" s="483"/>
      <c r="I380" s="483"/>
      <c r="J380" s="483"/>
      <c r="K380" s="483"/>
      <c r="L380" s="483"/>
      <c r="M380" s="483"/>
      <c r="N380" s="483"/>
      <c r="O380" s="483"/>
      <c r="P380" s="483"/>
      <c r="Q380" s="483"/>
      <c r="R380" s="483"/>
      <c r="S380" s="483"/>
      <c r="T380" s="483"/>
      <c r="U380" s="483"/>
      <c r="V380" s="483"/>
      <c r="W380" s="483"/>
      <c r="X380" s="483"/>
      <c r="Y380" s="483"/>
      <c r="Z380" s="483"/>
      <c r="AA380" s="483"/>
      <c r="AB380" s="483"/>
      <c r="AC380" s="483"/>
      <c r="AD380" s="483"/>
    </row>
    <row r="381" spans="3:30">
      <c r="C381" s="483"/>
      <c r="D381" s="483"/>
      <c r="E381" s="483"/>
      <c r="F381" s="483"/>
      <c r="G381" s="483"/>
      <c r="H381" s="483"/>
      <c r="I381" s="483"/>
      <c r="J381" s="483"/>
      <c r="K381" s="483"/>
      <c r="L381" s="483"/>
      <c r="M381" s="483"/>
      <c r="N381" s="483"/>
      <c r="O381" s="483"/>
      <c r="P381" s="483"/>
      <c r="Q381" s="483"/>
      <c r="R381" s="483"/>
      <c r="S381" s="483"/>
      <c r="T381" s="483"/>
      <c r="U381" s="483"/>
      <c r="V381" s="483"/>
      <c r="W381" s="483"/>
      <c r="X381" s="483"/>
      <c r="Y381" s="483"/>
      <c r="Z381" s="483"/>
      <c r="AA381" s="483"/>
      <c r="AB381" s="483"/>
      <c r="AC381" s="483"/>
      <c r="AD381" s="483"/>
    </row>
    <row r="382" spans="3:30">
      <c r="C382" s="483"/>
      <c r="D382" s="483"/>
      <c r="E382" s="483"/>
      <c r="F382" s="483"/>
      <c r="G382" s="483"/>
      <c r="H382" s="483"/>
      <c r="I382" s="483"/>
      <c r="J382" s="483"/>
      <c r="K382" s="483"/>
      <c r="L382" s="483"/>
      <c r="M382" s="483"/>
      <c r="N382" s="483"/>
      <c r="O382" s="483"/>
      <c r="P382" s="483"/>
      <c r="Q382" s="483"/>
      <c r="R382" s="483"/>
      <c r="S382" s="483"/>
      <c r="T382" s="483"/>
      <c r="U382" s="483"/>
      <c r="V382" s="483"/>
      <c r="W382" s="483"/>
      <c r="X382" s="483"/>
      <c r="Y382" s="483"/>
      <c r="Z382" s="483"/>
      <c r="AA382" s="483"/>
      <c r="AB382" s="483"/>
      <c r="AC382" s="483"/>
      <c r="AD382" s="483"/>
    </row>
    <row r="383" spans="3:30">
      <c r="C383" s="483"/>
      <c r="D383" s="483"/>
      <c r="E383" s="483"/>
      <c r="F383" s="483"/>
      <c r="G383" s="483"/>
      <c r="H383" s="483"/>
      <c r="I383" s="483"/>
      <c r="J383" s="483"/>
      <c r="K383" s="483"/>
      <c r="L383" s="483"/>
      <c r="M383" s="483"/>
      <c r="N383" s="483"/>
      <c r="O383" s="483"/>
      <c r="P383" s="483"/>
      <c r="Q383" s="483"/>
      <c r="R383" s="483"/>
      <c r="S383" s="483"/>
      <c r="T383" s="483"/>
      <c r="U383" s="483"/>
      <c r="V383" s="483"/>
      <c r="W383" s="483"/>
      <c r="X383" s="483"/>
      <c r="Y383" s="483"/>
      <c r="Z383" s="483"/>
      <c r="AA383" s="483"/>
      <c r="AB383" s="483"/>
      <c r="AC383" s="483"/>
      <c r="AD383" s="483"/>
    </row>
    <row r="384" spans="3:30">
      <c r="C384" s="483"/>
      <c r="D384" s="483"/>
      <c r="E384" s="483"/>
      <c r="F384" s="483"/>
      <c r="G384" s="483"/>
      <c r="H384" s="483"/>
      <c r="I384" s="483"/>
      <c r="J384" s="483"/>
      <c r="K384" s="483"/>
      <c r="L384" s="483"/>
      <c r="M384" s="483"/>
      <c r="N384" s="483"/>
      <c r="O384" s="483"/>
      <c r="P384" s="483"/>
      <c r="Q384" s="483"/>
      <c r="R384" s="483"/>
      <c r="S384" s="483"/>
      <c r="T384" s="483"/>
      <c r="U384" s="483"/>
      <c r="V384" s="483"/>
      <c r="W384" s="483"/>
      <c r="X384" s="483"/>
      <c r="Y384" s="483"/>
      <c r="Z384" s="483"/>
      <c r="AA384" s="483"/>
      <c r="AB384" s="483"/>
      <c r="AC384" s="483"/>
      <c r="AD384" s="483"/>
    </row>
    <row r="385" spans="3:30">
      <c r="C385" s="483"/>
      <c r="D385" s="483"/>
      <c r="E385" s="483"/>
      <c r="F385" s="483"/>
      <c r="G385" s="483"/>
      <c r="H385" s="483"/>
      <c r="I385" s="483"/>
      <c r="J385" s="483"/>
      <c r="K385" s="483"/>
      <c r="L385" s="483"/>
      <c r="M385" s="483"/>
      <c r="N385" s="483"/>
      <c r="O385" s="483"/>
      <c r="P385" s="483"/>
      <c r="Q385" s="483"/>
      <c r="R385" s="483"/>
      <c r="S385" s="483"/>
      <c r="T385" s="483"/>
      <c r="U385" s="483"/>
      <c r="V385" s="483"/>
      <c r="W385" s="483"/>
      <c r="X385" s="483"/>
      <c r="Y385" s="483"/>
      <c r="Z385" s="483"/>
      <c r="AA385" s="483"/>
      <c r="AB385" s="483"/>
      <c r="AC385" s="483"/>
      <c r="AD385" s="483"/>
    </row>
  </sheetData>
  <mergeCells count="12">
    <mergeCell ref="A1:AD1"/>
    <mergeCell ref="A2:AD2"/>
    <mergeCell ref="A3:AD3"/>
    <mergeCell ref="A4:AD4"/>
    <mergeCell ref="S7:V7"/>
    <mergeCell ref="W7:Z7"/>
    <mergeCell ref="AA7:AD7"/>
    <mergeCell ref="A49:B49"/>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3"/>
  <sheetViews>
    <sheetView topLeftCell="A7" workbookViewId="0">
      <pane xSplit="2" ySplit="2" topLeftCell="P45" activePane="bottomRight" state="frozen"/>
      <selection activeCell="A7" sqref="A7"/>
      <selection pane="topRight" activeCell="C7" sqref="C7"/>
      <selection pane="bottomLeft" activeCell="A9" sqref="A9"/>
      <selection pane="bottomRight" activeCell="F52" sqref="F52:F53"/>
    </sheetView>
  </sheetViews>
  <sheetFormatPr baseColWidth="10" defaultColWidth="11.44140625" defaultRowHeight="11.4"/>
  <cols>
    <col min="1" max="1" width="12.21875" style="378" customWidth="1"/>
    <col min="2" max="2" width="17.44140625" style="378" customWidth="1"/>
    <col min="3" max="30" width="7.21875" style="378" customWidth="1"/>
    <col min="31" max="31" width="9.77734375" style="378" customWidth="1"/>
    <col min="32" max="16384" width="11.44140625" style="378"/>
  </cols>
  <sheetData>
    <row r="1" spans="1:30" ht="12">
      <c r="A1" s="1616" t="s">
        <v>922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row>
    <row r="2" spans="1:30" ht="12">
      <c r="A2" s="1616" t="s">
        <v>938</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row>
    <row r="3" spans="1:30"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row>
    <row r="4" spans="1:30" ht="12">
      <c r="A4" s="1616" t="str">
        <f>+'43'!A4:AD4</f>
        <v>2017 - 2020</v>
      </c>
      <c r="B4" s="1616"/>
      <c r="C4" s="1616"/>
      <c r="D4" s="1616"/>
      <c r="E4" s="1616"/>
      <c r="F4" s="1616"/>
      <c r="G4" s="1616"/>
      <c r="H4" s="1616"/>
      <c r="I4" s="1616"/>
      <c r="J4" s="1616"/>
      <c r="K4" s="1616"/>
      <c r="L4" s="1616"/>
      <c r="M4" s="1616"/>
      <c r="N4" s="1616"/>
      <c r="O4" s="1616"/>
      <c r="P4" s="1616"/>
      <c r="Q4" s="1616"/>
      <c r="R4" s="1616"/>
      <c r="S4" s="1616"/>
      <c r="T4" s="1616"/>
      <c r="U4" s="1616"/>
      <c r="V4" s="1616"/>
      <c r="W4" s="1616"/>
      <c r="X4" s="1616"/>
      <c r="Y4" s="1616"/>
      <c r="Z4" s="1616"/>
      <c r="AA4" s="1616"/>
      <c r="AB4" s="1616"/>
      <c r="AC4" s="1616"/>
      <c r="AD4" s="1616"/>
    </row>
    <row r="7" spans="1:30" s="481" customFormat="1" ht="22.5" customHeight="1">
      <c r="A7" s="439" t="s">
        <v>536</v>
      </c>
      <c r="B7" s="480" t="s">
        <v>835</v>
      </c>
      <c r="C7" s="1606" t="s">
        <v>924</v>
      </c>
      <c r="D7" s="1607"/>
      <c r="E7" s="1607"/>
      <c r="F7" s="1608"/>
      <c r="G7" s="1607" t="s">
        <v>925</v>
      </c>
      <c r="H7" s="1607"/>
      <c r="I7" s="1607"/>
      <c r="J7" s="1607"/>
      <c r="K7" s="1606" t="s">
        <v>926</v>
      </c>
      <c r="L7" s="1607"/>
      <c r="M7" s="1607"/>
      <c r="N7" s="1608"/>
      <c r="O7" s="1607" t="s">
        <v>927</v>
      </c>
      <c r="P7" s="1607"/>
      <c r="Q7" s="1607"/>
      <c r="R7" s="1607"/>
      <c r="S7" s="1606" t="s">
        <v>928</v>
      </c>
      <c r="T7" s="1607"/>
      <c r="U7" s="1607"/>
      <c r="V7" s="1608"/>
      <c r="W7" s="1630" t="s">
        <v>1430</v>
      </c>
      <c r="X7" s="1612"/>
      <c r="Y7" s="1612"/>
      <c r="Z7" s="1612"/>
      <c r="AA7" s="1606" t="s">
        <v>637</v>
      </c>
      <c r="AB7" s="1607"/>
      <c r="AC7" s="1607"/>
      <c r="AD7" s="1608"/>
    </row>
    <row r="8" spans="1:30" s="481" customFormat="1" ht="22.5" customHeight="1">
      <c r="A8" s="461"/>
      <c r="B8" s="461"/>
      <c r="C8" s="462">
        <f>+'41'!C8</f>
        <v>2017</v>
      </c>
      <c r="D8" s="463">
        <f>+'41'!D8</f>
        <v>2018</v>
      </c>
      <c r="E8" s="463">
        <f>+'41'!E8</f>
        <v>2019</v>
      </c>
      <c r="F8" s="464">
        <f>+'41'!F8</f>
        <v>2020</v>
      </c>
      <c r="G8" s="462">
        <f>+'41'!G8</f>
        <v>2017</v>
      </c>
      <c r="H8" s="463">
        <f>+'41'!H8</f>
        <v>2018</v>
      </c>
      <c r="I8" s="463">
        <f>+'41'!I8</f>
        <v>2019</v>
      </c>
      <c r="J8" s="464">
        <f>+'41'!J8</f>
        <v>2020</v>
      </c>
      <c r="K8" s="463">
        <f>+'41'!K8</f>
        <v>2017</v>
      </c>
      <c r="L8" s="463">
        <f>+'41'!L8</f>
        <v>2018</v>
      </c>
      <c r="M8" s="463">
        <f>+'41'!M8</f>
        <v>2019</v>
      </c>
      <c r="N8" s="463">
        <f>+'41'!N8</f>
        <v>2020</v>
      </c>
      <c r="O8" s="462">
        <f>+'41'!O8</f>
        <v>2017</v>
      </c>
      <c r="P8" s="463">
        <f>+'41'!P8</f>
        <v>2018</v>
      </c>
      <c r="Q8" s="463">
        <f>+'41'!Q8</f>
        <v>2019</v>
      </c>
      <c r="R8" s="464">
        <f>+'41'!R8</f>
        <v>2020</v>
      </c>
      <c r="S8" s="463">
        <f>+'41'!S8</f>
        <v>2017</v>
      </c>
      <c r="T8" s="463">
        <f>+'41'!T8</f>
        <v>2018</v>
      </c>
      <c r="U8" s="463">
        <f>+'41'!U8</f>
        <v>2019</v>
      </c>
      <c r="V8" s="464">
        <f>+'41'!V8</f>
        <v>2020</v>
      </c>
      <c r="W8" s="462">
        <f>+'41'!W8</f>
        <v>2017</v>
      </c>
      <c r="X8" s="463">
        <f>+'41'!X8</f>
        <v>2018</v>
      </c>
      <c r="Y8" s="463">
        <f>+'41'!Y8</f>
        <v>2019</v>
      </c>
      <c r="Z8" s="464">
        <f>+'41'!Z8</f>
        <v>2020</v>
      </c>
      <c r="AA8" s="462">
        <f>+'41'!AA8</f>
        <v>2017</v>
      </c>
      <c r="AB8" s="463">
        <f>+'41'!AB8</f>
        <v>2018</v>
      </c>
      <c r="AC8" s="463">
        <f>+'41'!AC8</f>
        <v>2019</v>
      </c>
      <c r="AD8" s="464">
        <f>+'41'!AD8</f>
        <v>2020</v>
      </c>
    </row>
    <row r="9" spans="1:30" s="481" customFormat="1" ht="22.5" customHeight="1">
      <c r="A9" s="465" t="s">
        <v>929</v>
      </c>
      <c r="B9" s="632" t="s">
        <v>1322</v>
      </c>
      <c r="C9" s="353">
        <v>13555</v>
      </c>
      <c r="D9" s="353">
        <v>14870</v>
      </c>
      <c r="E9" s="353">
        <v>13777</v>
      </c>
      <c r="F9" s="466">
        <v>11067</v>
      </c>
      <c r="G9" s="353">
        <v>3222</v>
      </c>
      <c r="H9" s="353">
        <v>1096</v>
      </c>
      <c r="I9" s="353">
        <v>1117</v>
      </c>
      <c r="J9" s="466">
        <v>405</v>
      </c>
      <c r="K9" s="353">
        <v>719</v>
      </c>
      <c r="L9" s="353">
        <v>524</v>
      </c>
      <c r="M9" s="353">
        <v>405</v>
      </c>
      <c r="N9" s="466">
        <v>83</v>
      </c>
      <c r="O9" s="353">
        <v>2136</v>
      </c>
      <c r="P9" s="353">
        <v>1440</v>
      </c>
      <c r="Q9" s="353">
        <v>1192</v>
      </c>
      <c r="R9" s="466">
        <v>346</v>
      </c>
      <c r="S9" s="353">
        <v>402</v>
      </c>
      <c r="T9" s="353">
        <v>570</v>
      </c>
      <c r="U9" s="353">
        <v>578</v>
      </c>
      <c r="V9" s="466">
        <v>341</v>
      </c>
      <c r="W9" s="353"/>
      <c r="X9" s="353"/>
      <c r="Y9" s="353"/>
      <c r="Z9" s="353"/>
      <c r="AA9" s="352">
        <f t="shared" ref="AA9:AD13" si="0">+W9+S9+O9+K9+G9+C9</f>
        <v>20034</v>
      </c>
      <c r="AB9" s="353">
        <f t="shared" si="0"/>
        <v>18500</v>
      </c>
      <c r="AC9" s="353">
        <f t="shared" si="0"/>
        <v>17069</v>
      </c>
      <c r="AD9" s="466">
        <f t="shared" si="0"/>
        <v>12242</v>
      </c>
    </row>
    <row r="10" spans="1:30" s="481" customFormat="1" ht="22.5" customHeight="1">
      <c r="A10" s="465"/>
      <c r="B10" s="293" t="s">
        <v>1323</v>
      </c>
      <c r="C10" s="353">
        <v>15698</v>
      </c>
      <c r="D10" s="353">
        <v>14600</v>
      </c>
      <c r="E10" s="353">
        <v>14553</v>
      </c>
      <c r="F10" s="466">
        <v>9100</v>
      </c>
      <c r="G10" s="353">
        <v>1597</v>
      </c>
      <c r="H10" s="353">
        <v>1196</v>
      </c>
      <c r="I10" s="353">
        <v>1153</v>
      </c>
      <c r="J10" s="466">
        <v>277</v>
      </c>
      <c r="K10" s="353">
        <v>251</v>
      </c>
      <c r="L10" s="353">
        <v>192</v>
      </c>
      <c r="M10" s="353">
        <v>276</v>
      </c>
      <c r="N10" s="466">
        <v>146</v>
      </c>
      <c r="O10" s="353">
        <v>4160</v>
      </c>
      <c r="P10" s="353">
        <v>3074</v>
      </c>
      <c r="Q10" s="353">
        <v>2440</v>
      </c>
      <c r="R10" s="466">
        <v>532</v>
      </c>
      <c r="S10" s="353">
        <v>669</v>
      </c>
      <c r="T10" s="353">
        <v>536</v>
      </c>
      <c r="U10" s="353">
        <v>581</v>
      </c>
      <c r="V10" s="466">
        <v>413</v>
      </c>
      <c r="W10" s="353"/>
      <c r="X10" s="353">
        <v>47</v>
      </c>
      <c r="Y10" s="353"/>
      <c r="Z10" s="353">
        <v>76</v>
      </c>
      <c r="AA10" s="352">
        <f t="shared" si="0"/>
        <v>22375</v>
      </c>
      <c r="AB10" s="353">
        <f t="shared" si="0"/>
        <v>19645</v>
      </c>
      <c r="AC10" s="353">
        <f t="shared" si="0"/>
        <v>19003</v>
      </c>
      <c r="AD10" s="466">
        <f t="shared" si="0"/>
        <v>10544</v>
      </c>
    </row>
    <row r="11" spans="1:30" s="481" customFormat="1" ht="22.5" customHeight="1">
      <c r="A11" s="465"/>
      <c r="B11" s="334" t="s">
        <v>804</v>
      </c>
      <c r="C11" s="353">
        <v>2359</v>
      </c>
      <c r="D11" s="353">
        <v>2373</v>
      </c>
      <c r="E11" s="353">
        <v>2127</v>
      </c>
      <c r="F11" s="466">
        <v>1677</v>
      </c>
      <c r="G11" s="353">
        <v>431</v>
      </c>
      <c r="H11" s="353">
        <v>283</v>
      </c>
      <c r="I11" s="353">
        <v>229</v>
      </c>
      <c r="J11" s="466">
        <v>61</v>
      </c>
      <c r="K11" s="353">
        <v>263</v>
      </c>
      <c r="L11" s="353">
        <v>149</v>
      </c>
      <c r="M11" s="353">
        <v>149</v>
      </c>
      <c r="N11" s="466">
        <v>7</v>
      </c>
      <c r="O11" s="353">
        <v>461</v>
      </c>
      <c r="P11" s="353">
        <v>289</v>
      </c>
      <c r="Q11" s="353">
        <v>455</v>
      </c>
      <c r="R11" s="466">
        <v>86</v>
      </c>
      <c r="S11" s="353">
        <v>343</v>
      </c>
      <c r="T11" s="353">
        <v>307</v>
      </c>
      <c r="U11" s="353">
        <v>265</v>
      </c>
      <c r="V11" s="466">
        <v>363</v>
      </c>
      <c r="W11" s="353"/>
      <c r="X11" s="353"/>
      <c r="Y11" s="353"/>
      <c r="Z11" s="353"/>
      <c r="AA11" s="352">
        <f t="shared" si="0"/>
        <v>3857</v>
      </c>
      <c r="AB11" s="353">
        <f t="shared" si="0"/>
        <v>3401</v>
      </c>
      <c r="AC11" s="353">
        <f t="shared" si="0"/>
        <v>3225</v>
      </c>
      <c r="AD11" s="466">
        <f t="shared" si="0"/>
        <v>2194</v>
      </c>
    </row>
    <row r="12" spans="1:30" s="481" customFormat="1" ht="22.5" customHeight="1">
      <c r="A12" s="465"/>
      <c r="B12" s="293" t="s">
        <v>1577</v>
      </c>
      <c r="C12" s="353"/>
      <c r="D12" s="353">
        <v>254</v>
      </c>
      <c r="E12" s="353">
        <v>730</v>
      </c>
      <c r="F12" s="466"/>
      <c r="G12" s="353"/>
      <c r="H12" s="353"/>
      <c r="I12" s="353">
        <v>1860</v>
      </c>
      <c r="J12" s="466">
        <v>958</v>
      </c>
      <c r="K12" s="353"/>
      <c r="L12" s="353"/>
      <c r="M12" s="353"/>
      <c r="N12" s="466"/>
      <c r="O12" s="353"/>
      <c r="P12" s="353"/>
      <c r="Q12" s="353"/>
      <c r="R12" s="466"/>
      <c r="S12" s="353"/>
      <c r="T12" s="353"/>
      <c r="U12" s="353">
        <v>1466</v>
      </c>
      <c r="V12" s="466">
        <v>300</v>
      </c>
      <c r="W12" s="353"/>
      <c r="X12" s="353">
        <v>219</v>
      </c>
      <c r="Y12" s="353"/>
      <c r="Z12" s="353"/>
      <c r="AA12" s="352">
        <f t="shared" ref="AA12" si="1">+W12+S12+O12+K12+G12+C12</f>
        <v>0</v>
      </c>
      <c r="AB12" s="353">
        <f t="shared" ref="AB12" si="2">+X12+T12+P12+L12+H12+D12</f>
        <v>473</v>
      </c>
      <c r="AC12" s="353">
        <f t="shared" ref="AC12" si="3">+Y12+U12+Q12+M12+I12+E12</f>
        <v>4056</v>
      </c>
      <c r="AD12" s="466">
        <f t="shared" si="0"/>
        <v>1258</v>
      </c>
    </row>
    <row r="13" spans="1:30" s="481" customFormat="1" ht="22.5" customHeight="1">
      <c r="A13" s="465"/>
      <c r="B13" s="293" t="s">
        <v>1188</v>
      </c>
      <c r="C13" s="353">
        <v>564</v>
      </c>
      <c r="D13" s="353">
        <v>637</v>
      </c>
      <c r="E13" s="353">
        <v>634</v>
      </c>
      <c r="F13" s="466">
        <v>475</v>
      </c>
      <c r="G13" s="353">
        <v>63</v>
      </c>
      <c r="H13" s="353">
        <v>60</v>
      </c>
      <c r="I13" s="353">
        <v>67</v>
      </c>
      <c r="J13" s="466">
        <v>16</v>
      </c>
      <c r="K13" s="353">
        <v>52</v>
      </c>
      <c r="L13" s="353">
        <v>39</v>
      </c>
      <c r="M13" s="353">
        <v>61</v>
      </c>
      <c r="N13" s="466">
        <v>3</v>
      </c>
      <c r="O13" s="353">
        <v>86</v>
      </c>
      <c r="P13" s="353">
        <v>95</v>
      </c>
      <c r="Q13" s="353">
        <v>146</v>
      </c>
      <c r="R13" s="466">
        <v>39</v>
      </c>
      <c r="S13" s="353">
        <v>6</v>
      </c>
      <c r="T13" s="353">
        <v>17</v>
      </c>
      <c r="U13" s="353">
        <v>43</v>
      </c>
      <c r="V13" s="466">
        <v>28</v>
      </c>
      <c r="W13" s="353">
        <v>5</v>
      </c>
      <c r="X13" s="353">
        <v>10</v>
      </c>
      <c r="Y13" s="353"/>
      <c r="Z13" s="353"/>
      <c r="AA13" s="352">
        <f t="shared" si="0"/>
        <v>776</v>
      </c>
      <c r="AB13" s="353">
        <f t="shared" si="0"/>
        <v>858</v>
      </c>
      <c r="AC13" s="353">
        <f t="shared" si="0"/>
        <v>951</v>
      </c>
      <c r="AD13" s="466">
        <f>+Z13+V13+R13+N13+J13+F13</f>
        <v>561</v>
      </c>
    </row>
    <row r="14" spans="1:30" s="481" customFormat="1" ht="22.5" customHeight="1">
      <c r="A14" s="465"/>
      <c r="B14" s="334" t="s">
        <v>625</v>
      </c>
      <c r="C14" s="353">
        <v>32176</v>
      </c>
      <c r="D14" s="353">
        <v>32734</v>
      </c>
      <c r="E14" s="353">
        <f>SUM(E9:E13)</f>
        <v>31821</v>
      </c>
      <c r="F14" s="466">
        <f>SUM(F9:F13)</f>
        <v>22319</v>
      </c>
      <c r="G14" s="353">
        <v>5313</v>
      </c>
      <c r="H14" s="353">
        <v>2635</v>
      </c>
      <c r="I14" s="353">
        <f t="shared" ref="I14" si="4">SUM(I9:I13)</f>
        <v>4426</v>
      </c>
      <c r="J14" s="466">
        <f t="shared" ref="J14:AD14" si="5">SUM(J9:J13)</f>
        <v>1717</v>
      </c>
      <c r="K14" s="353">
        <v>1285</v>
      </c>
      <c r="L14" s="353">
        <f t="shared" ref="L14:M14" si="6">SUM(L9:L13)</f>
        <v>904</v>
      </c>
      <c r="M14" s="353">
        <f t="shared" si="6"/>
        <v>891</v>
      </c>
      <c r="N14" s="466">
        <f t="shared" si="5"/>
        <v>239</v>
      </c>
      <c r="O14" s="353">
        <v>6843</v>
      </c>
      <c r="P14" s="353">
        <v>4898</v>
      </c>
      <c r="Q14" s="353">
        <f t="shared" ref="Q14" si="7">SUM(Q9:Q13)</f>
        <v>4233</v>
      </c>
      <c r="R14" s="466">
        <f t="shared" si="5"/>
        <v>1003</v>
      </c>
      <c r="S14" s="353">
        <v>1420</v>
      </c>
      <c r="T14" s="353">
        <v>1430</v>
      </c>
      <c r="U14" s="353">
        <f t="shared" ref="U14" si="8">SUM(U9:U13)</f>
        <v>2933</v>
      </c>
      <c r="V14" s="466">
        <f t="shared" si="5"/>
        <v>1445</v>
      </c>
      <c r="W14" s="353">
        <v>5</v>
      </c>
      <c r="X14" s="353">
        <v>276</v>
      </c>
      <c r="Y14" s="353">
        <f t="shared" ref="Y14" si="9">SUM(Y9:Y13)</f>
        <v>0</v>
      </c>
      <c r="Z14" s="466">
        <f t="shared" si="5"/>
        <v>76</v>
      </c>
      <c r="AA14" s="352">
        <f t="shared" si="5"/>
        <v>47042</v>
      </c>
      <c r="AB14" s="353">
        <f t="shared" si="5"/>
        <v>42877</v>
      </c>
      <c r="AC14" s="353">
        <f t="shared" si="5"/>
        <v>44304</v>
      </c>
      <c r="AD14" s="466">
        <f t="shared" si="5"/>
        <v>26799</v>
      </c>
    </row>
    <row r="15" spans="1:30" s="481" customFormat="1" ht="22.5" customHeight="1">
      <c r="A15" s="465" t="s">
        <v>522</v>
      </c>
      <c r="B15" s="334" t="s">
        <v>805</v>
      </c>
      <c r="C15" s="353">
        <v>8448</v>
      </c>
      <c r="D15" s="353">
        <v>9002</v>
      </c>
      <c r="E15" s="353">
        <v>10916</v>
      </c>
      <c r="F15" s="466">
        <v>10671</v>
      </c>
      <c r="G15" s="353">
        <v>1919</v>
      </c>
      <c r="H15" s="353">
        <v>1337</v>
      </c>
      <c r="I15" s="353">
        <v>1447</v>
      </c>
      <c r="J15" s="466">
        <v>344</v>
      </c>
      <c r="K15" s="353">
        <v>232</v>
      </c>
      <c r="L15" s="353">
        <v>279</v>
      </c>
      <c r="M15" s="353">
        <v>446</v>
      </c>
      <c r="N15" s="466">
        <v>279</v>
      </c>
      <c r="O15" s="353">
        <v>1088</v>
      </c>
      <c r="P15" s="353">
        <v>870</v>
      </c>
      <c r="Q15" s="353">
        <v>928</v>
      </c>
      <c r="R15" s="466">
        <v>159</v>
      </c>
      <c r="S15" s="353">
        <v>548</v>
      </c>
      <c r="T15" s="353">
        <v>663</v>
      </c>
      <c r="U15" s="353">
        <v>614</v>
      </c>
      <c r="V15" s="466">
        <v>749</v>
      </c>
      <c r="W15" s="353">
        <v>19</v>
      </c>
      <c r="X15" s="353"/>
      <c r="Y15" s="353"/>
      <c r="Z15" s="466"/>
      <c r="AA15" s="352">
        <f>+W15+S15+O15+K15+G15+C15</f>
        <v>12254</v>
      </c>
      <c r="AB15" s="353">
        <f>+X15+T15+P15+L15+H15+D15</f>
        <v>12151</v>
      </c>
      <c r="AC15" s="353">
        <f>+Y15+U15+Q15+M15+I15+E15</f>
        <v>14351</v>
      </c>
      <c r="AD15" s="466">
        <f>+Z15+V15+R15+N15+J15+F15</f>
        <v>12202</v>
      </c>
    </row>
    <row r="16" spans="1:30" s="481" customFormat="1" ht="22.5" customHeight="1">
      <c r="A16" s="465"/>
      <c r="B16" s="293" t="s">
        <v>1193</v>
      </c>
      <c r="C16" s="353">
        <v>1691</v>
      </c>
      <c r="D16" s="353">
        <v>1562</v>
      </c>
      <c r="E16" s="353">
        <v>1757</v>
      </c>
      <c r="F16" s="466">
        <v>1440</v>
      </c>
      <c r="G16" s="353">
        <v>397</v>
      </c>
      <c r="H16" s="353">
        <v>263</v>
      </c>
      <c r="I16" s="353">
        <v>173</v>
      </c>
      <c r="J16" s="466">
        <v>51</v>
      </c>
      <c r="K16" s="353">
        <v>117</v>
      </c>
      <c r="L16" s="353">
        <v>75</v>
      </c>
      <c r="M16" s="353">
        <v>141</v>
      </c>
      <c r="N16" s="466">
        <v>103</v>
      </c>
      <c r="O16" s="353">
        <v>191</v>
      </c>
      <c r="P16" s="353">
        <v>146</v>
      </c>
      <c r="Q16" s="353">
        <v>224</v>
      </c>
      <c r="R16" s="466">
        <v>43</v>
      </c>
      <c r="S16" s="353"/>
      <c r="T16" s="353"/>
      <c r="U16" s="353"/>
      <c r="V16" s="466">
        <v>35</v>
      </c>
      <c r="W16" s="353"/>
      <c r="X16" s="353"/>
      <c r="Y16" s="353"/>
      <c r="Z16" s="466"/>
      <c r="AA16" s="352">
        <f t="shared" ref="AA16:AA17" si="10">+W16+S16+O16+K16+G16+C16</f>
        <v>2396</v>
      </c>
      <c r="AB16" s="353">
        <f t="shared" ref="AB16:AD17" si="11">+X16+T16+P16+L16+H16+D16</f>
        <v>2046</v>
      </c>
      <c r="AC16" s="353">
        <f t="shared" si="11"/>
        <v>2295</v>
      </c>
      <c r="AD16" s="466">
        <f t="shared" si="11"/>
        <v>1672</v>
      </c>
    </row>
    <row r="17" spans="1:30" s="481" customFormat="1" ht="22.5" customHeight="1">
      <c r="A17" s="465"/>
      <c r="B17" s="293" t="s">
        <v>1190</v>
      </c>
      <c r="C17" s="353">
        <v>1284</v>
      </c>
      <c r="D17" s="353">
        <v>1122</v>
      </c>
      <c r="E17" s="353">
        <v>1169</v>
      </c>
      <c r="F17" s="466">
        <v>973</v>
      </c>
      <c r="G17" s="353">
        <v>239</v>
      </c>
      <c r="H17" s="353">
        <v>194</v>
      </c>
      <c r="I17" s="353">
        <v>187</v>
      </c>
      <c r="J17" s="466">
        <v>34</v>
      </c>
      <c r="K17" s="353">
        <v>24</v>
      </c>
      <c r="L17" s="353">
        <v>28</v>
      </c>
      <c r="M17" s="353">
        <v>35</v>
      </c>
      <c r="N17" s="466">
        <v>27</v>
      </c>
      <c r="O17" s="353">
        <v>182</v>
      </c>
      <c r="P17" s="353">
        <v>171</v>
      </c>
      <c r="Q17" s="353">
        <v>211</v>
      </c>
      <c r="R17" s="466">
        <v>42</v>
      </c>
      <c r="S17" s="353">
        <v>6</v>
      </c>
      <c r="T17" s="353"/>
      <c r="U17" s="353"/>
      <c r="V17" s="466"/>
      <c r="W17" s="353">
        <v>60</v>
      </c>
      <c r="X17" s="353">
        <v>12</v>
      </c>
      <c r="Y17" s="353"/>
      <c r="Z17" s="466"/>
      <c r="AA17" s="352">
        <f t="shared" si="10"/>
        <v>1795</v>
      </c>
      <c r="AB17" s="353">
        <f t="shared" si="11"/>
        <v>1527</v>
      </c>
      <c r="AC17" s="353">
        <f t="shared" si="11"/>
        <v>1602</v>
      </c>
      <c r="AD17" s="466">
        <f t="shared" si="11"/>
        <v>1076</v>
      </c>
    </row>
    <row r="18" spans="1:30" s="481" customFormat="1" ht="22.5" customHeight="1">
      <c r="A18" s="465"/>
      <c r="B18" s="334" t="s">
        <v>625</v>
      </c>
      <c r="C18" s="353">
        <v>11423</v>
      </c>
      <c r="D18" s="353">
        <v>11686</v>
      </c>
      <c r="E18" s="353">
        <f>SUM(E15:E17)</f>
        <v>13842</v>
      </c>
      <c r="F18" s="466">
        <f>SUM(F15:F17)</f>
        <v>13084</v>
      </c>
      <c r="G18" s="353">
        <v>2555</v>
      </c>
      <c r="H18" s="353">
        <v>1794</v>
      </c>
      <c r="I18" s="353">
        <f t="shared" ref="I18" si="12">SUM(I15:I17)</f>
        <v>1807</v>
      </c>
      <c r="J18" s="466">
        <f t="shared" ref="J18:AD18" si="13">SUM(J15:J17)</f>
        <v>429</v>
      </c>
      <c r="K18" s="353">
        <v>373</v>
      </c>
      <c r="L18" s="353">
        <f t="shared" ref="L18:M18" si="14">SUM(L15:L17)</f>
        <v>382</v>
      </c>
      <c r="M18" s="353">
        <f t="shared" si="14"/>
        <v>622</v>
      </c>
      <c r="N18" s="466">
        <f t="shared" si="13"/>
        <v>409</v>
      </c>
      <c r="O18" s="353">
        <v>1461</v>
      </c>
      <c r="P18" s="353">
        <v>1187</v>
      </c>
      <c r="Q18" s="353">
        <f t="shared" ref="Q18" si="15">SUM(Q15:Q17)</f>
        <v>1363</v>
      </c>
      <c r="R18" s="466">
        <f t="shared" si="13"/>
        <v>244</v>
      </c>
      <c r="S18" s="353">
        <v>554</v>
      </c>
      <c r="T18" s="353">
        <v>663</v>
      </c>
      <c r="U18" s="353">
        <f t="shared" ref="U18" si="16">SUM(U15:U17)</f>
        <v>614</v>
      </c>
      <c r="V18" s="466">
        <f t="shared" si="13"/>
        <v>784</v>
      </c>
      <c r="W18" s="353">
        <v>79</v>
      </c>
      <c r="X18" s="353">
        <v>12</v>
      </c>
      <c r="Y18" s="353">
        <f t="shared" ref="Y18" si="17">SUM(Y15:Y17)</f>
        <v>0</v>
      </c>
      <c r="Z18" s="466">
        <f t="shared" si="13"/>
        <v>0</v>
      </c>
      <c r="AA18" s="352">
        <f t="shared" si="13"/>
        <v>16445</v>
      </c>
      <c r="AB18" s="353">
        <f t="shared" si="13"/>
        <v>15724</v>
      </c>
      <c r="AC18" s="353">
        <f t="shared" si="13"/>
        <v>18248</v>
      </c>
      <c r="AD18" s="466">
        <f t="shared" si="13"/>
        <v>14950</v>
      </c>
    </row>
    <row r="19" spans="1:30" s="481" customFormat="1" ht="22.5" customHeight="1">
      <c r="A19" s="465" t="s">
        <v>930</v>
      </c>
      <c r="B19" s="334" t="s">
        <v>807</v>
      </c>
      <c r="C19" s="353">
        <v>8898</v>
      </c>
      <c r="D19" s="353">
        <v>9905</v>
      </c>
      <c r="E19" s="353">
        <v>8705</v>
      </c>
      <c r="F19" s="466">
        <v>7574</v>
      </c>
      <c r="G19" s="353">
        <v>286</v>
      </c>
      <c r="H19" s="353">
        <v>507</v>
      </c>
      <c r="I19" s="353">
        <v>462</v>
      </c>
      <c r="J19" s="466">
        <v>305</v>
      </c>
      <c r="K19" s="353">
        <v>467</v>
      </c>
      <c r="L19" s="353">
        <v>462</v>
      </c>
      <c r="M19" s="353">
        <v>523</v>
      </c>
      <c r="N19" s="466">
        <v>274</v>
      </c>
      <c r="O19" s="353">
        <v>1259</v>
      </c>
      <c r="P19" s="353">
        <v>1282</v>
      </c>
      <c r="Q19" s="353">
        <v>1413</v>
      </c>
      <c r="R19" s="466">
        <v>242</v>
      </c>
      <c r="S19" s="353">
        <v>343</v>
      </c>
      <c r="T19" s="353">
        <v>428</v>
      </c>
      <c r="U19" s="353">
        <v>295</v>
      </c>
      <c r="V19" s="466">
        <v>765</v>
      </c>
      <c r="W19" s="353"/>
      <c r="X19" s="353"/>
      <c r="Y19" s="353"/>
      <c r="Z19" s="466">
        <v>2</v>
      </c>
      <c r="AA19" s="352">
        <f t="shared" ref="AA19:AD20" si="18">+W19+S19+O19+K19+G19+C19</f>
        <v>11253</v>
      </c>
      <c r="AB19" s="353">
        <f t="shared" si="18"/>
        <v>12584</v>
      </c>
      <c r="AC19" s="353">
        <f t="shared" si="18"/>
        <v>11398</v>
      </c>
      <c r="AD19" s="466">
        <f t="shared" si="18"/>
        <v>9162</v>
      </c>
    </row>
    <row r="20" spans="1:30" s="481" customFormat="1" ht="22.5" customHeight="1">
      <c r="A20" s="465"/>
      <c r="B20" s="293" t="s">
        <v>1192</v>
      </c>
      <c r="C20" s="353">
        <v>718</v>
      </c>
      <c r="D20" s="353">
        <v>865</v>
      </c>
      <c r="E20" s="353">
        <v>659</v>
      </c>
      <c r="F20" s="466">
        <v>360</v>
      </c>
      <c r="G20" s="353">
        <v>83</v>
      </c>
      <c r="H20" s="353">
        <v>78</v>
      </c>
      <c r="I20" s="353">
        <v>47</v>
      </c>
      <c r="J20" s="466">
        <v>12</v>
      </c>
      <c r="K20" s="353">
        <v>54</v>
      </c>
      <c r="L20" s="353">
        <v>51</v>
      </c>
      <c r="M20" s="353">
        <v>51</v>
      </c>
      <c r="N20" s="466">
        <v>10</v>
      </c>
      <c r="O20" s="353">
        <v>227</v>
      </c>
      <c r="P20" s="353">
        <v>234</v>
      </c>
      <c r="Q20" s="353">
        <v>221</v>
      </c>
      <c r="R20" s="466">
        <v>45</v>
      </c>
      <c r="S20" s="353"/>
      <c r="T20" s="353"/>
      <c r="U20" s="353"/>
      <c r="V20" s="466">
        <v>33</v>
      </c>
      <c r="W20" s="353">
        <v>55</v>
      </c>
      <c r="X20" s="353">
        <v>45</v>
      </c>
      <c r="Y20" s="353"/>
      <c r="Z20" s="466"/>
      <c r="AA20" s="352">
        <f t="shared" si="18"/>
        <v>1137</v>
      </c>
      <c r="AB20" s="353">
        <f t="shared" si="18"/>
        <v>1273</v>
      </c>
      <c r="AC20" s="353">
        <f t="shared" si="18"/>
        <v>978</v>
      </c>
      <c r="AD20" s="466">
        <f t="shared" si="18"/>
        <v>460</v>
      </c>
    </row>
    <row r="21" spans="1:30" s="481" customFormat="1" ht="22.5" customHeight="1">
      <c r="A21" s="465"/>
      <c r="B21" s="334" t="s">
        <v>625</v>
      </c>
      <c r="C21" s="353">
        <v>9616</v>
      </c>
      <c r="D21" s="353">
        <v>10770</v>
      </c>
      <c r="E21" s="353">
        <f>SUM(E19:E20)</f>
        <v>9364</v>
      </c>
      <c r="F21" s="466">
        <f>SUM(F19:F20)</f>
        <v>7934</v>
      </c>
      <c r="G21" s="353">
        <v>369</v>
      </c>
      <c r="H21" s="353">
        <v>585</v>
      </c>
      <c r="I21" s="353">
        <f t="shared" ref="I21" si="19">SUM(I19:I20)</f>
        <v>509</v>
      </c>
      <c r="J21" s="466">
        <f t="shared" ref="J21:AD21" si="20">SUM(J19:J20)</f>
        <v>317</v>
      </c>
      <c r="K21" s="353">
        <v>521</v>
      </c>
      <c r="L21" s="353">
        <f t="shared" ref="L21:M21" si="21">SUM(L19:L20)</f>
        <v>513</v>
      </c>
      <c r="M21" s="353">
        <f t="shared" si="21"/>
        <v>574</v>
      </c>
      <c r="N21" s="466">
        <f t="shared" si="20"/>
        <v>284</v>
      </c>
      <c r="O21" s="353">
        <v>1486</v>
      </c>
      <c r="P21" s="353">
        <v>1516</v>
      </c>
      <c r="Q21" s="353">
        <f t="shared" ref="Q21" si="22">SUM(Q19:Q20)</f>
        <v>1634</v>
      </c>
      <c r="R21" s="466">
        <f t="shared" si="20"/>
        <v>287</v>
      </c>
      <c r="S21" s="353">
        <v>343</v>
      </c>
      <c r="T21" s="353">
        <v>428</v>
      </c>
      <c r="U21" s="353">
        <f t="shared" ref="U21" si="23">SUM(U19:U20)</f>
        <v>295</v>
      </c>
      <c r="V21" s="466">
        <f t="shared" si="20"/>
        <v>798</v>
      </c>
      <c r="W21" s="353">
        <v>55</v>
      </c>
      <c r="X21" s="353">
        <v>45</v>
      </c>
      <c r="Y21" s="353">
        <f t="shared" ref="Y21" si="24">SUM(Y19:Y20)</f>
        <v>0</v>
      </c>
      <c r="Z21" s="466">
        <f t="shared" si="20"/>
        <v>2</v>
      </c>
      <c r="AA21" s="352">
        <f t="shared" si="20"/>
        <v>12390</v>
      </c>
      <c r="AB21" s="353">
        <f t="shared" si="20"/>
        <v>13857</v>
      </c>
      <c r="AC21" s="353">
        <f t="shared" si="20"/>
        <v>12376</v>
      </c>
      <c r="AD21" s="466">
        <f t="shared" si="20"/>
        <v>9622</v>
      </c>
    </row>
    <row r="22" spans="1:30" s="481" customFormat="1" ht="22.5" customHeight="1">
      <c r="A22" s="465" t="s">
        <v>524</v>
      </c>
      <c r="B22" s="334" t="s">
        <v>808</v>
      </c>
      <c r="C22" s="353">
        <v>7931</v>
      </c>
      <c r="D22" s="353">
        <v>7731</v>
      </c>
      <c r="E22" s="353">
        <v>9228</v>
      </c>
      <c r="F22" s="466">
        <v>8802</v>
      </c>
      <c r="G22" s="353">
        <v>918</v>
      </c>
      <c r="H22" s="353">
        <v>584</v>
      </c>
      <c r="I22" s="353">
        <v>1323</v>
      </c>
      <c r="J22" s="466">
        <v>758</v>
      </c>
      <c r="K22" s="353">
        <v>454</v>
      </c>
      <c r="L22" s="353">
        <v>181</v>
      </c>
      <c r="M22" s="353">
        <v>269</v>
      </c>
      <c r="N22" s="466">
        <v>320</v>
      </c>
      <c r="O22" s="353">
        <v>1169</v>
      </c>
      <c r="P22" s="353">
        <v>814</v>
      </c>
      <c r="Q22" s="353">
        <v>897</v>
      </c>
      <c r="R22" s="466">
        <v>181</v>
      </c>
      <c r="S22" s="353">
        <v>237</v>
      </c>
      <c r="T22" s="353">
        <v>581</v>
      </c>
      <c r="U22" s="353">
        <v>652</v>
      </c>
      <c r="V22" s="466">
        <v>305</v>
      </c>
      <c r="W22" s="353">
        <v>734</v>
      </c>
      <c r="X22" s="353">
        <v>396</v>
      </c>
      <c r="Y22" s="353"/>
      <c r="Z22" s="466">
        <v>135</v>
      </c>
      <c r="AA22" s="352">
        <f>+W22+S22+O22+K22+G22+C22</f>
        <v>11443</v>
      </c>
      <c r="AB22" s="353">
        <f>+X22+T22+P22+L22+H22+D22</f>
        <v>10287</v>
      </c>
      <c r="AC22" s="353">
        <f>+Y22+U22+Q22+M22+I22+E22</f>
        <v>12369</v>
      </c>
      <c r="AD22" s="466">
        <f>+Z22+V22+R22+N22+J22+F22</f>
        <v>10501</v>
      </c>
    </row>
    <row r="23" spans="1:30" s="481" customFormat="1" ht="22.5" customHeight="1">
      <c r="A23" s="475" t="s">
        <v>931</v>
      </c>
      <c r="B23" s="954"/>
      <c r="C23" s="473">
        <v>61146</v>
      </c>
      <c r="D23" s="473">
        <v>62921</v>
      </c>
      <c r="E23" s="473">
        <f>+E14+E18+E21+E22</f>
        <v>64255</v>
      </c>
      <c r="F23" s="474">
        <f>+F14+F18+F21+F22</f>
        <v>52139</v>
      </c>
      <c r="G23" s="473">
        <v>9155</v>
      </c>
      <c r="H23" s="473">
        <v>5598</v>
      </c>
      <c r="I23" s="473">
        <f t="shared" ref="I23" si="25">+I14+I18+I21+I22</f>
        <v>8065</v>
      </c>
      <c r="J23" s="474">
        <f t="shared" ref="J23:AD23" si="26">+J14+J18+J21+J22</f>
        <v>3221</v>
      </c>
      <c r="K23" s="473">
        <v>2633</v>
      </c>
      <c r="L23" s="473">
        <f t="shared" ref="L23:M23" si="27">+L14+L18+L21+L22</f>
        <v>1980</v>
      </c>
      <c r="M23" s="473">
        <f t="shared" si="27"/>
        <v>2356</v>
      </c>
      <c r="N23" s="474">
        <f t="shared" si="26"/>
        <v>1252</v>
      </c>
      <c r="O23" s="473">
        <v>10959</v>
      </c>
      <c r="P23" s="473">
        <v>8415</v>
      </c>
      <c r="Q23" s="473">
        <f t="shared" ref="Q23" si="28">+Q14+Q18+Q21+Q22</f>
        <v>8127</v>
      </c>
      <c r="R23" s="474">
        <f t="shared" si="26"/>
        <v>1715</v>
      </c>
      <c r="S23" s="473">
        <v>2554</v>
      </c>
      <c r="T23" s="473">
        <v>3102</v>
      </c>
      <c r="U23" s="473">
        <f t="shared" ref="U23" si="29">+U14+U18+U21+U22</f>
        <v>4494</v>
      </c>
      <c r="V23" s="474">
        <f t="shared" si="26"/>
        <v>3332</v>
      </c>
      <c r="W23" s="473">
        <v>873</v>
      </c>
      <c r="X23" s="473">
        <v>729</v>
      </c>
      <c r="Y23" s="473">
        <f t="shared" ref="Y23" si="30">+Y14+Y18+Y21+Y22</f>
        <v>0</v>
      </c>
      <c r="Z23" s="474">
        <f t="shared" si="26"/>
        <v>213</v>
      </c>
      <c r="AA23" s="473">
        <f t="shared" si="26"/>
        <v>87320</v>
      </c>
      <c r="AB23" s="473">
        <f t="shared" si="26"/>
        <v>82745</v>
      </c>
      <c r="AC23" s="473">
        <f t="shared" si="26"/>
        <v>87297</v>
      </c>
      <c r="AD23" s="474">
        <f t="shared" si="26"/>
        <v>61872</v>
      </c>
    </row>
    <row r="24" spans="1:30" s="481" customFormat="1" ht="22.5" customHeight="1">
      <c r="A24" s="465" t="s">
        <v>932</v>
      </c>
      <c r="B24" s="293" t="s">
        <v>1325</v>
      </c>
      <c r="C24" s="353">
        <v>15091</v>
      </c>
      <c r="D24" s="353">
        <v>14954</v>
      </c>
      <c r="E24" s="353">
        <v>16182</v>
      </c>
      <c r="F24" s="466">
        <v>7564</v>
      </c>
      <c r="G24" s="353">
        <v>1638</v>
      </c>
      <c r="H24" s="353">
        <v>1319</v>
      </c>
      <c r="I24" s="353">
        <v>960</v>
      </c>
      <c r="J24" s="466">
        <v>634</v>
      </c>
      <c r="K24" s="353">
        <v>875</v>
      </c>
      <c r="L24" s="353">
        <v>900</v>
      </c>
      <c r="M24" s="353">
        <v>1301</v>
      </c>
      <c r="N24" s="466">
        <v>805</v>
      </c>
      <c r="O24" s="353">
        <v>3717</v>
      </c>
      <c r="P24" s="353">
        <v>3132</v>
      </c>
      <c r="Q24" s="353">
        <v>2838</v>
      </c>
      <c r="R24" s="466">
        <v>790</v>
      </c>
      <c r="S24" s="353">
        <v>974</v>
      </c>
      <c r="T24" s="353">
        <v>1086</v>
      </c>
      <c r="U24" s="353">
        <v>1139</v>
      </c>
      <c r="V24" s="466">
        <v>478</v>
      </c>
      <c r="W24" s="353"/>
      <c r="X24" s="353"/>
      <c r="Y24" s="353"/>
      <c r="Z24" s="466"/>
      <c r="AA24" s="352">
        <f t="shared" ref="AA24:AB30" si="31">+W24+S24+O24+K24+G24+C24</f>
        <v>22295</v>
      </c>
      <c r="AB24" s="353">
        <f t="shared" si="31"/>
        <v>21391</v>
      </c>
      <c r="AC24" s="353">
        <f t="shared" ref="AC24:AD30" si="32">+Y24+U24+Q24+M24+I24+E24</f>
        <v>22420</v>
      </c>
      <c r="AD24" s="466">
        <f t="shared" si="32"/>
        <v>10271</v>
      </c>
    </row>
    <row r="25" spans="1:30" s="481" customFormat="1" ht="22.5" customHeight="1">
      <c r="A25" s="465"/>
      <c r="B25" s="293" t="s">
        <v>1324</v>
      </c>
      <c r="C25" s="353">
        <v>20713</v>
      </c>
      <c r="D25" s="353">
        <v>19189</v>
      </c>
      <c r="E25" s="353">
        <v>21478</v>
      </c>
      <c r="F25" s="466">
        <v>13698</v>
      </c>
      <c r="G25" s="353">
        <v>1249</v>
      </c>
      <c r="H25" s="353">
        <v>1154</v>
      </c>
      <c r="I25" s="353">
        <v>1202</v>
      </c>
      <c r="J25" s="466">
        <v>603</v>
      </c>
      <c r="K25" s="353">
        <v>1402</v>
      </c>
      <c r="L25" s="353">
        <v>1109</v>
      </c>
      <c r="M25" s="353">
        <v>978</v>
      </c>
      <c r="N25" s="466">
        <v>494</v>
      </c>
      <c r="O25" s="353">
        <v>2020</v>
      </c>
      <c r="P25" s="353">
        <v>2082</v>
      </c>
      <c r="Q25" s="353">
        <v>1790</v>
      </c>
      <c r="R25" s="466">
        <v>332</v>
      </c>
      <c r="S25" s="353">
        <v>1540</v>
      </c>
      <c r="T25" s="353">
        <v>1754</v>
      </c>
      <c r="U25" s="353">
        <v>1254</v>
      </c>
      <c r="V25" s="466">
        <v>649</v>
      </c>
      <c r="W25" s="353"/>
      <c r="X25" s="353">
        <v>1</v>
      </c>
      <c r="Y25" s="353"/>
      <c r="Z25" s="466"/>
      <c r="AA25" s="352">
        <f t="shared" si="31"/>
        <v>26924</v>
      </c>
      <c r="AB25" s="353">
        <f t="shared" si="31"/>
        <v>25289</v>
      </c>
      <c r="AC25" s="353">
        <f t="shared" si="32"/>
        <v>26702</v>
      </c>
      <c r="AD25" s="466">
        <f t="shared" si="32"/>
        <v>15776</v>
      </c>
    </row>
    <row r="26" spans="1:30" s="481" customFormat="1" ht="22.5" customHeight="1">
      <c r="A26" s="465"/>
      <c r="B26" s="334" t="s">
        <v>532</v>
      </c>
      <c r="C26" s="353">
        <v>1921</v>
      </c>
      <c r="D26" s="353">
        <v>2243</v>
      </c>
      <c r="E26" s="353">
        <v>2465</v>
      </c>
      <c r="F26" s="466">
        <v>1857</v>
      </c>
      <c r="G26" s="353">
        <v>238</v>
      </c>
      <c r="H26" s="353">
        <v>272</v>
      </c>
      <c r="I26" s="353">
        <v>249</v>
      </c>
      <c r="J26" s="466">
        <v>163</v>
      </c>
      <c r="K26" s="353">
        <v>172</v>
      </c>
      <c r="L26" s="353">
        <v>114</v>
      </c>
      <c r="M26" s="353">
        <v>78</v>
      </c>
      <c r="N26" s="466">
        <v>56</v>
      </c>
      <c r="O26" s="353">
        <v>257</v>
      </c>
      <c r="P26" s="353">
        <v>220</v>
      </c>
      <c r="Q26" s="353">
        <v>192</v>
      </c>
      <c r="R26" s="466">
        <v>37</v>
      </c>
      <c r="S26" s="353">
        <v>126</v>
      </c>
      <c r="T26" s="353">
        <v>150</v>
      </c>
      <c r="U26" s="353">
        <v>134</v>
      </c>
      <c r="V26" s="466">
        <v>63</v>
      </c>
      <c r="W26" s="353"/>
      <c r="X26" s="353"/>
      <c r="Y26" s="353"/>
      <c r="Z26" s="466"/>
      <c r="AA26" s="352">
        <f t="shared" si="31"/>
        <v>2714</v>
      </c>
      <c r="AB26" s="353">
        <f t="shared" si="31"/>
        <v>2999</v>
      </c>
      <c r="AC26" s="353">
        <f t="shared" si="32"/>
        <v>3118</v>
      </c>
      <c r="AD26" s="466">
        <f t="shared" si="32"/>
        <v>2176</v>
      </c>
    </row>
    <row r="27" spans="1:30" s="481" customFormat="1" ht="22.5" customHeight="1">
      <c r="A27" s="465"/>
      <c r="B27" s="293" t="s">
        <v>1500</v>
      </c>
      <c r="C27" s="353">
        <v>1147</v>
      </c>
      <c r="D27" s="353">
        <v>1457</v>
      </c>
      <c r="E27" s="353">
        <v>1976</v>
      </c>
      <c r="F27" s="466">
        <v>229</v>
      </c>
      <c r="G27" s="353"/>
      <c r="H27" s="353"/>
      <c r="I27" s="353"/>
      <c r="J27" s="466"/>
      <c r="K27" s="353"/>
      <c r="L27" s="353"/>
      <c r="M27" s="353"/>
      <c r="N27" s="466"/>
      <c r="O27" s="353"/>
      <c r="P27" s="353"/>
      <c r="Q27" s="353"/>
      <c r="R27" s="466"/>
      <c r="S27" s="353"/>
      <c r="T27" s="353"/>
      <c r="U27" s="353"/>
      <c r="V27" s="466"/>
      <c r="W27" s="353"/>
      <c r="X27" s="353"/>
      <c r="Y27" s="353"/>
      <c r="Z27" s="466"/>
      <c r="AA27" s="352">
        <f t="shared" ref="AA27:AA29" si="33">+W27+S27+O27+K27+G27+C27</f>
        <v>1147</v>
      </c>
      <c r="AB27" s="353">
        <f t="shared" ref="AB27:AB29" si="34">+X27+T27+P27+L27+H27+D27</f>
        <v>1457</v>
      </c>
      <c r="AC27" s="353">
        <f t="shared" si="32"/>
        <v>1976</v>
      </c>
      <c r="AD27" s="466">
        <f t="shared" si="32"/>
        <v>229</v>
      </c>
    </row>
    <row r="28" spans="1:30" s="481" customFormat="1" ht="22.5" customHeight="1">
      <c r="A28" s="465"/>
      <c r="B28" s="293" t="s">
        <v>1191</v>
      </c>
      <c r="C28" s="353">
        <v>86</v>
      </c>
      <c r="D28" s="353"/>
      <c r="E28" s="353"/>
      <c r="F28" s="466"/>
      <c r="G28" s="353"/>
      <c r="H28" s="353"/>
      <c r="I28" s="353"/>
      <c r="J28" s="466"/>
      <c r="K28" s="353"/>
      <c r="L28" s="353"/>
      <c r="M28" s="353"/>
      <c r="N28" s="466"/>
      <c r="O28" s="353"/>
      <c r="P28" s="353"/>
      <c r="Q28" s="353"/>
      <c r="R28" s="466"/>
      <c r="S28" s="353">
        <v>234</v>
      </c>
      <c r="T28" s="353">
        <v>233</v>
      </c>
      <c r="U28" s="353">
        <v>221</v>
      </c>
      <c r="V28" s="466">
        <v>132</v>
      </c>
      <c r="W28" s="353"/>
      <c r="X28" s="353"/>
      <c r="Y28" s="353"/>
      <c r="Z28" s="466"/>
      <c r="AA28" s="352">
        <f t="shared" si="33"/>
        <v>320</v>
      </c>
      <c r="AB28" s="353">
        <f t="shared" si="34"/>
        <v>233</v>
      </c>
      <c r="AC28" s="353">
        <f t="shared" si="32"/>
        <v>221</v>
      </c>
      <c r="AD28" s="466">
        <f t="shared" si="32"/>
        <v>132</v>
      </c>
    </row>
    <row r="29" spans="1:30" s="481" customFormat="1" ht="22.5" customHeight="1">
      <c r="A29" s="465"/>
      <c r="B29" s="293" t="s">
        <v>1499</v>
      </c>
      <c r="C29" s="353">
        <v>205</v>
      </c>
      <c r="D29" s="353">
        <v>63</v>
      </c>
      <c r="E29" s="353">
        <v>247</v>
      </c>
      <c r="F29" s="466"/>
      <c r="G29" s="353">
        <v>583</v>
      </c>
      <c r="H29" s="353">
        <v>1712</v>
      </c>
      <c r="I29" s="353">
        <v>2126</v>
      </c>
      <c r="J29" s="466">
        <v>1406</v>
      </c>
      <c r="K29" s="353"/>
      <c r="L29" s="353"/>
      <c r="M29" s="353"/>
      <c r="N29" s="466"/>
      <c r="O29" s="353"/>
      <c r="P29" s="353"/>
      <c r="Q29" s="353"/>
      <c r="R29" s="466"/>
      <c r="S29" s="353">
        <v>204</v>
      </c>
      <c r="T29" s="353">
        <v>338</v>
      </c>
      <c r="U29" s="353">
        <v>885</v>
      </c>
      <c r="V29" s="466">
        <v>171</v>
      </c>
      <c r="W29" s="353"/>
      <c r="X29" s="353">
        <v>567</v>
      </c>
      <c r="Y29" s="353"/>
      <c r="Z29" s="466"/>
      <c r="AA29" s="352">
        <f t="shared" si="33"/>
        <v>992</v>
      </c>
      <c r="AB29" s="353">
        <f t="shared" si="34"/>
        <v>2680</v>
      </c>
      <c r="AC29" s="353">
        <f t="shared" si="32"/>
        <v>3258</v>
      </c>
      <c r="AD29" s="466">
        <f t="shared" si="32"/>
        <v>1577</v>
      </c>
    </row>
    <row r="30" spans="1:30" s="481" customFormat="1" ht="22.5" customHeight="1">
      <c r="A30" s="465"/>
      <c r="B30" s="334" t="s">
        <v>812</v>
      </c>
      <c r="C30" s="353">
        <v>4869</v>
      </c>
      <c r="D30" s="353">
        <v>4989</v>
      </c>
      <c r="E30" s="353">
        <v>4714</v>
      </c>
      <c r="F30" s="466">
        <v>3146</v>
      </c>
      <c r="G30" s="353">
        <v>696</v>
      </c>
      <c r="H30" s="353">
        <v>759</v>
      </c>
      <c r="I30" s="353">
        <v>1132</v>
      </c>
      <c r="J30" s="466">
        <v>564</v>
      </c>
      <c r="K30" s="353">
        <v>206</v>
      </c>
      <c r="L30" s="353">
        <v>509</v>
      </c>
      <c r="M30" s="353">
        <v>176</v>
      </c>
      <c r="N30" s="466">
        <v>276</v>
      </c>
      <c r="O30" s="353">
        <v>788</v>
      </c>
      <c r="P30" s="353">
        <v>555</v>
      </c>
      <c r="Q30" s="353">
        <v>573</v>
      </c>
      <c r="R30" s="466">
        <v>149</v>
      </c>
      <c r="S30" s="353">
        <v>360</v>
      </c>
      <c r="T30" s="353">
        <v>374</v>
      </c>
      <c r="U30" s="353">
        <v>348</v>
      </c>
      <c r="V30" s="466">
        <v>165</v>
      </c>
      <c r="W30" s="353"/>
      <c r="X30" s="353"/>
      <c r="Y30" s="353"/>
      <c r="Z30" s="466"/>
      <c r="AA30" s="352">
        <f t="shared" si="31"/>
        <v>6919</v>
      </c>
      <c r="AB30" s="353">
        <f t="shared" si="31"/>
        <v>7186</v>
      </c>
      <c r="AC30" s="353">
        <f t="shared" si="32"/>
        <v>6943</v>
      </c>
      <c r="AD30" s="466">
        <f t="shared" si="32"/>
        <v>4300</v>
      </c>
    </row>
    <row r="31" spans="1:30" s="481" customFormat="1" ht="22.5" customHeight="1">
      <c r="A31" s="465"/>
      <c r="B31" s="334" t="s">
        <v>625</v>
      </c>
      <c r="C31" s="353">
        <v>44032</v>
      </c>
      <c r="D31" s="353">
        <v>42895</v>
      </c>
      <c r="E31" s="353">
        <f>SUM(E24:E30)</f>
        <v>47062</v>
      </c>
      <c r="F31" s="466">
        <f>SUM(F24:F30)</f>
        <v>26494</v>
      </c>
      <c r="G31" s="353">
        <v>4404</v>
      </c>
      <c r="H31" s="353">
        <v>5216</v>
      </c>
      <c r="I31" s="353">
        <f t="shared" ref="I31" si="35">SUM(I24:I30)</f>
        <v>5669</v>
      </c>
      <c r="J31" s="466">
        <f t="shared" ref="J31:AD31" si="36">SUM(J24:J30)</f>
        <v>3370</v>
      </c>
      <c r="K31" s="353">
        <v>2655</v>
      </c>
      <c r="L31" s="353">
        <f t="shared" ref="L31:M31" si="37">SUM(L24:L30)</f>
        <v>2632</v>
      </c>
      <c r="M31" s="353">
        <f t="shared" si="37"/>
        <v>2533</v>
      </c>
      <c r="N31" s="466">
        <f t="shared" si="36"/>
        <v>1631</v>
      </c>
      <c r="O31" s="353">
        <v>6782</v>
      </c>
      <c r="P31" s="353">
        <v>5989</v>
      </c>
      <c r="Q31" s="353">
        <f t="shared" ref="Q31" si="38">SUM(Q24:Q30)</f>
        <v>5393</v>
      </c>
      <c r="R31" s="466">
        <f t="shared" si="36"/>
        <v>1308</v>
      </c>
      <c r="S31" s="353">
        <v>3438</v>
      </c>
      <c r="T31" s="353">
        <v>3935</v>
      </c>
      <c r="U31" s="353">
        <f t="shared" ref="U31" si="39">SUM(U24:U30)</f>
        <v>3981</v>
      </c>
      <c r="V31" s="466">
        <f t="shared" si="36"/>
        <v>1658</v>
      </c>
      <c r="W31" s="353">
        <v>0</v>
      </c>
      <c r="X31" s="353">
        <v>568</v>
      </c>
      <c r="Y31" s="353">
        <f t="shared" ref="Y31" si="40">SUM(Y24:Y30)</f>
        <v>0</v>
      </c>
      <c r="Z31" s="466">
        <f t="shared" si="36"/>
        <v>0</v>
      </c>
      <c r="AA31" s="352">
        <f t="shared" si="36"/>
        <v>61311</v>
      </c>
      <c r="AB31" s="353">
        <f t="shared" si="36"/>
        <v>61235</v>
      </c>
      <c r="AC31" s="353">
        <f t="shared" si="36"/>
        <v>64638</v>
      </c>
      <c r="AD31" s="466">
        <f t="shared" si="36"/>
        <v>34461</v>
      </c>
    </row>
    <row r="32" spans="1:30" s="481" customFormat="1" ht="22.5" customHeight="1">
      <c r="A32" s="465" t="s">
        <v>527</v>
      </c>
      <c r="B32" s="334" t="s">
        <v>813</v>
      </c>
      <c r="C32" s="353">
        <v>11779</v>
      </c>
      <c r="D32" s="353">
        <v>11505</v>
      </c>
      <c r="E32" s="353">
        <v>12001</v>
      </c>
      <c r="F32" s="466">
        <v>8706</v>
      </c>
      <c r="G32" s="353">
        <v>1648</v>
      </c>
      <c r="H32" s="353">
        <v>1058</v>
      </c>
      <c r="I32" s="353">
        <v>871</v>
      </c>
      <c r="J32" s="466">
        <v>391</v>
      </c>
      <c r="K32" s="353">
        <v>702</v>
      </c>
      <c r="L32" s="353">
        <v>206</v>
      </c>
      <c r="M32" s="353">
        <v>360</v>
      </c>
      <c r="N32" s="466">
        <v>956</v>
      </c>
      <c r="O32" s="353">
        <v>1487</v>
      </c>
      <c r="P32" s="353">
        <v>1430</v>
      </c>
      <c r="Q32" s="353">
        <v>1128</v>
      </c>
      <c r="R32" s="466">
        <v>475</v>
      </c>
      <c r="S32" s="353">
        <v>424</v>
      </c>
      <c r="T32" s="353">
        <v>440</v>
      </c>
      <c r="U32" s="353">
        <v>469</v>
      </c>
      <c r="V32" s="466">
        <v>233</v>
      </c>
      <c r="W32" s="353"/>
      <c r="X32" s="353"/>
      <c r="Y32" s="353"/>
      <c r="Z32" s="466"/>
      <c r="AA32" s="352">
        <f>+W32+S32+O32+K32+G32+C32</f>
        <v>16040</v>
      </c>
      <c r="AB32" s="353">
        <f>+X32+T32+P32+L32+H32+D32</f>
        <v>14639</v>
      </c>
      <c r="AC32" s="353">
        <f>+Y32+U32+Q32+M32+I32+E32</f>
        <v>14829</v>
      </c>
      <c r="AD32" s="466">
        <f>+Z32+V32+R32+N32+J32+F32</f>
        <v>10761</v>
      </c>
    </row>
    <row r="33" spans="1:32" s="481" customFormat="1" ht="22.5" customHeight="1">
      <c r="A33" s="465"/>
      <c r="B33" s="293" t="s">
        <v>1455</v>
      </c>
      <c r="C33" s="353">
        <v>968</v>
      </c>
      <c r="D33" s="353">
        <v>2330</v>
      </c>
      <c r="E33" s="353">
        <v>2110</v>
      </c>
      <c r="F33" s="466">
        <v>1651</v>
      </c>
      <c r="G33" s="353">
        <v>367</v>
      </c>
      <c r="H33" s="353">
        <v>446</v>
      </c>
      <c r="I33" s="353">
        <v>275</v>
      </c>
      <c r="J33" s="466">
        <v>92</v>
      </c>
      <c r="K33" s="353">
        <v>56</v>
      </c>
      <c r="L33" s="353">
        <v>71</v>
      </c>
      <c r="M33" s="353">
        <v>11</v>
      </c>
      <c r="N33" s="466">
        <v>198</v>
      </c>
      <c r="O33" s="353">
        <v>15</v>
      </c>
      <c r="P33" s="353">
        <v>76</v>
      </c>
      <c r="Q33" s="353">
        <v>52</v>
      </c>
      <c r="R33" s="466">
        <v>43</v>
      </c>
      <c r="S33" s="353">
        <v>3</v>
      </c>
      <c r="T33" s="353">
        <v>22</v>
      </c>
      <c r="U33" s="353">
        <v>138</v>
      </c>
      <c r="V33" s="466">
        <v>85</v>
      </c>
      <c r="W33" s="353">
        <v>7</v>
      </c>
      <c r="X33" s="353">
        <v>2</v>
      </c>
      <c r="Y33" s="353"/>
      <c r="Z33" s="466"/>
      <c r="AA33" s="352">
        <f>+W33+S33+O33+K33+G33+C33</f>
        <v>1416</v>
      </c>
      <c r="AB33" s="353">
        <f>+X33+T33+P33+L33+H33+D33</f>
        <v>2947</v>
      </c>
      <c r="AC33" s="353">
        <f t="shared" ref="AB33:AD36" si="41">+Y33+U33+Q33+M33+I33+E33</f>
        <v>2586</v>
      </c>
      <c r="AD33" s="466">
        <f>+Z33+V33+R33+N33+J33+F33</f>
        <v>2069</v>
      </c>
    </row>
    <row r="34" spans="1:32" s="481" customFormat="1" ht="22.5" customHeight="1">
      <c r="A34" s="465"/>
      <c r="B34" s="293" t="s">
        <v>1182</v>
      </c>
      <c r="C34" s="353">
        <v>1908</v>
      </c>
      <c r="D34" s="353">
        <v>1914</v>
      </c>
      <c r="E34" s="353">
        <v>2389</v>
      </c>
      <c r="F34" s="466">
        <v>1508</v>
      </c>
      <c r="G34" s="353">
        <v>417</v>
      </c>
      <c r="H34" s="353">
        <v>160</v>
      </c>
      <c r="I34" s="353">
        <v>389</v>
      </c>
      <c r="J34" s="466">
        <v>298</v>
      </c>
      <c r="K34" s="353">
        <v>144</v>
      </c>
      <c r="L34" s="353">
        <v>257</v>
      </c>
      <c r="M34" s="353">
        <v>259</v>
      </c>
      <c r="N34" s="466">
        <v>87</v>
      </c>
      <c r="O34" s="353">
        <v>232</v>
      </c>
      <c r="P34" s="353">
        <v>295</v>
      </c>
      <c r="Q34" s="353">
        <v>225</v>
      </c>
      <c r="R34" s="466">
        <v>171</v>
      </c>
      <c r="S34" s="353">
        <v>22</v>
      </c>
      <c r="T34" s="353">
        <v>25</v>
      </c>
      <c r="U34" s="353">
        <v>20</v>
      </c>
      <c r="V34" s="466">
        <v>14</v>
      </c>
      <c r="W34" s="353">
        <v>415</v>
      </c>
      <c r="X34" s="353">
        <v>271</v>
      </c>
      <c r="Y34" s="353"/>
      <c r="Z34" s="466">
        <v>1</v>
      </c>
      <c r="AA34" s="352">
        <f t="shared" ref="AA34:AA35" si="42">+W34+S34+O34+K34+G34+C34</f>
        <v>3138</v>
      </c>
      <c r="AB34" s="353">
        <f t="shared" si="41"/>
        <v>2922</v>
      </c>
      <c r="AC34" s="353">
        <f t="shared" si="41"/>
        <v>3282</v>
      </c>
      <c r="AD34" s="466">
        <f t="shared" si="41"/>
        <v>2079</v>
      </c>
    </row>
    <row r="35" spans="1:32" s="481" customFormat="1" ht="22.5" customHeight="1">
      <c r="A35" s="465"/>
      <c r="B35" s="293" t="s">
        <v>1237</v>
      </c>
      <c r="C35" s="353">
        <v>0</v>
      </c>
      <c r="D35" s="353"/>
      <c r="E35" s="353">
        <v>93</v>
      </c>
      <c r="F35" s="466">
        <v>29</v>
      </c>
      <c r="G35" s="353">
        <v>14</v>
      </c>
      <c r="H35" s="353"/>
      <c r="I35" s="353">
        <v>32</v>
      </c>
      <c r="J35" s="466">
        <v>55</v>
      </c>
      <c r="K35" s="353">
        <v>0</v>
      </c>
      <c r="L35" s="353"/>
      <c r="M35" s="353"/>
      <c r="N35" s="466"/>
      <c r="O35" s="353">
        <v>0</v>
      </c>
      <c r="P35" s="353"/>
      <c r="Q35" s="353"/>
      <c r="R35" s="466"/>
      <c r="S35" s="353">
        <v>590</v>
      </c>
      <c r="T35" s="353">
        <v>672</v>
      </c>
      <c r="U35" s="353">
        <v>847</v>
      </c>
      <c r="V35" s="466">
        <v>805</v>
      </c>
      <c r="W35" s="353"/>
      <c r="X35" s="353"/>
      <c r="Y35" s="353"/>
      <c r="Z35" s="466"/>
      <c r="AA35" s="352">
        <f t="shared" si="42"/>
        <v>604</v>
      </c>
      <c r="AB35" s="353">
        <f t="shared" si="41"/>
        <v>672</v>
      </c>
      <c r="AC35" s="353">
        <f t="shared" si="41"/>
        <v>972</v>
      </c>
      <c r="AD35" s="466">
        <f t="shared" si="41"/>
        <v>889</v>
      </c>
    </row>
    <row r="36" spans="1:32" s="481" customFormat="1" ht="22.5" customHeight="1">
      <c r="A36" s="465"/>
      <c r="B36" s="334" t="s">
        <v>933</v>
      </c>
      <c r="C36" s="353">
        <v>607</v>
      </c>
      <c r="D36" s="353">
        <v>27</v>
      </c>
      <c r="E36" s="353"/>
      <c r="F36" s="466"/>
      <c r="G36" s="353">
        <v>873</v>
      </c>
      <c r="H36" s="353"/>
      <c r="I36" s="353"/>
      <c r="J36" s="466"/>
      <c r="K36" s="353"/>
      <c r="L36" s="353"/>
      <c r="M36" s="353"/>
      <c r="N36" s="466"/>
      <c r="O36" s="353"/>
      <c r="P36" s="353"/>
      <c r="Q36" s="353"/>
      <c r="R36" s="466"/>
      <c r="S36" s="353">
        <v>269</v>
      </c>
      <c r="T36" s="353"/>
      <c r="U36" s="353"/>
      <c r="V36" s="466"/>
      <c r="W36" s="353"/>
      <c r="X36" s="353"/>
      <c r="Y36" s="353"/>
      <c r="Z36" s="466"/>
      <c r="AA36" s="352">
        <f>+W36+S36+O36+K36+G36+C36</f>
        <v>1749</v>
      </c>
      <c r="AB36" s="353">
        <f t="shared" si="41"/>
        <v>27</v>
      </c>
      <c r="AC36" s="353">
        <f t="shared" si="41"/>
        <v>0</v>
      </c>
      <c r="AD36" s="466">
        <f t="shared" si="41"/>
        <v>0</v>
      </c>
    </row>
    <row r="37" spans="1:32" s="481" customFormat="1" ht="22.5" customHeight="1">
      <c r="A37" s="465"/>
      <c r="B37" s="334" t="s">
        <v>625</v>
      </c>
      <c r="C37" s="353">
        <v>15262</v>
      </c>
      <c r="D37" s="353">
        <v>15776</v>
      </c>
      <c r="E37" s="353">
        <f>SUM(E32:E36)</f>
        <v>16593</v>
      </c>
      <c r="F37" s="466">
        <f>SUM(F32:F36)</f>
        <v>11894</v>
      </c>
      <c r="G37" s="353">
        <v>3319</v>
      </c>
      <c r="H37" s="353">
        <v>1664</v>
      </c>
      <c r="I37" s="353">
        <f t="shared" ref="I37" si="43">SUM(I32:I36)</f>
        <v>1567</v>
      </c>
      <c r="J37" s="466">
        <f t="shared" ref="J37:AD37" si="44">SUM(J32:J36)</f>
        <v>836</v>
      </c>
      <c r="K37" s="353">
        <v>902</v>
      </c>
      <c r="L37" s="353">
        <f t="shared" ref="L37:M37" si="45">SUM(L32:L36)</f>
        <v>534</v>
      </c>
      <c r="M37" s="353">
        <f t="shared" si="45"/>
        <v>630</v>
      </c>
      <c r="N37" s="466">
        <f t="shared" si="44"/>
        <v>1241</v>
      </c>
      <c r="O37" s="353">
        <v>1734</v>
      </c>
      <c r="P37" s="353">
        <v>1801</v>
      </c>
      <c r="Q37" s="353">
        <f t="shared" ref="Q37" si="46">SUM(Q32:Q36)</f>
        <v>1405</v>
      </c>
      <c r="R37" s="466">
        <f t="shared" si="44"/>
        <v>689</v>
      </c>
      <c r="S37" s="353">
        <v>1308</v>
      </c>
      <c r="T37" s="353">
        <v>1159</v>
      </c>
      <c r="U37" s="353">
        <f t="shared" ref="U37" si="47">SUM(U32:U36)</f>
        <v>1474</v>
      </c>
      <c r="V37" s="466">
        <f t="shared" si="44"/>
        <v>1137</v>
      </c>
      <c r="W37" s="353">
        <v>422</v>
      </c>
      <c r="X37" s="353">
        <v>273</v>
      </c>
      <c r="Y37" s="353">
        <f t="shared" ref="Y37" si="48">SUM(Y32:Y36)</f>
        <v>0</v>
      </c>
      <c r="Z37" s="466">
        <f t="shared" si="44"/>
        <v>1</v>
      </c>
      <c r="AA37" s="352">
        <f t="shared" si="44"/>
        <v>22947</v>
      </c>
      <c r="AB37" s="353">
        <f t="shared" si="44"/>
        <v>21207</v>
      </c>
      <c r="AC37" s="353">
        <f t="shared" si="44"/>
        <v>21669</v>
      </c>
      <c r="AD37" s="466">
        <f t="shared" si="44"/>
        <v>15798</v>
      </c>
    </row>
    <row r="38" spans="1:32" s="481" customFormat="1" ht="22.5" customHeight="1">
      <c r="A38" s="465" t="s">
        <v>528</v>
      </c>
      <c r="B38" s="334" t="s">
        <v>629</v>
      </c>
      <c r="C38" s="353">
        <v>9064</v>
      </c>
      <c r="D38" s="353">
        <v>8947</v>
      </c>
      <c r="E38" s="353">
        <v>8799</v>
      </c>
      <c r="F38" s="466">
        <v>6170</v>
      </c>
      <c r="G38" s="353">
        <v>1368</v>
      </c>
      <c r="H38" s="353">
        <v>1075</v>
      </c>
      <c r="I38" s="353">
        <v>1249</v>
      </c>
      <c r="J38" s="466">
        <v>301</v>
      </c>
      <c r="K38" s="353">
        <v>693</v>
      </c>
      <c r="L38" s="353">
        <v>751</v>
      </c>
      <c r="M38" s="353">
        <v>464</v>
      </c>
      <c r="N38" s="466">
        <v>402</v>
      </c>
      <c r="O38" s="353">
        <v>964</v>
      </c>
      <c r="P38" s="353">
        <v>1099</v>
      </c>
      <c r="Q38" s="353">
        <v>1437</v>
      </c>
      <c r="R38" s="466">
        <v>303</v>
      </c>
      <c r="S38" s="353">
        <v>146</v>
      </c>
      <c r="T38" s="353">
        <v>211</v>
      </c>
      <c r="U38" s="353">
        <v>267</v>
      </c>
      <c r="V38" s="466">
        <v>156</v>
      </c>
      <c r="W38" s="353"/>
      <c r="X38" s="353"/>
      <c r="Y38" s="353">
        <v>4</v>
      </c>
      <c r="Z38" s="466"/>
      <c r="AA38" s="352">
        <f t="shared" ref="AA38:AB46" si="49">+W38+S38+O38+K38+G38+C38</f>
        <v>12235</v>
      </c>
      <c r="AB38" s="353">
        <f t="shared" si="49"/>
        <v>12083</v>
      </c>
      <c r="AC38" s="353">
        <f t="shared" ref="AB38:AC46" si="50">+Y38+U38+Q38+M38+I38+E38</f>
        <v>12220</v>
      </c>
      <c r="AD38" s="466">
        <f>+Z38+V38+R38+N38+J38+F38</f>
        <v>7332</v>
      </c>
    </row>
    <row r="39" spans="1:32" s="481" customFormat="1" ht="22.5" customHeight="1">
      <c r="A39" s="465"/>
      <c r="B39" s="334" t="s">
        <v>815</v>
      </c>
      <c r="C39" s="353">
        <v>1408</v>
      </c>
      <c r="D39" s="353">
        <v>1775</v>
      </c>
      <c r="E39" s="353">
        <v>1816</v>
      </c>
      <c r="F39" s="466">
        <v>686</v>
      </c>
      <c r="G39" s="353">
        <v>237</v>
      </c>
      <c r="H39" s="353">
        <v>200</v>
      </c>
      <c r="I39" s="353">
        <v>155</v>
      </c>
      <c r="J39" s="466">
        <v>35</v>
      </c>
      <c r="K39" s="353">
        <v>46</v>
      </c>
      <c r="L39" s="353">
        <v>148</v>
      </c>
      <c r="M39" s="353">
        <v>187</v>
      </c>
      <c r="N39" s="466">
        <v>140</v>
      </c>
      <c r="O39" s="353">
        <v>173</v>
      </c>
      <c r="P39" s="353">
        <v>197</v>
      </c>
      <c r="Q39" s="353">
        <v>177</v>
      </c>
      <c r="R39" s="466">
        <v>73</v>
      </c>
      <c r="S39" s="353">
        <v>65</v>
      </c>
      <c r="T39" s="353">
        <v>63</v>
      </c>
      <c r="U39" s="353">
        <v>53</v>
      </c>
      <c r="V39" s="466">
        <v>28</v>
      </c>
      <c r="W39" s="353">
        <v>22</v>
      </c>
      <c r="X39" s="353"/>
      <c r="Y39" s="353"/>
      <c r="Z39" s="466"/>
      <c r="AA39" s="352">
        <f t="shared" ref="AA39:AC40" si="51">+W39+S39+O39+K39+G39+C39</f>
        <v>1951</v>
      </c>
      <c r="AB39" s="353">
        <f t="shared" si="51"/>
        <v>2383</v>
      </c>
      <c r="AC39" s="353">
        <f t="shared" si="51"/>
        <v>2388</v>
      </c>
      <c r="AD39" s="466">
        <f>+Z39+V39+R39+N39+J39+F39</f>
        <v>962</v>
      </c>
    </row>
    <row r="40" spans="1:32" s="481" customFormat="1" ht="22.5" customHeight="1">
      <c r="A40" s="465"/>
      <c r="B40" s="293" t="s">
        <v>1183</v>
      </c>
      <c r="C40" s="353">
        <v>842</v>
      </c>
      <c r="D40" s="353">
        <v>968</v>
      </c>
      <c r="E40" s="353">
        <v>880</v>
      </c>
      <c r="F40" s="466">
        <v>1013</v>
      </c>
      <c r="G40" s="353">
        <v>135</v>
      </c>
      <c r="H40" s="353">
        <v>82</v>
      </c>
      <c r="I40" s="353">
        <v>75</v>
      </c>
      <c r="J40" s="466">
        <v>32</v>
      </c>
      <c r="K40" s="353">
        <v>44</v>
      </c>
      <c r="L40" s="353">
        <v>71</v>
      </c>
      <c r="M40" s="353">
        <v>21</v>
      </c>
      <c r="N40" s="466">
        <v>25</v>
      </c>
      <c r="O40" s="353">
        <v>83</v>
      </c>
      <c r="P40" s="353">
        <v>137</v>
      </c>
      <c r="Q40" s="353">
        <v>119</v>
      </c>
      <c r="R40" s="466">
        <v>27</v>
      </c>
      <c r="S40" s="353">
        <v>13</v>
      </c>
      <c r="T40" s="353">
        <v>24</v>
      </c>
      <c r="U40" s="353">
        <v>10</v>
      </c>
      <c r="V40" s="466">
        <v>2</v>
      </c>
      <c r="W40" s="353">
        <v>28</v>
      </c>
      <c r="X40" s="353"/>
      <c r="Y40" s="353"/>
      <c r="Z40" s="466"/>
      <c r="AA40" s="352">
        <f t="shared" si="51"/>
        <v>1145</v>
      </c>
      <c r="AB40" s="353">
        <f t="shared" si="51"/>
        <v>1282</v>
      </c>
      <c r="AC40" s="353">
        <f t="shared" si="51"/>
        <v>1105</v>
      </c>
      <c r="AD40" s="466">
        <f>+Z40+V40+R40+N40+J40+F40</f>
        <v>1099</v>
      </c>
    </row>
    <row r="41" spans="1:32" s="481" customFormat="1" ht="22.5" customHeight="1">
      <c r="A41" s="465"/>
      <c r="B41" s="334" t="s">
        <v>625</v>
      </c>
      <c r="C41" s="353">
        <v>11314</v>
      </c>
      <c r="D41" s="353">
        <v>11690</v>
      </c>
      <c r="E41" s="353">
        <f t="shared" ref="E41" si="52">SUM(E38:E40)</f>
        <v>11495</v>
      </c>
      <c r="F41" s="466">
        <f t="shared" ref="F41:AD41" si="53">SUM(F38:F40)</f>
        <v>7869</v>
      </c>
      <c r="G41" s="353">
        <v>1740</v>
      </c>
      <c r="H41" s="353">
        <v>1357</v>
      </c>
      <c r="I41" s="353">
        <f t="shared" ref="I41" si="54">SUM(I38:I40)</f>
        <v>1479</v>
      </c>
      <c r="J41" s="466">
        <f t="shared" si="53"/>
        <v>368</v>
      </c>
      <c r="K41" s="353">
        <v>783</v>
      </c>
      <c r="L41" s="353">
        <f t="shared" ref="L41" si="55">SUM(L38:L40)</f>
        <v>970</v>
      </c>
      <c r="M41" s="353">
        <f t="shared" ref="M41" si="56">SUM(M38:M40)</f>
        <v>672</v>
      </c>
      <c r="N41" s="466">
        <f t="shared" si="53"/>
        <v>567</v>
      </c>
      <c r="O41" s="353">
        <v>1220</v>
      </c>
      <c r="P41" s="353">
        <v>1433</v>
      </c>
      <c r="Q41" s="353">
        <f t="shared" ref="Q41" si="57">SUM(Q38:Q40)</f>
        <v>1733</v>
      </c>
      <c r="R41" s="466">
        <f t="shared" si="53"/>
        <v>403</v>
      </c>
      <c r="S41" s="353">
        <v>224</v>
      </c>
      <c r="T41" s="353">
        <v>298</v>
      </c>
      <c r="U41" s="353">
        <f t="shared" ref="U41" si="58">SUM(U38:U40)</f>
        <v>330</v>
      </c>
      <c r="V41" s="466">
        <f t="shared" si="53"/>
        <v>186</v>
      </c>
      <c r="W41" s="353">
        <v>50</v>
      </c>
      <c r="X41" s="353">
        <v>0</v>
      </c>
      <c r="Y41" s="353">
        <f t="shared" ref="Y41" si="59">SUM(Y38:Y40)</f>
        <v>4</v>
      </c>
      <c r="Z41" s="466">
        <f t="shared" si="53"/>
        <v>0</v>
      </c>
      <c r="AA41" s="352">
        <f t="shared" si="53"/>
        <v>15331</v>
      </c>
      <c r="AB41" s="353">
        <f t="shared" si="53"/>
        <v>15748</v>
      </c>
      <c r="AC41" s="353">
        <f t="shared" si="53"/>
        <v>15713</v>
      </c>
      <c r="AD41" s="466">
        <f t="shared" si="53"/>
        <v>9393</v>
      </c>
      <c r="AE41" s="337"/>
    </row>
    <row r="42" spans="1:32" s="481" customFormat="1" ht="22.5" customHeight="1">
      <c r="A42" s="465" t="s">
        <v>529</v>
      </c>
      <c r="B42" s="334" t="s">
        <v>816</v>
      </c>
      <c r="C42" s="353">
        <v>8236</v>
      </c>
      <c r="D42" s="353">
        <v>8333</v>
      </c>
      <c r="E42" s="353">
        <v>8985</v>
      </c>
      <c r="F42" s="466">
        <v>7893</v>
      </c>
      <c r="G42" s="353">
        <v>250</v>
      </c>
      <c r="H42" s="353">
        <v>306</v>
      </c>
      <c r="I42" s="353">
        <v>631</v>
      </c>
      <c r="J42" s="466">
        <v>263</v>
      </c>
      <c r="K42" s="353">
        <v>908</v>
      </c>
      <c r="L42" s="353">
        <v>582</v>
      </c>
      <c r="M42" s="522">
        <v>369</v>
      </c>
      <c r="N42" s="466">
        <v>181</v>
      </c>
      <c r="O42" s="353">
        <v>1496</v>
      </c>
      <c r="P42" s="353">
        <v>1556</v>
      </c>
      <c r="Q42" s="353">
        <v>1539</v>
      </c>
      <c r="R42" s="466">
        <v>369</v>
      </c>
      <c r="S42" s="353">
        <v>264</v>
      </c>
      <c r="T42" s="353">
        <v>350</v>
      </c>
      <c r="U42" s="353">
        <v>385</v>
      </c>
      <c r="V42" s="466">
        <v>289</v>
      </c>
      <c r="W42" s="353"/>
      <c r="X42" s="353"/>
      <c r="Y42" s="353"/>
      <c r="Z42" s="466"/>
      <c r="AA42" s="352">
        <f t="shared" si="49"/>
        <v>11154</v>
      </c>
      <c r="AB42" s="353">
        <f t="shared" si="49"/>
        <v>11127</v>
      </c>
      <c r="AC42" s="353">
        <f t="shared" si="50"/>
        <v>11909</v>
      </c>
      <c r="AD42" s="466">
        <f>+Z42+V42+R42+N42+J42+F42</f>
        <v>8995</v>
      </c>
      <c r="AE42" s="491"/>
    </row>
    <row r="43" spans="1:32" s="481" customFormat="1" ht="22.5" customHeight="1">
      <c r="A43" s="465" t="s">
        <v>934</v>
      </c>
      <c r="B43" s="334" t="s">
        <v>817</v>
      </c>
      <c r="C43" s="353">
        <v>15694</v>
      </c>
      <c r="D43" s="353">
        <v>15795</v>
      </c>
      <c r="E43" s="353">
        <v>15901</v>
      </c>
      <c r="F43" s="466">
        <v>10611</v>
      </c>
      <c r="G43" s="353">
        <v>1694</v>
      </c>
      <c r="H43" s="353">
        <v>1203</v>
      </c>
      <c r="I43" s="353">
        <v>1338</v>
      </c>
      <c r="J43" s="466">
        <v>469</v>
      </c>
      <c r="K43" s="353">
        <v>36</v>
      </c>
      <c r="L43" s="353">
        <v>14</v>
      </c>
      <c r="M43" s="522">
        <v>10</v>
      </c>
      <c r="N43" s="466">
        <v>2</v>
      </c>
      <c r="O43" s="353">
        <v>2979</v>
      </c>
      <c r="P43" s="353">
        <v>2244</v>
      </c>
      <c r="Q43" s="353">
        <v>2002</v>
      </c>
      <c r="R43" s="466">
        <v>556</v>
      </c>
      <c r="S43" s="353">
        <v>464</v>
      </c>
      <c r="T43" s="353">
        <v>516</v>
      </c>
      <c r="U43" s="353">
        <v>540</v>
      </c>
      <c r="V43" s="466">
        <v>215</v>
      </c>
      <c r="W43" s="353"/>
      <c r="X43" s="353"/>
      <c r="Y43" s="353"/>
      <c r="Z43" s="466"/>
      <c r="AA43" s="352">
        <f t="shared" si="49"/>
        <v>20867</v>
      </c>
      <c r="AB43" s="353">
        <f t="shared" si="49"/>
        <v>19772</v>
      </c>
      <c r="AC43" s="353">
        <f t="shared" si="50"/>
        <v>19791</v>
      </c>
      <c r="AD43" s="466">
        <f>+Z43+V43+R43+N43+J43+F43</f>
        <v>11853</v>
      </c>
      <c r="AE43" s="491"/>
    </row>
    <row r="44" spans="1:32" s="481" customFormat="1" ht="22.5" customHeight="1">
      <c r="A44" s="465"/>
      <c r="B44" s="293" t="s">
        <v>967</v>
      </c>
      <c r="C44" s="353">
        <v>467</v>
      </c>
      <c r="D44" s="353">
        <v>536</v>
      </c>
      <c r="E44" s="353">
        <v>600</v>
      </c>
      <c r="F44" s="466">
        <v>243</v>
      </c>
      <c r="G44" s="353">
        <v>115</v>
      </c>
      <c r="H44" s="353">
        <v>135</v>
      </c>
      <c r="I44" s="353">
        <v>396</v>
      </c>
      <c r="J44" s="466">
        <v>279</v>
      </c>
      <c r="K44" s="353"/>
      <c r="L44" s="353"/>
      <c r="M44" s="522"/>
      <c r="N44" s="466"/>
      <c r="O44" s="353">
        <v>13</v>
      </c>
      <c r="P44" s="353"/>
      <c r="Q44" s="353"/>
      <c r="R44" s="466"/>
      <c r="S44" s="353">
        <v>294</v>
      </c>
      <c r="T44" s="353">
        <v>399</v>
      </c>
      <c r="U44" s="353">
        <v>498</v>
      </c>
      <c r="V44" s="466">
        <v>835</v>
      </c>
      <c r="W44" s="353"/>
      <c r="X44" s="353"/>
      <c r="Y44" s="353"/>
      <c r="Z44" s="466"/>
      <c r="AA44" s="352">
        <f t="shared" ref="AA44" si="60">+W44+S44+O44+K44+G44+C44</f>
        <v>889</v>
      </c>
      <c r="AB44" s="353">
        <f t="shared" ref="AB44" si="61">+X44+T44+P44+L44+H44+D44</f>
        <v>1070</v>
      </c>
      <c r="AC44" s="353">
        <f t="shared" si="50"/>
        <v>1494</v>
      </c>
      <c r="AD44" s="466">
        <f>+Z44+V44+R44+N44+J44+F44</f>
        <v>1357</v>
      </c>
      <c r="AE44" s="491"/>
    </row>
    <row r="45" spans="1:32" s="481" customFormat="1" ht="22.5" customHeight="1">
      <c r="A45" s="465" t="s">
        <v>531</v>
      </c>
      <c r="B45" s="334" t="s">
        <v>818</v>
      </c>
      <c r="C45" s="353">
        <v>10852</v>
      </c>
      <c r="D45" s="353">
        <v>12330</v>
      </c>
      <c r="E45" s="353">
        <v>12405</v>
      </c>
      <c r="F45" s="466">
        <v>13221</v>
      </c>
      <c r="G45" s="353">
        <v>1252</v>
      </c>
      <c r="H45" s="353">
        <v>909</v>
      </c>
      <c r="I45" s="353">
        <v>961</v>
      </c>
      <c r="J45" s="466">
        <v>347</v>
      </c>
      <c r="K45" s="353">
        <v>965</v>
      </c>
      <c r="L45" s="353">
        <v>149</v>
      </c>
      <c r="M45" s="522">
        <v>128</v>
      </c>
      <c r="N45" s="466">
        <v>90</v>
      </c>
      <c r="O45" s="353">
        <v>1265</v>
      </c>
      <c r="P45" s="353">
        <v>1207</v>
      </c>
      <c r="Q45" s="353">
        <v>1302</v>
      </c>
      <c r="R45" s="466">
        <v>359</v>
      </c>
      <c r="S45" s="353">
        <v>227</v>
      </c>
      <c r="T45" s="353">
        <v>482</v>
      </c>
      <c r="U45" s="353">
        <v>570</v>
      </c>
      <c r="V45" s="466">
        <v>476</v>
      </c>
      <c r="W45" s="353">
        <v>102</v>
      </c>
      <c r="X45" s="353"/>
      <c r="Y45" s="353"/>
      <c r="Z45" s="466">
        <v>1</v>
      </c>
      <c r="AA45" s="352">
        <f t="shared" si="49"/>
        <v>14663</v>
      </c>
      <c r="AB45" s="353">
        <f t="shared" si="49"/>
        <v>15077</v>
      </c>
      <c r="AC45" s="353">
        <f t="shared" si="50"/>
        <v>15366</v>
      </c>
      <c r="AD45" s="466">
        <f>+Z45+V45+R45+N45+J45+F45</f>
        <v>14494</v>
      </c>
      <c r="AE45" s="491"/>
    </row>
    <row r="46" spans="1:32" s="481" customFormat="1" ht="22.5" customHeight="1">
      <c r="A46" s="465"/>
      <c r="B46" s="293" t="s">
        <v>1177</v>
      </c>
      <c r="C46" s="353">
        <v>1364</v>
      </c>
      <c r="D46" s="353">
        <v>1838</v>
      </c>
      <c r="E46" s="353">
        <v>1763</v>
      </c>
      <c r="F46" s="466">
        <v>1233</v>
      </c>
      <c r="G46" s="353">
        <v>359</v>
      </c>
      <c r="H46" s="353">
        <v>221</v>
      </c>
      <c r="I46" s="353">
        <v>292</v>
      </c>
      <c r="J46" s="466">
        <v>110</v>
      </c>
      <c r="K46" s="353">
        <v>41</v>
      </c>
      <c r="L46" s="353">
        <v>10</v>
      </c>
      <c r="M46" s="522">
        <v>1</v>
      </c>
      <c r="N46" s="466">
        <v>6</v>
      </c>
      <c r="O46" s="353">
        <v>193</v>
      </c>
      <c r="P46" s="353">
        <v>200</v>
      </c>
      <c r="Q46" s="353">
        <v>193</v>
      </c>
      <c r="R46" s="466">
        <v>88</v>
      </c>
      <c r="S46" s="353">
        <v>10</v>
      </c>
      <c r="T46" s="353">
        <v>70</v>
      </c>
      <c r="U46" s="353">
        <v>44</v>
      </c>
      <c r="V46" s="466">
        <v>39</v>
      </c>
      <c r="W46" s="353"/>
      <c r="X46" s="353"/>
      <c r="Y46" s="353"/>
      <c r="Z46" s="466"/>
      <c r="AA46" s="352">
        <f t="shared" si="49"/>
        <v>1967</v>
      </c>
      <c r="AB46" s="353">
        <f t="shared" si="50"/>
        <v>2339</v>
      </c>
      <c r="AC46" s="353">
        <f t="shared" si="50"/>
        <v>2293</v>
      </c>
      <c r="AD46" s="466">
        <f>+Z46+V46+R46+N46+J46+F46</f>
        <v>1476</v>
      </c>
      <c r="AE46" s="491"/>
    </row>
    <row r="47" spans="1:32" s="481" customFormat="1" ht="22.5" customHeight="1">
      <c r="A47" s="465"/>
      <c r="B47" s="334" t="s">
        <v>625</v>
      </c>
      <c r="C47" s="353">
        <v>10101</v>
      </c>
      <c r="D47" s="353">
        <v>11233</v>
      </c>
      <c r="E47" s="353">
        <f>SUM(E45:E46)</f>
        <v>14168</v>
      </c>
      <c r="F47" s="466">
        <f>SUM(F45:F46)</f>
        <v>14454</v>
      </c>
      <c r="G47" s="353">
        <f t="shared" ref="G47:I47" si="62">SUM(G45:G46)</f>
        <v>1611</v>
      </c>
      <c r="H47" s="353">
        <f t="shared" si="62"/>
        <v>1130</v>
      </c>
      <c r="I47" s="353">
        <f t="shared" si="62"/>
        <v>1253</v>
      </c>
      <c r="J47" s="466">
        <f t="shared" ref="J47:AD47" si="63">SUM(J45:J46)</f>
        <v>457</v>
      </c>
      <c r="K47" s="353">
        <f t="shared" ref="K47" si="64">SUM(K45:K46)</f>
        <v>1006</v>
      </c>
      <c r="L47" s="353">
        <f t="shared" ref="L47:M47" si="65">SUM(L45:L46)</f>
        <v>159</v>
      </c>
      <c r="M47" s="353">
        <f t="shared" si="65"/>
        <v>129</v>
      </c>
      <c r="N47" s="466">
        <f t="shared" si="63"/>
        <v>96</v>
      </c>
      <c r="O47" s="353">
        <f t="shared" ref="O47" si="66">SUM(O45:O46)</f>
        <v>1458</v>
      </c>
      <c r="P47" s="353">
        <f t="shared" ref="P47:Q47" si="67">SUM(P45:P46)</f>
        <v>1407</v>
      </c>
      <c r="Q47" s="353">
        <f t="shared" si="67"/>
        <v>1495</v>
      </c>
      <c r="R47" s="466">
        <f t="shared" si="63"/>
        <v>447</v>
      </c>
      <c r="S47" s="353">
        <f t="shared" ref="S47" si="68">SUM(S45:S46)</f>
        <v>237</v>
      </c>
      <c r="T47" s="353">
        <f t="shared" ref="T47:U47" si="69">SUM(T45:T46)</f>
        <v>552</v>
      </c>
      <c r="U47" s="353">
        <f t="shared" si="69"/>
        <v>614</v>
      </c>
      <c r="V47" s="466">
        <f t="shared" si="63"/>
        <v>515</v>
      </c>
      <c r="W47" s="353">
        <f t="shared" ref="W47" si="70">SUM(W45:W46)</f>
        <v>102</v>
      </c>
      <c r="X47" s="353">
        <f t="shared" ref="X47:Y47" si="71">SUM(X45:X46)</f>
        <v>0</v>
      </c>
      <c r="Y47" s="353">
        <f t="shared" si="71"/>
        <v>0</v>
      </c>
      <c r="Z47" s="466">
        <f t="shared" si="63"/>
        <v>1</v>
      </c>
      <c r="AA47" s="352">
        <f t="shared" si="63"/>
        <v>16630</v>
      </c>
      <c r="AB47" s="353">
        <f t="shared" si="63"/>
        <v>17416</v>
      </c>
      <c r="AC47" s="353">
        <f t="shared" si="63"/>
        <v>17659</v>
      </c>
      <c r="AD47" s="466">
        <f t="shared" si="63"/>
        <v>15970</v>
      </c>
      <c r="AE47" s="491"/>
    </row>
    <row r="48" spans="1:32" s="6" customFormat="1" ht="22.5" customHeight="1">
      <c r="A48" s="475" t="s">
        <v>935</v>
      </c>
      <c r="B48" s="954"/>
      <c r="C48" s="473">
        <f t="shared" ref="C48" si="72">+C31+C37+C41+C42+C43+C47+C44</f>
        <v>105106</v>
      </c>
      <c r="D48" s="473">
        <f>+D31+D37+D41+D42+D43+D47+D44</f>
        <v>106258</v>
      </c>
      <c r="E48" s="473">
        <f>+E31+E37+E41+E42+E43+E47+E44</f>
        <v>114804</v>
      </c>
      <c r="F48" s="474">
        <f>+F31+F37+F41+F42+F43+F47+F44</f>
        <v>79458</v>
      </c>
      <c r="G48" s="473">
        <f t="shared" ref="G48:K48" si="73">+G31+G37+G41+G42+G43+G47+G44</f>
        <v>13133</v>
      </c>
      <c r="H48" s="473">
        <f t="shared" si="73"/>
        <v>11011</v>
      </c>
      <c r="I48" s="473">
        <f t="shared" si="73"/>
        <v>12333</v>
      </c>
      <c r="J48" s="474">
        <f t="shared" si="73"/>
        <v>6042</v>
      </c>
      <c r="K48" s="473">
        <f t="shared" si="73"/>
        <v>6290</v>
      </c>
      <c r="L48" s="473">
        <f>+L31+L37+L41+L42+L43+L47+L44</f>
        <v>4891</v>
      </c>
      <c r="M48" s="473">
        <f t="shared" ref="M48:AD48" si="74">+M31+M37+M41+M42+M43+M47+M44</f>
        <v>4343</v>
      </c>
      <c r="N48" s="474">
        <f t="shared" si="74"/>
        <v>3718</v>
      </c>
      <c r="O48" s="473">
        <f t="shared" si="74"/>
        <v>15682</v>
      </c>
      <c r="P48" s="473">
        <f t="shared" si="74"/>
        <v>14430</v>
      </c>
      <c r="Q48" s="473">
        <f t="shared" si="74"/>
        <v>13567</v>
      </c>
      <c r="R48" s="474">
        <f t="shared" si="74"/>
        <v>3772</v>
      </c>
      <c r="S48" s="473">
        <f t="shared" si="74"/>
        <v>6229</v>
      </c>
      <c r="T48" s="473">
        <f t="shared" si="74"/>
        <v>7209</v>
      </c>
      <c r="U48" s="473">
        <f t="shared" si="74"/>
        <v>7822</v>
      </c>
      <c r="V48" s="474">
        <f t="shared" si="74"/>
        <v>4835</v>
      </c>
      <c r="W48" s="473">
        <f t="shared" si="74"/>
        <v>574</v>
      </c>
      <c r="X48" s="473">
        <f t="shared" si="74"/>
        <v>841</v>
      </c>
      <c r="Y48" s="473">
        <f t="shared" si="74"/>
        <v>4</v>
      </c>
      <c r="Z48" s="474">
        <f t="shared" si="74"/>
        <v>2</v>
      </c>
      <c r="AA48" s="473">
        <f t="shared" si="74"/>
        <v>149129</v>
      </c>
      <c r="AB48" s="473">
        <f t="shared" si="74"/>
        <v>147575</v>
      </c>
      <c r="AC48" s="473">
        <f t="shared" si="74"/>
        <v>152873</v>
      </c>
      <c r="AD48" s="474">
        <f t="shared" si="74"/>
        <v>97827</v>
      </c>
      <c r="AE48" s="337"/>
      <c r="AF48" s="337"/>
    </row>
    <row r="49" spans="1:46" s="481" customFormat="1" ht="22.5" customHeight="1">
      <c r="A49" s="1631" t="s">
        <v>637</v>
      </c>
      <c r="B49" s="1633"/>
      <c r="C49" s="477">
        <f t="shared" ref="C49:AD49" si="75">+C23+C48</f>
        <v>166252</v>
      </c>
      <c r="D49" s="477">
        <f t="shared" si="75"/>
        <v>169179</v>
      </c>
      <c r="E49" s="477">
        <f t="shared" si="75"/>
        <v>179059</v>
      </c>
      <c r="F49" s="478">
        <f t="shared" si="75"/>
        <v>131597</v>
      </c>
      <c r="G49" s="476">
        <f t="shared" si="75"/>
        <v>22288</v>
      </c>
      <c r="H49" s="477">
        <f t="shared" si="75"/>
        <v>16609</v>
      </c>
      <c r="I49" s="477">
        <f t="shared" si="75"/>
        <v>20398</v>
      </c>
      <c r="J49" s="478">
        <f t="shared" si="75"/>
        <v>9263</v>
      </c>
      <c r="K49" s="477">
        <f t="shared" si="75"/>
        <v>8923</v>
      </c>
      <c r="L49" s="477">
        <f t="shared" si="75"/>
        <v>6871</v>
      </c>
      <c r="M49" s="477">
        <f t="shared" si="75"/>
        <v>6699</v>
      </c>
      <c r="N49" s="478">
        <f t="shared" si="75"/>
        <v>4970</v>
      </c>
      <c r="O49" s="476">
        <f t="shared" si="75"/>
        <v>26641</v>
      </c>
      <c r="P49" s="477">
        <f t="shared" si="75"/>
        <v>22845</v>
      </c>
      <c r="Q49" s="477">
        <f t="shared" si="75"/>
        <v>21694</v>
      </c>
      <c r="R49" s="478">
        <f t="shared" si="75"/>
        <v>5487</v>
      </c>
      <c r="S49" s="477">
        <f t="shared" si="75"/>
        <v>8783</v>
      </c>
      <c r="T49" s="477">
        <f t="shared" si="75"/>
        <v>10311</v>
      </c>
      <c r="U49" s="477">
        <f t="shared" si="75"/>
        <v>12316</v>
      </c>
      <c r="V49" s="478">
        <f t="shared" si="75"/>
        <v>8167</v>
      </c>
      <c r="W49" s="477">
        <f t="shared" si="75"/>
        <v>1447</v>
      </c>
      <c r="X49" s="477">
        <f t="shared" si="75"/>
        <v>1570</v>
      </c>
      <c r="Y49" s="477">
        <f t="shared" si="75"/>
        <v>4</v>
      </c>
      <c r="Z49" s="478">
        <f t="shared" si="75"/>
        <v>215</v>
      </c>
      <c r="AA49" s="476">
        <f t="shared" si="75"/>
        <v>236449</v>
      </c>
      <c r="AB49" s="477">
        <f t="shared" si="75"/>
        <v>230320</v>
      </c>
      <c r="AC49" s="477">
        <f t="shared" si="75"/>
        <v>240170</v>
      </c>
      <c r="AD49" s="478">
        <f t="shared" si="75"/>
        <v>159699</v>
      </c>
      <c r="AE49" s="485"/>
      <c r="AF49" s="485"/>
      <c r="AG49" s="485"/>
      <c r="AH49" s="485"/>
      <c r="AI49" s="485"/>
      <c r="AJ49" s="485"/>
      <c r="AK49" s="485"/>
      <c r="AL49" s="485"/>
      <c r="AM49" s="485"/>
      <c r="AN49" s="485"/>
      <c r="AO49" s="485"/>
      <c r="AP49" s="485"/>
      <c r="AQ49" s="485"/>
      <c r="AR49" s="485"/>
      <c r="AS49" s="485"/>
      <c r="AT49" s="485"/>
    </row>
    <row r="50" spans="1:4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row>
    <row r="51" spans="1:46">
      <c r="C51" s="483"/>
      <c r="D51" s="483"/>
      <c r="E51" s="483"/>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row>
    <row r="52" spans="1:46">
      <c r="C52" s="483"/>
      <c r="D52" s="483"/>
      <c r="E52" s="483"/>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row>
    <row r="53" spans="1:46">
      <c r="C53" s="483"/>
      <c r="D53" s="483"/>
      <c r="E53" s="483"/>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row>
    <row r="54" spans="1:46">
      <c r="C54" s="483"/>
      <c r="D54" s="483"/>
      <c r="E54" s="483"/>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row>
    <row r="55" spans="1:46">
      <c r="C55" s="483"/>
      <c r="D55" s="483"/>
      <c r="E55" s="483"/>
      <c r="F55" s="495"/>
      <c r="G55" s="495"/>
      <c r="H55" s="495"/>
      <c r="I55" s="495"/>
      <c r="J55" s="1468"/>
      <c r="K55" s="495"/>
      <c r="L55" s="495"/>
      <c r="M55" s="483"/>
      <c r="N55" s="483"/>
      <c r="O55" s="483"/>
      <c r="P55" s="483"/>
      <c r="Q55" s="483"/>
      <c r="R55" s="483"/>
      <c r="S55" s="483"/>
      <c r="T55" s="483"/>
      <c r="U55" s="483"/>
      <c r="V55" s="483"/>
      <c r="W55" s="483"/>
      <c r="X55" s="483"/>
      <c r="Y55" s="483"/>
      <c r="Z55" s="483"/>
      <c r="AA55" s="483"/>
      <c r="AB55" s="486"/>
      <c r="AC55" s="483"/>
      <c r="AD55" s="483"/>
    </row>
    <row r="56" spans="1:46">
      <c r="C56" s="483"/>
      <c r="D56" s="483"/>
      <c r="E56" s="483"/>
      <c r="F56" s="495"/>
      <c r="G56" s="495"/>
      <c r="H56" s="495"/>
      <c r="I56" s="495"/>
      <c r="J56" s="495"/>
      <c r="K56" s="495"/>
      <c r="L56" s="495"/>
      <c r="M56" s="483"/>
      <c r="N56" s="483"/>
      <c r="O56" s="483"/>
      <c r="P56" s="483"/>
      <c r="Q56" s="483"/>
      <c r="R56" s="483"/>
      <c r="S56" s="483"/>
      <c r="T56" s="483"/>
      <c r="U56" s="483"/>
      <c r="V56" s="483"/>
      <c r="W56" s="483"/>
      <c r="X56" s="483"/>
      <c r="Y56" s="483"/>
      <c r="Z56" s="483"/>
      <c r="AA56" s="483"/>
      <c r="AB56" s="483"/>
      <c r="AC56" s="483"/>
      <c r="AD56" s="483"/>
    </row>
    <row r="57" spans="1:46">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95"/>
      <c r="AA57" s="483"/>
      <c r="AB57" s="483"/>
      <c r="AC57" s="483"/>
      <c r="AD57" s="483"/>
    </row>
    <row r="58" spans="1:46">
      <c r="C58" s="483"/>
      <c r="D58" s="483"/>
      <c r="E58" s="483"/>
      <c r="F58" s="483"/>
      <c r="G58" s="483"/>
      <c r="H58" s="483"/>
      <c r="I58" s="483"/>
      <c r="J58" s="495"/>
      <c r="K58" s="483"/>
      <c r="L58" s="483"/>
      <c r="M58" s="483"/>
      <c r="N58" s="483"/>
      <c r="O58" s="483"/>
      <c r="P58" s="483"/>
      <c r="Q58" s="483"/>
      <c r="R58" s="483"/>
      <c r="S58" s="483"/>
      <c r="T58" s="483"/>
      <c r="U58" s="483"/>
      <c r="V58" s="483"/>
      <c r="W58" s="483"/>
      <c r="X58" s="483"/>
      <c r="Y58" s="483"/>
      <c r="Z58" s="486"/>
      <c r="AA58" s="483"/>
      <c r="AB58" s="483"/>
      <c r="AC58" s="483"/>
      <c r="AD58" s="483"/>
    </row>
    <row r="59" spans="1:46">
      <c r="C59" s="483"/>
      <c r="D59" s="483"/>
      <c r="E59" s="483"/>
      <c r="F59" s="483"/>
      <c r="G59" s="483"/>
      <c r="H59" s="483"/>
      <c r="I59" s="483"/>
      <c r="J59" s="483"/>
      <c r="K59" s="483"/>
      <c r="L59" s="483"/>
      <c r="M59" s="483"/>
      <c r="N59" s="483"/>
      <c r="O59" s="483"/>
      <c r="P59" s="483"/>
      <c r="Q59" s="483"/>
      <c r="R59" s="483"/>
      <c r="S59" s="483"/>
      <c r="T59" s="483"/>
      <c r="U59" s="483"/>
      <c r="V59" s="483"/>
      <c r="W59" s="483"/>
      <c r="X59" s="483"/>
      <c r="Y59" s="483"/>
      <c r="Z59" s="483"/>
      <c r="AA59" s="483"/>
      <c r="AB59" s="483"/>
      <c r="AC59" s="483"/>
      <c r="AD59" s="483"/>
    </row>
    <row r="60" spans="1:46">
      <c r="C60" s="483"/>
      <c r="D60" s="483"/>
      <c r="E60" s="483"/>
      <c r="F60" s="483"/>
      <c r="G60" s="483"/>
      <c r="H60" s="483"/>
      <c r="I60" s="483"/>
      <c r="J60" s="483"/>
      <c r="K60" s="483"/>
      <c r="L60" s="483"/>
      <c r="M60" s="483"/>
      <c r="N60" s="483"/>
      <c r="O60" s="483"/>
      <c r="P60" s="483"/>
      <c r="Q60" s="483"/>
      <c r="R60" s="483"/>
      <c r="S60" s="483"/>
      <c r="T60" s="483"/>
      <c r="U60" s="483"/>
      <c r="V60" s="483"/>
      <c r="W60" s="483"/>
      <c r="X60" s="483"/>
      <c r="Y60" s="483"/>
      <c r="Z60" s="483"/>
      <c r="AA60" s="483"/>
      <c r="AB60" s="483"/>
      <c r="AC60" s="483"/>
      <c r="AD60" s="483"/>
    </row>
    <row r="61" spans="1:46">
      <c r="C61" s="483"/>
      <c r="D61" s="483"/>
      <c r="E61" s="483"/>
      <c r="F61" s="483"/>
      <c r="G61" s="483"/>
      <c r="H61" s="483"/>
      <c r="I61" s="483"/>
      <c r="J61" s="483"/>
      <c r="K61" s="483"/>
      <c r="L61" s="483"/>
      <c r="M61" s="483"/>
      <c r="N61" s="483"/>
      <c r="O61" s="483"/>
      <c r="P61" s="483"/>
      <c r="Q61" s="483"/>
      <c r="R61" s="483"/>
      <c r="S61" s="483"/>
      <c r="T61" s="483"/>
      <c r="U61" s="483"/>
      <c r="V61" s="483"/>
      <c r="W61" s="483"/>
      <c r="X61" s="483"/>
      <c r="Y61" s="483"/>
      <c r="Z61" s="483"/>
      <c r="AA61" s="483"/>
      <c r="AB61" s="483"/>
      <c r="AC61" s="483"/>
      <c r="AD61" s="483"/>
    </row>
    <row r="62" spans="1:46">
      <c r="C62" s="483"/>
      <c r="D62" s="483"/>
      <c r="E62" s="483"/>
      <c r="F62" s="483"/>
      <c r="G62" s="483"/>
      <c r="H62" s="483"/>
      <c r="I62" s="483"/>
      <c r="J62" s="483"/>
      <c r="K62" s="483"/>
      <c r="L62" s="483"/>
      <c r="M62" s="483"/>
      <c r="N62" s="483"/>
      <c r="O62" s="483"/>
      <c r="P62" s="483"/>
      <c r="Q62" s="483"/>
      <c r="R62" s="483"/>
      <c r="S62" s="483"/>
      <c r="T62" s="483"/>
      <c r="U62" s="483"/>
      <c r="V62" s="483"/>
      <c r="W62" s="483"/>
      <c r="X62" s="483"/>
      <c r="Y62" s="483"/>
      <c r="Z62" s="483"/>
      <c r="AA62" s="483"/>
      <c r="AB62" s="483"/>
      <c r="AC62" s="483"/>
      <c r="AD62" s="483"/>
    </row>
    <row r="63" spans="1:46">
      <c r="C63" s="483"/>
      <c r="D63" s="483"/>
      <c r="E63" s="483"/>
      <c r="F63" s="483"/>
      <c r="G63" s="483"/>
      <c r="H63" s="483"/>
      <c r="I63" s="483"/>
      <c r="J63" s="483"/>
      <c r="K63" s="483"/>
      <c r="L63" s="483"/>
      <c r="M63" s="483"/>
      <c r="N63" s="483"/>
      <c r="O63" s="483"/>
      <c r="P63" s="483"/>
      <c r="Q63" s="483"/>
      <c r="R63" s="483"/>
      <c r="S63" s="483"/>
      <c r="T63" s="483"/>
      <c r="U63" s="483"/>
      <c r="V63" s="483"/>
      <c r="W63" s="483"/>
      <c r="X63" s="483"/>
      <c r="Y63" s="483"/>
      <c r="Z63" s="483"/>
      <c r="AA63" s="483"/>
      <c r="AB63" s="483"/>
      <c r="AC63" s="483"/>
      <c r="AD63" s="483"/>
    </row>
    <row r="64" spans="1:46">
      <c r="C64" s="483"/>
      <c r="D64" s="483"/>
      <c r="E64" s="483"/>
      <c r="F64" s="483"/>
      <c r="G64" s="483"/>
      <c r="H64" s="483"/>
      <c r="I64" s="483"/>
      <c r="J64" s="483"/>
      <c r="K64" s="483"/>
      <c r="L64" s="483"/>
      <c r="M64" s="483"/>
      <c r="N64" s="483"/>
      <c r="O64" s="483"/>
      <c r="P64" s="483"/>
      <c r="Q64" s="483"/>
      <c r="R64" s="483"/>
      <c r="S64" s="483"/>
      <c r="T64" s="483"/>
      <c r="U64" s="483"/>
      <c r="V64" s="483"/>
      <c r="W64" s="483"/>
      <c r="X64" s="483"/>
      <c r="Y64" s="483"/>
      <c r="Z64" s="483"/>
      <c r="AA64" s="483"/>
      <c r="AB64" s="483"/>
      <c r="AC64" s="483"/>
      <c r="AD64" s="483"/>
    </row>
    <row r="65" spans="3:30">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83"/>
      <c r="AC65" s="483"/>
      <c r="AD65" s="483"/>
    </row>
    <row r="66" spans="3:30">
      <c r="C66" s="483"/>
      <c r="D66" s="483"/>
      <c r="E66" s="483"/>
      <c r="F66" s="483"/>
      <c r="G66" s="483"/>
      <c r="H66" s="483"/>
      <c r="I66" s="483"/>
      <c r="J66" s="483"/>
      <c r="K66" s="483"/>
      <c r="L66" s="483"/>
      <c r="M66" s="483"/>
      <c r="N66" s="483"/>
      <c r="O66" s="483"/>
      <c r="P66" s="483"/>
      <c r="Q66" s="483"/>
      <c r="R66" s="483"/>
      <c r="S66" s="483"/>
      <c r="T66" s="483"/>
      <c r="U66" s="483"/>
      <c r="V66" s="483"/>
      <c r="W66" s="483"/>
      <c r="X66" s="483"/>
      <c r="Y66" s="483"/>
      <c r="Z66" s="483"/>
      <c r="AA66" s="483"/>
      <c r="AB66" s="483"/>
      <c r="AC66" s="483"/>
      <c r="AD66" s="483"/>
    </row>
    <row r="67" spans="3:30">
      <c r="C67" s="483"/>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3"/>
    </row>
    <row r="68" spans="3:30">
      <c r="C68" s="483"/>
      <c r="D68" s="483"/>
      <c r="E68" s="483"/>
      <c r="F68" s="483"/>
      <c r="G68" s="483"/>
      <c r="H68" s="483"/>
      <c r="I68" s="483"/>
      <c r="J68" s="483"/>
      <c r="K68" s="483"/>
      <c r="L68" s="483"/>
      <c r="M68" s="483"/>
      <c r="N68" s="483"/>
      <c r="O68" s="483"/>
      <c r="P68" s="483"/>
      <c r="Q68" s="483"/>
      <c r="R68" s="483"/>
      <c r="S68" s="483"/>
      <c r="T68" s="483"/>
      <c r="U68" s="483"/>
      <c r="V68" s="483"/>
      <c r="W68" s="483"/>
      <c r="X68" s="483"/>
      <c r="Y68" s="483"/>
      <c r="Z68" s="483"/>
      <c r="AA68" s="483"/>
      <c r="AB68" s="483"/>
      <c r="AC68" s="483"/>
      <c r="AD68" s="483"/>
    </row>
    <row r="69" spans="3:30">
      <c r="C69" s="483"/>
      <c r="D69" s="483"/>
      <c r="E69" s="483"/>
      <c r="F69" s="483"/>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483"/>
    </row>
    <row r="70" spans="3:30">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row>
    <row r="71" spans="3:30">
      <c r="C71" s="483"/>
      <c r="D71" s="483"/>
      <c r="E71" s="483"/>
      <c r="F71" s="483"/>
      <c r="G71" s="483"/>
      <c r="H71" s="483"/>
      <c r="I71" s="483"/>
      <c r="J71" s="483"/>
      <c r="K71" s="483"/>
      <c r="L71" s="483"/>
      <c r="M71" s="483"/>
      <c r="N71" s="483"/>
      <c r="O71" s="483"/>
      <c r="P71" s="483"/>
      <c r="Q71" s="483"/>
      <c r="R71" s="483"/>
      <c r="S71" s="483"/>
      <c r="T71" s="483"/>
      <c r="U71" s="483"/>
      <c r="V71" s="483"/>
      <c r="W71" s="483"/>
      <c r="X71" s="483"/>
      <c r="Y71" s="483"/>
      <c r="Z71" s="483"/>
      <c r="AA71" s="483"/>
      <c r="AB71" s="483"/>
      <c r="AC71" s="483"/>
      <c r="AD71" s="483"/>
    </row>
    <row r="72" spans="3:30">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83"/>
      <c r="AC72" s="483"/>
      <c r="AD72" s="483"/>
    </row>
    <row r="73" spans="3:30">
      <c r="C73" s="483"/>
      <c r="D73" s="483"/>
      <c r="E73" s="483"/>
      <c r="F73" s="483"/>
      <c r="G73" s="483"/>
      <c r="H73" s="483"/>
      <c r="I73" s="483"/>
      <c r="J73" s="483"/>
      <c r="K73" s="483"/>
      <c r="L73" s="483"/>
      <c r="M73" s="483"/>
      <c r="N73" s="483"/>
      <c r="O73" s="483"/>
      <c r="P73" s="483"/>
      <c r="Q73" s="483"/>
      <c r="R73" s="483"/>
      <c r="S73" s="483"/>
      <c r="T73" s="483"/>
      <c r="U73" s="483"/>
      <c r="V73" s="483"/>
      <c r="W73" s="483"/>
      <c r="X73" s="483"/>
      <c r="Y73" s="483"/>
      <c r="Z73" s="483"/>
      <c r="AA73" s="483"/>
      <c r="AB73" s="483"/>
      <c r="AC73" s="483"/>
      <c r="AD73" s="483"/>
    </row>
    <row r="74" spans="3:30">
      <c r="C74" s="483"/>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483"/>
      <c r="AB74" s="483"/>
      <c r="AC74" s="483"/>
      <c r="AD74" s="483"/>
    </row>
    <row r="75" spans="3:30">
      <c r="C75" s="483"/>
      <c r="D75" s="483"/>
      <c r="E75" s="483"/>
      <c r="F75" s="483"/>
      <c r="G75" s="483"/>
      <c r="H75" s="483"/>
      <c r="I75" s="483"/>
      <c r="J75" s="483"/>
      <c r="K75" s="483"/>
      <c r="L75" s="483"/>
      <c r="M75" s="483"/>
      <c r="N75" s="483"/>
      <c r="O75" s="483"/>
      <c r="P75" s="483"/>
      <c r="Q75" s="483"/>
      <c r="R75" s="483"/>
      <c r="S75" s="483"/>
      <c r="T75" s="483"/>
      <c r="U75" s="483"/>
      <c r="V75" s="483"/>
      <c r="W75" s="483"/>
      <c r="X75" s="483"/>
      <c r="Y75" s="483"/>
      <c r="Z75" s="483"/>
      <c r="AA75" s="483"/>
      <c r="AB75" s="483"/>
      <c r="AC75" s="483"/>
      <c r="AD75" s="483"/>
    </row>
    <row r="76" spans="3:30">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83"/>
      <c r="AC76" s="483"/>
      <c r="AD76" s="483"/>
    </row>
    <row r="77" spans="3:30">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row>
    <row r="78" spans="3:30">
      <c r="C78" s="483"/>
      <c r="D78" s="483"/>
      <c r="E78" s="483"/>
      <c r="F78" s="483"/>
      <c r="G78" s="483"/>
      <c r="H78" s="483"/>
      <c r="I78" s="483"/>
      <c r="J78" s="483"/>
      <c r="K78" s="483"/>
      <c r="L78" s="483"/>
      <c r="M78" s="483"/>
      <c r="N78" s="483"/>
      <c r="O78" s="483"/>
      <c r="P78" s="483"/>
      <c r="Q78" s="483"/>
      <c r="R78" s="483"/>
      <c r="S78" s="483"/>
      <c r="T78" s="483"/>
      <c r="U78" s="483"/>
      <c r="V78" s="483"/>
      <c r="W78" s="483"/>
      <c r="X78" s="483"/>
      <c r="Y78" s="483"/>
      <c r="Z78" s="483"/>
      <c r="AA78" s="483"/>
      <c r="AB78" s="483"/>
      <c r="AC78" s="483"/>
      <c r="AD78" s="483"/>
    </row>
    <row r="79" spans="3:30">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row>
    <row r="80" spans="3:30">
      <c r="C80" s="483"/>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row>
    <row r="81" spans="3:30">
      <c r="C81" s="483"/>
      <c r="D81" s="483"/>
      <c r="E81" s="483"/>
      <c r="F81" s="483"/>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row>
    <row r="82" spans="3:30">
      <c r="C82" s="483"/>
      <c r="D82" s="483"/>
      <c r="E82" s="483"/>
      <c r="F82" s="483"/>
      <c r="G82" s="483"/>
      <c r="H82" s="483"/>
      <c r="I82" s="483"/>
      <c r="J82" s="483"/>
      <c r="K82" s="483"/>
      <c r="L82" s="483"/>
      <c r="M82" s="483"/>
      <c r="N82" s="483"/>
      <c r="O82" s="483"/>
      <c r="P82" s="483"/>
      <c r="Q82" s="483"/>
      <c r="R82" s="483"/>
      <c r="S82" s="483"/>
      <c r="T82" s="483"/>
      <c r="U82" s="483"/>
      <c r="V82" s="483"/>
      <c r="W82" s="483"/>
      <c r="X82" s="483"/>
      <c r="Y82" s="483"/>
      <c r="Z82" s="483"/>
      <c r="AA82" s="483"/>
      <c r="AB82" s="483"/>
      <c r="AC82" s="483"/>
      <c r="AD82" s="483"/>
    </row>
    <row r="83" spans="3:30">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83"/>
      <c r="AC83" s="483"/>
      <c r="AD83" s="483"/>
    </row>
    <row r="84" spans="3:30">
      <c r="C84" s="483"/>
      <c r="D84" s="483"/>
      <c r="E84" s="483"/>
      <c r="F84" s="483"/>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row>
    <row r="85" spans="3:30">
      <c r="C85" s="483"/>
      <c r="D85" s="483"/>
      <c r="E85" s="483"/>
      <c r="F85" s="483"/>
      <c r="G85" s="483"/>
      <c r="H85" s="483"/>
      <c r="I85" s="483"/>
      <c r="J85" s="483"/>
      <c r="K85" s="483"/>
      <c r="L85" s="483"/>
      <c r="M85" s="483"/>
      <c r="N85" s="483"/>
      <c r="O85" s="483"/>
      <c r="P85" s="483"/>
      <c r="Q85" s="483"/>
      <c r="R85" s="483"/>
      <c r="S85" s="483"/>
      <c r="T85" s="483"/>
      <c r="U85" s="483"/>
      <c r="V85" s="483"/>
      <c r="W85" s="483"/>
      <c r="X85" s="483"/>
      <c r="Y85" s="483"/>
      <c r="Z85" s="483"/>
      <c r="AA85" s="483"/>
      <c r="AB85" s="483"/>
      <c r="AC85" s="483"/>
      <c r="AD85" s="483"/>
    </row>
    <row r="86" spans="3:30">
      <c r="C86" s="483"/>
      <c r="D86" s="483"/>
      <c r="E86" s="483"/>
      <c r="F86" s="483"/>
      <c r="G86" s="483"/>
      <c r="H86" s="483"/>
      <c r="I86" s="483"/>
      <c r="J86" s="483"/>
      <c r="K86" s="483"/>
      <c r="L86" s="483"/>
      <c r="M86" s="483"/>
      <c r="N86" s="483"/>
      <c r="O86" s="483"/>
      <c r="P86" s="483"/>
      <c r="Q86" s="483"/>
      <c r="R86" s="483"/>
      <c r="S86" s="483"/>
      <c r="T86" s="483"/>
      <c r="U86" s="483"/>
      <c r="V86" s="483"/>
      <c r="W86" s="483"/>
      <c r="X86" s="483"/>
      <c r="Y86" s="483"/>
      <c r="Z86" s="483"/>
      <c r="AA86" s="483"/>
      <c r="AB86" s="483"/>
      <c r="AC86" s="483"/>
      <c r="AD86" s="483"/>
    </row>
    <row r="87" spans="3:30">
      <c r="C87" s="483"/>
      <c r="D87" s="483"/>
      <c r="E87" s="483"/>
      <c r="F87" s="483"/>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row>
    <row r="88" spans="3:30">
      <c r="C88" s="483"/>
      <c r="D88" s="483"/>
      <c r="E88" s="483"/>
      <c r="F88" s="483"/>
      <c r="G88" s="483"/>
      <c r="H88" s="483"/>
      <c r="I88" s="483"/>
      <c r="J88" s="483"/>
      <c r="K88" s="483"/>
      <c r="L88" s="483"/>
      <c r="M88" s="483"/>
      <c r="N88" s="483"/>
      <c r="O88" s="483"/>
      <c r="P88" s="483"/>
      <c r="Q88" s="483"/>
      <c r="R88" s="483"/>
      <c r="S88" s="483"/>
      <c r="T88" s="483"/>
      <c r="U88" s="483"/>
      <c r="V88" s="483"/>
      <c r="W88" s="483"/>
      <c r="X88" s="483"/>
      <c r="Y88" s="483"/>
      <c r="Z88" s="483"/>
      <c r="AA88" s="483"/>
      <c r="AB88" s="483"/>
      <c r="AC88" s="483"/>
      <c r="AD88" s="483"/>
    </row>
    <row r="89" spans="3:30">
      <c r="C89" s="483"/>
      <c r="D89" s="483"/>
      <c r="E89" s="483"/>
      <c r="F89" s="483"/>
      <c r="G89" s="483"/>
      <c r="H89" s="483"/>
      <c r="I89" s="483"/>
      <c r="J89" s="483"/>
      <c r="K89" s="483"/>
      <c r="L89" s="483"/>
      <c r="M89" s="483"/>
      <c r="N89" s="483"/>
      <c r="O89" s="483"/>
      <c r="P89" s="483"/>
      <c r="Q89" s="483"/>
      <c r="R89" s="483"/>
      <c r="S89" s="483"/>
      <c r="T89" s="483"/>
      <c r="U89" s="483"/>
      <c r="V89" s="483"/>
      <c r="W89" s="483"/>
      <c r="X89" s="483"/>
      <c r="Y89" s="483"/>
      <c r="Z89" s="483"/>
      <c r="AA89" s="483"/>
      <c r="AB89" s="483"/>
      <c r="AC89" s="483"/>
      <c r="AD89" s="483"/>
    </row>
    <row r="90" spans="3:30">
      <c r="C90" s="483"/>
      <c r="D90" s="483"/>
      <c r="E90" s="483"/>
      <c r="F90" s="483"/>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row>
    <row r="91" spans="3:30">
      <c r="C91" s="483"/>
      <c r="D91" s="483"/>
      <c r="E91" s="483"/>
      <c r="F91" s="483"/>
      <c r="G91" s="483"/>
      <c r="H91" s="483"/>
      <c r="I91" s="483"/>
      <c r="J91" s="483"/>
      <c r="K91" s="483"/>
      <c r="L91" s="483"/>
      <c r="M91" s="483"/>
      <c r="N91" s="483"/>
      <c r="O91" s="483"/>
      <c r="P91" s="483"/>
      <c r="Q91" s="483"/>
      <c r="R91" s="483"/>
      <c r="S91" s="483"/>
      <c r="T91" s="483"/>
      <c r="U91" s="483"/>
      <c r="V91" s="483"/>
      <c r="W91" s="483"/>
      <c r="X91" s="483"/>
      <c r="Y91" s="483"/>
      <c r="Z91" s="483"/>
      <c r="AA91" s="483"/>
      <c r="AB91" s="483"/>
      <c r="AC91" s="483"/>
      <c r="AD91" s="483"/>
    </row>
    <row r="92" spans="3:30">
      <c r="C92" s="483"/>
      <c r="D92" s="483"/>
      <c r="E92" s="483"/>
      <c r="F92" s="483"/>
      <c r="G92" s="483"/>
      <c r="H92" s="483"/>
      <c r="I92" s="483"/>
      <c r="J92" s="483"/>
      <c r="K92" s="483"/>
      <c r="L92" s="483"/>
      <c r="M92" s="483"/>
      <c r="N92" s="483"/>
      <c r="O92" s="483"/>
      <c r="P92" s="483"/>
      <c r="Q92" s="483"/>
      <c r="R92" s="483"/>
      <c r="S92" s="483"/>
      <c r="T92" s="483"/>
      <c r="U92" s="483"/>
      <c r="V92" s="483"/>
      <c r="W92" s="483"/>
      <c r="X92" s="483"/>
      <c r="Y92" s="483"/>
      <c r="Z92" s="483"/>
      <c r="AA92" s="483"/>
      <c r="AB92" s="483"/>
      <c r="AC92" s="483"/>
      <c r="AD92" s="483"/>
    </row>
    <row r="93" spans="3:30">
      <c r="C93" s="483"/>
      <c r="D93" s="483"/>
      <c r="E93" s="483"/>
      <c r="F93" s="483"/>
      <c r="G93" s="483"/>
      <c r="H93" s="483"/>
      <c r="I93" s="483"/>
      <c r="J93" s="483"/>
      <c r="K93" s="483"/>
      <c r="L93" s="483"/>
      <c r="M93" s="483"/>
      <c r="N93" s="483"/>
      <c r="O93" s="483"/>
      <c r="P93" s="483"/>
      <c r="Q93" s="483"/>
      <c r="R93" s="483"/>
      <c r="S93" s="483"/>
      <c r="T93" s="483"/>
      <c r="U93" s="483"/>
      <c r="V93" s="483"/>
      <c r="W93" s="483"/>
      <c r="X93" s="483"/>
      <c r="Y93" s="483"/>
      <c r="Z93" s="483"/>
      <c r="AA93" s="483"/>
      <c r="AB93" s="483"/>
      <c r="AC93" s="483"/>
      <c r="AD93" s="483"/>
    </row>
    <row r="94" spans="3:30">
      <c r="C94" s="483"/>
      <c r="D94" s="483"/>
      <c r="E94" s="483"/>
      <c r="F94" s="483"/>
      <c r="G94" s="483"/>
      <c r="H94" s="483"/>
      <c r="I94" s="483"/>
      <c r="J94" s="483"/>
      <c r="K94" s="483"/>
      <c r="L94" s="483"/>
      <c r="M94" s="483"/>
      <c r="N94" s="483"/>
      <c r="O94" s="483"/>
      <c r="P94" s="483"/>
      <c r="Q94" s="483"/>
      <c r="R94" s="483"/>
      <c r="S94" s="483"/>
      <c r="T94" s="483"/>
      <c r="U94" s="483"/>
      <c r="V94" s="483"/>
      <c r="W94" s="483"/>
      <c r="X94" s="483"/>
      <c r="Y94" s="483"/>
      <c r="Z94" s="483"/>
      <c r="AA94" s="483"/>
      <c r="AB94" s="483"/>
      <c r="AC94" s="483"/>
      <c r="AD94" s="483"/>
    </row>
    <row r="95" spans="3:30">
      <c r="C95" s="483"/>
      <c r="D95" s="483"/>
      <c r="E95" s="483"/>
      <c r="F95" s="483"/>
      <c r="G95" s="483"/>
      <c r="H95" s="483"/>
      <c r="I95" s="483"/>
      <c r="J95" s="483"/>
      <c r="K95" s="483"/>
      <c r="L95" s="483"/>
      <c r="M95" s="483"/>
      <c r="N95" s="483"/>
      <c r="O95" s="483"/>
      <c r="P95" s="483"/>
      <c r="Q95" s="483"/>
      <c r="R95" s="483"/>
      <c r="S95" s="483"/>
      <c r="T95" s="483"/>
      <c r="U95" s="483"/>
      <c r="V95" s="483"/>
      <c r="W95" s="483"/>
      <c r="X95" s="483"/>
      <c r="Y95" s="483"/>
      <c r="Z95" s="483"/>
      <c r="AA95" s="483"/>
      <c r="AB95" s="483"/>
      <c r="AC95" s="483"/>
      <c r="AD95" s="483"/>
    </row>
    <row r="96" spans="3:30">
      <c r="C96" s="483"/>
      <c r="D96" s="483"/>
      <c r="E96" s="483"/>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row>
    <row r="97" spans="3:30">
      <c r="C97" s="483"/>
      <c r="D97" s="483"/>
      <c r="E97" s="483"/>
      <c r="F97" s="483"/>
      <c r="G97" s="483"/>
      <c r="H97" s="483"/>
      <c r="I97" s="483"/>
      <c r="J97" s="483"/>
      <c r="K97" s="483"/>
      <c r="L97" s="483"/>
      <c r="M97" s="483"/>
      <c r="N97" s="483"/>
      <c r="O97" s="483"/>
      <c r="P97" s="483"/>
      <c r="Q97" s="483"/>
      <c r="R97" s="483"/>
      <c r="S97" s="483"/>
      <c r="T97" s="483"/>
      <c r="U97" s="483"/>
      <c r="V97" s="483"/>
      <c r="W97" s="483"/>
      <c r="X97" s="483"/>
      <c r="Y97" s="483"/>
      <c r="Z97" s="483"/>
      <c r="AA97" s="483"/>
      <c r="AB97" s="483"/>
      <c r="AC97" s="483"/>
      <c r="AD97" s="483"/>
    </row>
    <row r="98" spans="3:30">
      <c r="C98" s="483"/>
      <c r="D98" s="483"/>
      <c r="E98" s="483"/>
      <c r="F98" s="483"/>
      <c r="G98" s="483"/>
      <c r="H98" s="483"/>
      <c r="I98" s="483"/>
      <c r="J98" s="483"/>
      <c r="K98" s="483"/>
      <c r="L98" s="483"/>
      <c r="M98" s="483"/>
      <c r="N98" s="483"/>
      <c r="O98" s="483"/>
      <c r="P98" s="483"/>
      <c r="Q98" s="483"/>
      <c r="R98" s="483"/>
      <c r="S98" s="483"/>
      <c r="T98" s="483"/>
      <c r="U98" s="483"/>
      <c r="V98" s="483"/>
      <c r="W98" s="483"/>
      <c r="X98" s="483"/>
      <c r="Y98" s="483"/>
      <c r="Z98" s="483"/>
      <c r="AA98" s="483"/>
      <c r="AB98" s="483"/>
      <c r="AC98" s="483"/>
      <c r="AD98" s="483"/>
    </row>
    <row r="99" spans="3:30">
      <c r="C99" s="483"/>
      <c r="D99" s="483"/>
      <c r="E99" s="483"/>
      <c r="F99" s="483"/>
      <c r="G99" s="483"/>
      <c r="H99" s="483"/>
      <c r="I99" s="483"/>
      <c r="J99" s="483"/>
      <c r="K99" s="483"/>
      <c r="L99" s="483"/>
      <c r="M99" s="483"/>
      <c r="N99" s="483"/>
      <c r="O99" s="483"/>
      <c r="P99" s="483"/>
      <c r="Q99" s="483"/>
      <c r="R99" s="483"/>
      <c r="S99" s="483"/>
      <c r="T99" s="483"/>
      <c r="U99" s="483"/>
      <c r="V99" s="483"/>
      <c r="W99" s="483"/>
      <c r="X99" s="483"/>
      <c r="Y99" s="483"/>
      <c r="Z99" s="483"/>
      <c r="AA99" s="483"/>
      <c r="AB99" s="483"/>
      <c r="AC99" s="483"/>
      <c r="AD99" s="483"/>
    </row>
    <row r="100" spans="3:30">
      <c r="C100" s="483"/>
      <c r="D100" s="483"/>
      <c r="E100" s="483"/>
      <c r="F100" s="483"/>
      <c r="G100" s="483"/>
      <c r="H100" s="483"/>
      <c r="I100" s="483"/>
      <c r="J100" s="483"/>
      <c r="K100" s="483"/>
      <c r="L100" s="483"/>
      <c r="M100" s="483"/>
      <c r="N100" s="483"/>
      <c r="O100" s="483"/>
      <c r="P100" s="483"/>
      <c r="Q100" s="483"/>
      <c r="R100" s="483"/>
      <c r="S100" s="483"/>
      <c r="T100" s="483"/>
      <c r="U100" s="483"/>
      <c r="V100" s="483"/>
      <c r="W100" s="483"/>
      <c r="X100" s="483"/>
      <c r="Y100" s="483"/>
      <c r="Z100" s="483"/>
      <c r="AA100" s="483"/>
      <c r="AB100" s="483"/>
      <c r="AC100" s="483"/>
      <c r="AD100" s="483"/>
    </row>
    <row r="101" spans="3:30">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row>
    <row r="102" spans="3:30">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row>
    <row r="103" spans="3:30">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row>
    <row r="104" spans="3:30">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row>
    <row r="105" spans="3:30">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row>
    <row r="106" spans="3:30">
      <c r="C106" s="483"/>
      <c r="D106" s="483"/>
      <c r="E106" s="483"/>
      <c r="F106" s="483"/>
      <c r="G106" s="483"/>
      <c r="H106" s="483"/>
      <c r="I106" s="483"/>
      <c r="J106" s="483"/>
      <c r="K106" s="483"/>
      <c r="L106" s="483"/>
      <c r="M106" s="483"/>
      <c r="N106" s="483"/>
      <c r="O106" s="483"/>
      <c r="P106" s="483"/>
      <c r="Q106" s="483"/>
      <c r="R106" s="483"/>
      <c r="S106" s="483"/>
      <c r="T106" s="483"/>
      <c r="U106" s="483"/>
      <c r="V106" s="483"/>
      <c r="W106" s="483"/>
      <c r="X106" s="483"/>
      <c r="Y106" s="483"/>
      <c r="Z106" s="483"/>
      <c r="AA106" s="483"/>
      <c r="AB106" s="483"/>
      <c r="AC106" s="483"/>
      <c r="AD106" s="483"/>
    </row>
    <row r="107" spans="3:30">
      <c r="C107" s="483"/>
      <c r="D107" s="483"/>
      <c r="E107" s="483"/>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row>
    <row r="108" spans="3:30">
      <c r="C108" s="483"/>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3"/>
      <c r="AD108" s="483"/>
    </row>
    <row r="109" spans="3:30">
      <c r="C109" s="483"/>
      <c r="D109" s="483"/>
      <c r="E109" s="483"/>
      <c r="F109" s="483"/>
      <c r="G109" s="483"/>
      <c r="H109" s="483"/>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row>
    <row r="110" spans="3:30">
      <c r="C110" s="483"/>
      <c r="D110" s="483"/>
      <c r="E110" s="483"/>
      <c r="F110" s="483"/>
      <c r="G110" s="483"/>
      <c r="H110" s="483"/>
      <c r="I110" s="483"/>
      <c r="J110" s="483"/>
      <c r="K110" s="483"/>
      <c r="L110" s="483"/>
      <c r="M110" s="483"/>
      <c r="N110" s="483"/>
      <c r="O110" s="483"/>
      <c r="P110" s="483"/>
      <c r="Q110" s="483"/>
      <c r="R110" s="483"/>
      <c r="S110" s="483"/>
      <c r="T110" s="483"/>
      <c r="U110" s="483"/>
      <c r="V110" s="483"/>
      <c r="W110" s="483"/>
      <c r="X110" s="483"/>
      <c r="Y110" s="483"/>
      <c r="Z110" s="483"/>
      <c r="AA110" s="483"/>
      <c r="AB110" s="483"/>
      <c r="AC110" s="483"/>
      <c r="AD110" s="483"/>
    </row>
    <row r="111" spans="3:30">
      <c r="C111" s="483"/>
      <c r="D111" s="483"/>
      <c r="E111" s="483"/>
      <c r="F111" s="483"/>
      <c r="G111" s="483"/>
      <c r="H111" s="483"/>
      <c r="I111" s="483"/>
      <c r="J111" s="483"/>
      <c r="K111" s="483"/>
      <c r="L111" s="483"/>
      <c r="M111" s="483"/>
      <c r="N111" s="483"/>
      <c r="O111" s="483"/>
      <c r="P111" s="483"/>
      <c r="Q111" s="483"/>
      <c r="R111" s="483"/>
      <c r="S111" s="483"/>
      <c r="T111" s="483"/>
      <c r="U111" s="483"/>
      <c r="V111" s="483"/>
      <c r="W111" s="483"/>
      <c r="X111" s="483"/>
      <c r="Y111" s="483"/>
      <c r="Z111" s="483"/>
      <c r="AA111" s="483"/>
      <c r="AB111" s="483"/>
      <c r="AC111" s="483"/>
      <c r="AD111" s="483"/>
    </row>
    <row r="112" spans="3:30">
      <c r="C112" s="483"/>
      <c r="D112" s="483"/>
      <c r="E112" s="483"/>
      <c r="F112" s="483"/>
      <c r="G112" s="483"/>
      <c r="H112" s="483"/>
      <c r="I112" s="483"/>
      <c r="J112" s="483"/>
      <c r="K112" s="483"/>
      <c r="L112" s="483"/>
      <c r="M112" s="483"/>
      <c r="N112" s="483"/>
      <c r="O112" s="483"/>
      <c r="P112" s="483"/>
      <c r="Q112" s="483"/>
      <c r="R112" s="483"/>
      <c r="S112" s="483"/>
      <c r="T112" s="483"/>
      <c r="U112" s="483"/>
      <c r="V112" s="483"/>
      <c r="W112" s="483"/>
      <c r="X112" s="483"/>
      <c r="Y112" s="483"/>
      <c r="Z112" s="483"/>
      <c r="AA112" s="483"/>
      <c r="AB112" s="483"/>
      <c r="AC112" s="483"/>
      <c r="AD112" s="483"/>
    </row>
    <row r="113" spans="3:30">
      <c r="C113" s="483"/>
      <c r="D113" s="483"/>
      <c r="E113" s="483"/>
      <c r="F113" s="483"/>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C113" s="483"/>
      <c r="AD113" s="483"/>
    </row>
    <row r="114" spans="3:30">
      <c r="C114" s="483"/>
      <c r="D114" s="483"/>
      <c r="E114" s="483"/>
      <c r="F114" s="483"/>
      <c r="G114" s="483"/>
      <c r="H114" s="483"/>
      <c r="I114" s="483"/>
      <c r="J114" s="483"/>
      <c r="K114" s="483"/>
      <c r="L114" s="483"/>
      <c r="M114" s="483"/>
      <c r="N114" s="483"/>
      <c r="O114" s="483"/>
      <c r="P114" s="483"/>
      <c r="Q114" s="483"/>
      <c r="R114" s="483"/>
      <c r="S114" s="483"/>
      <c r="T114" s="483"/>
      <c r="U114" s="483"/>
      <c r="V114" s="483"/>
      <c r="W114" s="483"/>
      <c r="X114" s="483"/>
      <c r="Y114" s="483"/>
      <c r="Z114" s="483"/>
      <c r="AA114" s="483"/>
      <c r="AB114" s="483"/>
      <c r="AC114" s="483"/>
      <c r="AD114" s="483"/>
    </row>
    <row r="115" spans="3:30">
      <c r="C115" s="483"/>
      <c r="D115" s="483"/>
      <c r="E115" s="483"/>
      <c r="F115" s="483"/>
      <c r="G115" s="483"/>
      <c r="H115" s="483"/>
      <c r="I115" s="483"/>
      <c r="J115" s="483"/>
      <c r="K115" s="483"/>
      <c r="L115" s="483"/>
      <c r="M115" s="483"/>
      <c r="N115" s="483"/>
      <c r="O115" s="483"/>
      <c r="P115" s="483"/>
      <c r="Q115" s="483"/>
      <c r="R115" s="483"/>
      <c r="S115" s="483"/>
      <c r="T115" s="483"/>
      <c r="U115" s="483"/>
      <c r="V115" s="483"/>
      <c r="W115" s="483"/>
      <c r="X115" s="483"/>
      <c r="Y115" s="483"/>
      <c r="Z115" s="483"/>
      <c r="AA115" s="483"/>
      <c r="AB115" s="483"/>
      <c r="AC115" s="483"/>
      <c r="AD115" s="483"/>
    </row>
    <row r="116" spans="3:30">
      <c r="C116" s="483"/>
      <c r="D116" s="483"/>
      <c r="E116" s="483"/>
      <c r="F116" s="483"/>
      <c r="G116" s="483"/>
      <c r="H116" s="483"/>
      <c r="I116" s="483"/>
      <c r="J116" s="483"/>
      <c r="K116" s="483"/>
      <c r="L116" s="483"/>
      <c r="M116" s="483"/>
      <c r="N116" s="483"/>
      <c r="O116" s="483"/>
      <c r="P116" s="483"/>
      <c r="Q116" s="483"/>
      <c r="R116" s="483"/>
      <c r="S116" s="483"/>
      <c r="T116" s="483"/>
      <c r="U116" s="483"/>
      <c r="V116" s="483"/>
      <c r="W116" s="483"/>
      <c r="X116" s="483"/>
      <c r="Y116" s="483"/>
      <c r="Z116" s="483"/>
      <c r="AA116" s="483"/>
      <c r="AB116" s="483"/>
      <c r="AC116" s="483"/>
      <c r="AD116" s="483"/>
    </row>
    <row r="117" spans="3:30">
      <c r="C117" s="483"/>
      <c r="D117" s="483"/>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c r="AA117" s="483"/>
      <c r="AB117" s="483"/>
      <c r="AC117" s="483"/>
      <c r="AD117" s="483"/>
    </row>
    <row r="118" spans="3:30">
      <c r="C118" s="483"/>
      <c r="D118" s="483"/>
      <c r="E118" s="483"/>
      <c r="F118" s="483"/>
      <c r="G118" s="483"/>
      <c r="H118" s="483"/>
      <c r="I118" s="483"/>
      <c r="J118" s="483"/>
      <c r="K118" s="483"/>
      <c r="L118" s="483"/>
      <c r="M118" s="483"/>
      <c r="N118" s="483"/>
      <c r="O118" s="483"/>
      <c r="P118" s="483"/>
      <c r="Q118" s="483"/>
      <c r="R118" s="483"/>
      <c r="S118" s="483"/>
      <c r="T118" s="483"/>
      <c r="U118" s="483"/>
      <c r="V118" s="483"/>
      <c r="W118" s="483"/>
      <c r="X118" s="483"/>
      <c r="Y118" s="483"/>
      <c r="Z118" s="483"/>
      <c r="AA118" s="483"/>
      <c r="AB118" s="483"/>
      <c r="AC118" s="483"/>
      <c r="AD118" s="483"/>
    </row>
    <row r="119" spans="3:30">
      <c r="C119" s="483"/>
      <c r="D119" s="483"/>
      <c r="E119" s="483"/>
      <c r="F119" s="483"/>
      <c r="G119" s="483"/>
      <c r="H119" s="483"/>
      <c r="I119" s="483"/>
      <c r="J119" s="483"/>
      <c r="K119" s="483"/>
      <c r="L119" s="483"/>
      <c r="M119" s="483"/>
      <c r="N119" s="483"/>
      <c r="O119" s="483"/>
      <c r="P119" s="483"/>
      <c r="Q119" s="483"/>
      <c r="R119" s="483"/>
      <c r="S119" s="483"/>
      <c r="T119" s="483"/>
      <c r="U119" s="483"/>
      <c r="V119" s="483"/>
      <c r="W119" s="483"/>
      <c r="X119" s="483"/>
      <c r="Y119" s="483"/>
      <c r="Z119" s="483"/>
      <c r="AA119" s="483"/>
      <c r="AB119" s="483"/>
      <c r="AC119" s="483"/>
      <c r="AD119" s="483"/>
    </row>
    <row r="120" spans="3:30">
      <c r="C120" s="483"/>
      <c r="D120" s="483"/>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row>
    <row r="121" spans="3:30">
      <c r="C121" s="483"/>
      <c r="D121" s="483"/>
      <c r="E121" s="483"/>
      <c r="F121" s="483"/>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row>
    <row r="122" spans="3:30">
      <c r="C122" s="483"/>
      <c r="D122" s="483"/>
      <c r="E122" s="483"/>
      <c r="F122" s="483"/>
      <c r="G122" s="483"/>
      <c r="H122" s="483"/>
      <c r="I122" s="483"/>
      <c r="J122" s="483"/>
      <c r="K122" s="483"/>
      <c r="L122" s="483"/>
      <c r="M122" s="483"/>
      <c r="N122" s="483"/>
      <c r="O122" s="483"/>
      <c r="P122" s="483"/>
      <c r="Q122" s="483"/>
      <c r="R122" s="483"/>
      <c r="S122" s="483"/>
      <c r="T122" s="483"/>
      <c r="U122" s="483"/>
      <c r="V122" s="483"/>
      <c r="W122" s="483"/>
      <c r="X122" s="483"/>
      <c r="Y122" s="483"/>
      <c r="Z122" s="483"/>
      <c r="AA122" s="483"/>
      <c r="AB122" s="483"/>
      <c r="AC122" s="483"/>
      <c r="AD122" s="483"/>
    </row>
    <row r="123" spans="3:30">
      <c r="C123" s="483"/>
      <c r="D123" s="483"/>
      <c r="E123" s="483"/>
      <c r="F123" s="483"/>
      <c r="G123" s="483"/>
      <c r="H123" s="483"/>
      <c r="I123" s="483"/>
      <c r="J123" s="483"/>
      <c r="K123" s="483"/>
      <c r="L123" s="483"/>
      <c r="M123" s="483"/>
      <c r="N123" s="483"/>
      <c r="O123" s="483"/>
      <c r="P123" s="483"/>
      <c r="Q123" s="483"/>
      <c r="R123" s="483"/>
      <c r="S123" s="483"/>
      <c r="T123" s="483"/>
      <c r="U123" s="483"/>
      <c r="V123" s="483"/>
      <c r="W123" s="483"/>
      <c r="X123" s="483"/>
      <c r="Y123" s="483"/>
      <c r="Z123" s="483"/>
      <c r="AA123" s="483"/>
      <c r="AB123" s="483"/>
      <c r="AC123" s="483"/>
      <c r="AD123" s="483"/>
    </row>
    <row r="124" spans="3:30">
      <c r="C124" s="483"/>
      <c r="D124" s="483"/>
      <c r="E124" s="483"/>
      <c r="F124" s="483"/>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row>
    <row r="125" spans="3:30">
      <c r="C125" s="483"/>
      <c r="D125" s="483"/>
      <c r="E125" s="483"/>
      <c r="F125" s="483"/>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483"/>
    </row>
    <row r="126" spans="3:30">
      <c r="C126" s="483"/>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c r="AA126" s="483"/>
      <c r="AB126" s="483"/>
      <c r="AC126" s="483"/>
      <c r="AD126" s="483"/>
    </row>
    <row r="127" spans="3:30">
      <c r="C127" s="483"/>
      <c r="D127" s="483"/>
      <c r="E127" s="483"/>
      <c r="F127" s="483"/>
      <c r="G127" s="483"/>
      <c r="H127" s="483"/>
      <c r="I127" s="483"/>
      <c r="J127" s="483"/>
      <c r="K127" s="483"/>
      <c r="L127" s="483"/>
      <c r="M127" s="483"/>
      <c r="N127" s="483"/>
      <c r="O127" s="483"/>
      <c r="P127" s="483"/>
      <c r="Q127" s="483"/>
      <c r="R127" s="483"/>
      <c r="S127" s="483"/>
      <c r="T127" s="483"/>
      <c r="U127" s="483"/>
      <c r="V127" s="483"/>
      <c r="W127" s="483"/>
      <c r="X127" s="483"/>
      <c r="Y127" s="483"/>
      <c r="Z127" s="483"/>
      <c r="AA127" s="483"/>
      <c r="AB127" s="483"/>
      <c r="AC127" s="483"/>
      <c r="AD127" s="483"/>
    </row>
    <row r="128" spans="3:30">
      <c r="C128" s="483"/>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c r="AA128" s="483"/>
      <c r="AB128" s="483"/>
      <c r="AC128" s="483"/>
      <c r="AD128" s="483"/>
    </row>
    <row r="129" spans="3:30">
      <c r="C129" s="483"/>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c r="AA129" s="483"/>
      <c r="AB129" s="483"/>
      <c r="AC129" s="483"/>
      <c r="AD129" s="483"/>
    </row>
    <row r="130" spans="3:30">
      <c r="C130" s="483"/>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row>
    <row r="131" spans="3:30">
      <c r="C131" s="483"/>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row>
    <row r="132" spans="3:30">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row>
    <row r="133" spans="3:30">
      <c r="C133" s="483"/>
      <c r="D133" s="483"/>
      <c r="E133" s="483"/>
      <c r="F133" s="483"/>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row>
    <row r="134" spans="3:30">
      <c r="C134" s="483"/>
      <c r="D134" s="483"/>
      <c r="E134" s="483"/>
      <c r="F134" s="483"/>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row>
    <row r="135" spans="3:30">
      <c r="C135" s="483"/>
      <c r="D135" s="483"/>
      <c r="E135" s="483"/>
      <c r="F135" s="483"/>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row>
    <row r="136" spans="3:30">
      <c r="C136" s="483"/>
      <c r="D136" s="483"/>
      <c r="E136" s="483"/>
      <c r="F136" s="483"/>
      <c r="G136" s="483"/>
      <c r="H136" s="483"/>
      <c r="I136" s="483"/>
      <c r="J136" s="483"/>
      <c r="K136" s="483"/>
      <c r="L136" s="483"/>
      <c r="M136" s="483"/>
      <c r="N136" s="483"/>
      <c r="O136" s="483"/>
      <c r="P136" s="483"/>
      <c r="Q136" s="483"/>
      <c r="R136" s="483"/>
      <c r="S136" s="483"/>
      <c r="T136" s="483"/>
      <c r="U136" s="483"/>
      <c r="V136" s="483"/>
      <c r="W136" s="483"/>
      <c r="X136" s="483"/>
      <c r="Y136" s="483"/>
      <c r="Z136" s="483"/>
      <c r="AA136" s="483"/>
      <c r="AB136" s="483"/>
      <c r="AC136" s="483"/>
      <c r="AD136" s="483"/>
    </row>
    <row r="137" spans="3:30">
      <c r="C137" s="483"/>
      <c r="D137" s="483"/>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row>
    <row r="138" spans="3:30">
      <c r="C138" s="483"/>
      <c r="D138" s="483"/>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c r="AA138" s="483"/>
      <c r="AB138" s="483"/>
      <c r="AC138" s="483"/>
      <c r="AD138" s="483"/>
    </row>
    <row r="139" spans="3:30">
      <c r="C139" s="483"/>
      <c r="D139" s="483"/>
      <c r="E139" s="483"/>
      <c r="F139" s="483"/>
      <c r="G139" s="483"/>
      <c r="H139" s="483"/>
      <c r="I139" s="483"/>
      <c r="J139" s="483"/>
      <c r="K139" s="483"/>
      <c r="L139" s="483"/>
      <c r="M139" s="483"/>
      <c r="N139" s="483"/>
      <c r="O139" s="483"/>
      <c r="P139" s="483"/>
      <c r="Q139" s="483"/>
      <c r="R139" s="483"/>
      <c r="S139" s="483"/>
      <c r="T139" s="483"/>
      <c r="U139" s="483"/>
      <c r="V139" s="483"/>
      <c r="W139" s="483"/>
      <c r="X139" s="483"/>
      <c r="Y139" s="483"/>
      <c r="Z139" s="483"/>
      <c r="AA139" s="483"/>
      <c r="AB139" s="483"/>
      <c r="AC139" s="483"/>
      <c r="AD139" s="483"/>
    </row>
    <row r="140" spans="3:30">
      <c r="C140" s="483"/>
      <c r="D140" s="483"/>
      <c r="E140" s="483"/>
      <c r="F140" s="483"/>
      <c r="G140" s="483"/>
      <c r="H140" s="483"/>
      <c r="I140" s="483"/>
      <c r="J140" s="483"/>
      <c r="K140" s="483"/>
      <c r="L140" s="483"/>
      <c r="M140" s="483"/>
      <c r="N140" s="483"/>
      <c r="O140" s="483"/>
      <c r="P140" s="483"/>
      <c r="Q140" s="483"/>
      <c r="R140" s="483"/>
      <c r="S140" s="483"/>
      <c r="T140" s="483"/>
      <c r="U140" s="483"/>
      <c r="V140" s="483"/>
      <c r="W140" s="483"/>
      <c r="X140" s="483"/>
      <c r="Y140" s="483"/>
      <c r="Z140" s="483"/>
      <c r="AA140" s="483"/>
      <c r="AB140" s="483"/>
      <c r="AC140" s="483"/>
      <c r="AD140" s="483"/>
    </row>
    <row r="141" spans="3:30">
      <c r="C141" s="483"/>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row>
    <row r="142" spans="3:30">
      <c r="C142" s="483"/>
      <c r="D142" s="483"/>
      <c r="E142" s="483"/>
      <c r="F142" s="483"/>
      <c r="G142" s="483"/>
      <c r="H142" s="483"/>
      <c r="I142" s="483"/>
      <c r="J142" s="483"/>
      <c r="K142" s="483"/>
      <c r="L142" s="483"/>
      <c r="M142" s="483"/>
      <c r="N142" s="483"/>
      <c r="O142" s="483"/>
      <c r="P142" s="483"/>
      <c r="Q142" s="483"/>
      <c r="R142" s="483"/>
      <c r="S142" s="483"/>
      <c r="T142" s="483"/>
      <c r="U142" s="483"/>
      <c r="V142" s="483"/>
      <c r="W142" s="483"/>
      <c r="X142" s="483"/>
      <c r="Y142" s="483"/>
      <c r="Z142" s="483"/>
      <c r="AA142" s="483"/>
      <c r="AB142" s="483"/>
      <c r="AC142" s="483"/>
      <c r="AD142" s="483"/>
    </row>
    <row r="143" spans="3:30">
      <c r="C143" s="483"/>
      <c r="D143" s="483"/>
      <c r="E143" s="483"/>
      <c r="F143" s="483"/>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row>
    <row r="144" spans="3:30">
      <c r="C144" s="483"/>
      <c r="D144" s="483"/>
      <c r="E144" s="483"/>
      <c r="F144" s="483"/>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row>
    <row r="145" spans="3:30">
      <c r="C145" s="483"/>
      <c r="D145" s="483"/>
      <c r="E145" s="483"/>
      <c r="F145" s="483"/>
      <c r="G145" s="483"/>
      <c r="H145" s="483"/>
      <c r="I145" s="483"/>
      <c r="J145" s="483"/>
      <c r="K145" s="483"/>
      <c r="L145" s="483"/>
      <c r="M145" s="483"/>
      <c r="N145" s="483"/>
      <c r="O145" s="483"/>
      <c r="P145" s="483"/>
      <c r="Q145" s="483"/>
      <c r="R145" s="483"/>
      <c r="S145" s="483"/>
      <c r="T145" s="483"/>
      <c r="U145" s="483"/>
      <c r="V145" s="483"/>
      <c r="W145" s="483"/>
      <c r="X145" s="483"/>
      <c r="Y145" s="483"/>
      <c r="Z145" s="483"/>
      <c r="AA145" s="483"/>
      <c r="AB145" s="483"/>
      <c r="AC145" s="483"/>
      <c r="AD145" s="483"/>
    </row>
    <row r="146" spans="3:30">
      <c r="C146" s="483"/>
      <c r="D146" s="483"/>
      <c r="E146" s="483"/>
      <c r="F146" s="483"/>
      <c r="G146" s="483"/>
      <c r="H146" s="483"/>
      <c r="I146" s="483"/>
      <c r="J146" s="483"/>
      <c r="K146" s="483"/>
      <c r="L146" s="483"/>
      <c r="M146" s="483"/>
      <c r="N146" s="483"/>
      <c r="O146" s="483"/>
      <c r="P146" s="483"/>
      <c r="Q146" s="483"/>
      <c r="R146" s="483"/>
      <c r="S146" s="483"/>
      <c r="T146" s="483"/>
      <c r="U146" s="483"/>
      <c r="V146" s="483"/>
      <c r="W146" s="483"/>
      <c r="X146" s="483"/>
      <c r="Y146" s="483"/>
      <c r="Z146" s="483"/>
      <c r="AA146" s="483"/>
      <c r="AB146" s="483"/>
      <c r="AC146" s="483"/>
      <c r="AD146" s="483"/>
    </row>
    <row r="147" spans="3:30">
      <c r="C147" s="483"/>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c r="AA147" s="483"/>
      <c r="AB147" s="483"/>
      <c r="AC147" s="483"/>
      <c r="AD147" s="483"/>
    </row>
    <row r="148" spans="3:30">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3"/>
      <c r="AD148" s="483"/>
    </row>
    <row r="149" spans="3:30">
      <c r="C149" s="483"/>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c r="AA149" s="483"/>
      <c r="AB149" s="483"/>
      <c r="AC149" s="483"/>
      <c r="AD149" s="483"/>
    </row>
    <row r="150" spans="3:30">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3"/>
      <c r="AD150" s="483"/>
    </row>
    <row r="151" spans="3:30">
      <c r="C151" s="483"/>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c r="AA151" s="483"/>
      <c r="AB151" s="483"/>
      <c r="AC151" s="483"/>
      <c r="AD151" s="483"/>
    </row>
    <row r="152" spans="3:30">
      <c r="C152" s="483"/>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c r="AA152" s="483"/>
      <c r="AB152" s="483"/>
      <c r="AC152" s="483"/>
      <c r="AD152" s="483"/>
    </row>
    <row r="153" spans="3:30">
      <c r="C153" s="483"/>
      <c r="D153" s="483"/>
      <c r="E153" s="483"/>
      <c r="F153" s="483"/>
      <c r="G153" s="483"/>
      <c r="H153" s="483"/>
      <c r="I153" s="483"/>
      <c r="J153" s="483"/>
      <c r="K153" s="483"/>
      <c r="L153" s="483"/>
      <c r="M153" s="483"/>
      <c r="N153" s="483"/>
      <c r="O153" s="483"/>
      <c r="P153" s="483"/>
      <c r="Q153" s="483"/>
      <c r="R153" s="483"/>
      <c r="S153" s="483"/>
      <c r="T153" s="483"/>
      <c r="U153" s="483"/>
      <c r="V153" s="483"/>
      <c r="W153" s="483"/>
      <c r="X153" s="483"/>
      <c r="Y153" s="483"/>
      <c r="Z153" s="483"/>
      <c r="AA153" s="483"/>
      <c r="AB153" s="483"/>
      <c r="AC153" s="483"/>
      <c r="AD153" s="483"/>
    </row>
    <row r="154" spans="3:30">
      <c r="C154" s="483"/>
      <c r="D154" s="483"/>
      <c r="E154" s="483"/>
      <c r="F154" s="483"/>
      <c r="G154" s="483"/>
      <c r="H154" s="483"/>
      <c r="I154" s="483"/>
      <c r="J154" s="483"/>
      <c r="K154" s="483"/>
      <c r="L154" s="483"/>
      <c r="M154" s="483"/>
      <c r="N154" s="483"/>
      <c r="O154" s="483"/>
      <c r="P154" s="483"/>
      <c r="Q154" s="483"/>
      <c r="R154" s="483"/>
      <c r="S154" s="483"/>
      <c r="T154" s="483"/>
      <c r="U154" s="483"/>
      <c r="V154" s="483"/>
      <c r="W154" s="483"/>
      <c r="X154" s="483"/>
      <c r="Y154" s="483"/>
      <c r="Z154" s="483"/>
      <c r="AA154" s="483"/>
      <c r="AB154" s="483"/>
      <c r="AC154" s="483"/>
      <c r="AD154" s="483"/>
    </row>
    <row r="155" spans="3:30">
      <c r="C155" s="483"/>
      <c r="D155" s="483"/>
      <c r="E155" s="483"/>
      <c r="F155" s="483"/>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row>
    <row r="156" spans="3:30">
      <c r="C156" s="483"/>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483"/>
    </row>
    <row r="157" spans="3:30">
      <c r="C157" s="483"/>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3"/>
      <c r="AD157" s="483"/>
    </row>
    <row r="158" spans="3:30">
      <c r="C158" s="483"/>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3"/>
      <c r="AD158" s="483"/>
    </row>
    <row r="159" spans="3:30">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3"/>
      <c r="AD159" s="483"/>
    </row>
    <row r="160" spans="3:30">
      <c r="C160" s="483"/>
      <c r="D160" s="483"/>
      <c r="E160" s="483"/>
      <c r="F160" s="483"/>
      <c r="G160" s="483"/>
      <c r="H160" s="483"/>
      <c r="I160" s="483"/>
      <c r="J160" s="483"/>
      <c r="K160" s="483"/>
      <c r="L160" s="483"/>
      <c r="M160" s="483"/>
      <c r="N160" s="483"/>
      <c r="O160" s="483"/>
      <c r="P160" s="483"/>
      <c r="Q160" s="483"/>
      <c r="R160" s="483"/>
      <c r="S160" s="483"/>
      <c r="T160" s="483"/>
      <c r="U160" s="483"/>
      <c r="V160" s="483"/>
      <c r="W160" s="483"/>
      <c r="X160" s="483"/>
      <c r="Y160" s="483"/>
      <c r="Z160" s="483"/>
      <c r="AA160" s="483"/>
      <c r="AB160" s="483"/>
      <c r="AC160" s="483"/>
      <c r="AD160" s="483"/>
    </row>
    <row r="161" spans="3:30">
      <c r="C161" s="483"/>
      <c r="D161" s="483"/>
      <c r="E161" s="483"/>
      <c r="F161" s="483"/>
      <c r="G161" s="483"/>
      <c r="H161" s="483"/>
      <c r="I161" s="483"/>
      <c r="J161" s="483"/>
      <c r="K161" s="483"/>
      <c r="L161" s="483"/>
      <c r="M161" s="483"/>
      <c r="N161" s="483"/>
      <c r="O161" s="483"/>
      <c r="P161" s="483"/>
      <c r="Q161" s="483"/>
      <c r="R161" s="483"/>
      <c r="S161" s="483"/>
      <c r="T161" s="483"/>
      <c r="U161" s="483"/>
      <c r="V161" s="483"/>
      <c r="W161" s="483"/>
      <c r="X161" s="483"/>
      <c r="Y161" s="483"/>
      <c r="Z161" s="483"/>
      <c r="AA161" s="483"/>
      <c r="AB161" s="483"/>
      <c r="AC161" s="483"/>
      <c r="AD161" s="483"/>
    </row>
    <row r="162" spans="3:30">
      <c r="C162" s="483"/>
      <c r="D162" s="483"/>
      <c r="E162" s="483"/>
      <c r="F162" s="483"/>
      <c r="G162" s="483"/>
      <c r="H162" s="483"/>
      <c r="I162" s="483"/>
      <c r="J162" s="483"/>
      <c r="K162" s="483"/>
      <c r="L162" s="483"/>
      <c r="M162" s="483"/>
      <c r="N162" s="483"/>
      <c r="O162" s="483"/>
      <c r="P162" s="483"/>
      <c r="Q162" s="483"/>
      <c r="R162" s="483"/>
      <c r="S162" s="483"/>
      <c r="T162" s="483"/>
      <c r="U162" s="483"/>
      <c r="V162" s="483"/>
      <c r="W162" s="483"/>
      <c r="X162" s="483"/>
      <c r="Y162" s="483"/>
      <c r="Z162" s="483"/>
      <c r="AA162" s="483"/>
      <c r="AB162" s="483"/>
      <c r="AC162" s="483"/>
      <c r="AD162" s="483"/>
    </row>
    <row r="163" spans="3:30">
      <c r="C163" s="483"/>
      <c r="D163" s="483"/>
      <c r="E163" s="483"/>
      <c r="F163" s="483"/>
      <c r="G163" s="483"/>
      <c r="H163" s="483"/>
      <c r="I163" s="483"/>
      <c r="J163" s="483"/>
      <c r="K163" s="483"/>
      <c r="L163" s="483"/>
      <c r="M163" s="483"/>
      <c r="N163" s="483"/>
      <c r="O163" s="483"/>
      <c r="P163" s="483"/>
      <c r="Q163" s="483"/>
      <c r="R163" s="483"/>
      <c r="S163" s="483"/>
      <c r="T163" s="483"/>
      <c r="U163" s="483"/>
      <c r="V163" s="483"/>
      <c r="W163" s="483"/>
      <c r="X163" s="483"/>
      <c r="Y163" s="483"/>
      <c r="Z163" s="483"/>
      <c r="AA163" s="483"/>
      <c r="AB163" s="483"/>
      <c r="AC163" s="483"/>
      <c r="AD163" s="483"/>
    </row>
    <row r="164" spans="3:30">
      <c r="C164" s="483"/>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row>
    <row r="165" spans="3:30">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3"/>
      <c r="AD165" s="483"/>
    </row>
    <row r="166" spans="3:30">
      <c r="C166" s="483"/>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3"/>
      <c r="AD166" s="483"/>
    </row>
    <row r="167" spans="3:30">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row>
    <row r="168" spans="3:30">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row>
    <row r="169" spans="3:30">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row>
    <row r="170" spans="3:30">
      <c r="C170" s="483"/>
      <c r="D170" s="483"/>
      <c r="E170" s="483"/>
      <c r="F170" s="483"/>
      <c r="G170" s="483"/>
      <c r="H170" s="483"/>
      <c r="I170" s="483"/>
      <c r="J170" s="483"/>
      <c r="K170" s="483"/>
      <c r="L170" s="483"/>
      <c r="M170" s="483"/>
      <c r="N170" s="483"/>
      <c r="O170" s="483"/>
      <c r="P170" s="483"/>
      <c r="Q170" s="483"/>
      <c r="R170" s="483"/>
      <c r="S170" s="483"/>
      <c r="T170" s="483"/>
      <c r="U170" s="483"/>
      <c r="V170" s="483"/>
      <c r="W170" s="483"/>
      <c r="X170" s="483"/>
      <c r="Y170" s="483"/>
      <c r="Z170" s="483"/>
      <c r="AA170" s="483"/>
      <c r="AB170" s="483"/>
      <c r="AC170" s="483"/>
      <c r="AD170" s="483"/>
    </row>
    <row r="171" spans="3:30">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c r="AA171" s="483"/>
      <c r="AB171" s="483"/>
      <c r="AC171" s="483"/>
      <c r="AD171" s="483"/>
    </row>
    <row r="172" spans="3:30">
      <c r="C172" s="483"/>
      <c r="D172" s="483"/>
      <c r="E172" s="483"/>
      <c r="F172" s="483"/>
      <c r="G172" s="483"/>
      <c r="H172" s="483"/>
      <c r="I172" s="483"/>
      <c r="J172" s="483"/>
      <c r="K172" s="483"/>
      <c r="L172" s="483"/>
      <c r="M172" s="483"/>
      <c r="N172" s="483"/>
      <c r="O172" s="483"/>
      <c r="P172" s="483"/>
      <c r="Q172" s="483"/>
      <c r="R172" s="483"/>
      <c r="S172" s="483"/>
      <c r="T172" s="483"/>
      <c r="U172" s="483"/>
      <c r="V172" s="483"/>
      <c r="W172" s="483"/>
      <c r="X172" s="483"/>
      <c r="Y172" s="483"/>
      <c r="Z172" s="483"/>
      <c r="AA172" s="483"/>
      <c r="AB172" s="483"/>
      <c r="AC172" s="483"/>
      <c r="AD172" s="483"/>
    </row>
    <row r="173" spans="3:30">
      <c r="C173" s="483"/>
      <c r="D173" s="483"/>
      <c r="E173" s="483"/>
      <c r="F173" s="483"/>
      <c r="G173" s="483"/>
      <c r="H173" s="483"/>
      <c r="I173" s="483"/>
      <c r="J173" s="483"/>
      <c r="K173" s="483"/>
      <c r="L173" s="483"/>
      <c r="M173" s="483"/>
      <c r="N173" s="483"/>
      <c r="O173" s="483"/>
      <c r="P173" s="483"/>
      <c r="Q173" s="483"/>
      <c r="R173" s="483"/>
      <c r="S173" s="483"/>
      <c r="T173" s="483"/>
      <c r="U173" s="483"/>
      <c r="V173" s="483"/>
      <c r="W173" s="483"/>
      <c r="X173" s="483"/>
      <c r="Y173" s="483"/>
      <c r="Z173" s="483"/>
      <c r="AA173" s="483"/>
      <c r="AB173" s="483"/>
      <c r="AC173" s="483"/>
      <c r="AD173" s="483"/>
    </row>
    <row r="174" spans="3:30">
      <c r="C174" s="483"/>
      <c r="D174" s="483"/>
      <c r="E174" s="483"/>
      <c r="F174" s="483"/>
      <c r="G174" s="483"/>
      <c r="H174" s="483"/>
      <c r="I174" s="483"/>
      <c r="J174" s="483"/>
      <c r="K174" s="483"/>
      <c r="L174" s="483"/>
      <c r="M174" s="483"/>
      <c r="N174" s="483"/>
      <c r="O174" s="483"/>
      <c r="P174" s="483"/>
      <c r="Q174" s="483"/>
      <c r="R174" s="483"/>
      <c r="S174" s="483"/>
      <c r="T174" s="483"/>
      <c r="U174" s="483"/>
      <c r="V174" s="483"/>
      <c r="W174" s="483"/>
      <c r="X174" s="483"/>
      <c r="Y174" s="483"/>
      <c r="Z174" s="483"/>
      <c r="AA174" s="483"/>
      <c r="AB174" s="483"/>
      <c r="AC174" s="483"/>
      <c r="AD174" s="483"/>
    </row>
    <row r="175" spans="3:30">
      <c r="C175" s="483"/>
      <c r="D175" s="483"/>
      <c r="E175" s="483"/>
      <c r="F175" s="483"/>
      <c r="G175" s="483"/>
      <c r="H175" s="483"/>
      <c r="I175" s="483"/>
      <c r="J175" s="483"/>
      <c r="K175" s="483"/>
      <c r="L175" s="483"/>
      <c r="M175" s="483"/>
      <c r="N175" s="483"/>
      <c r="O175" s="483"/>
      <c r="P175" s="483"/>
      <c r="Q175" s="483"/>
      <c r="R175" s="483"/>
      <c r="S175" s="483"/>
      <c r="T175" s="483"/>
      <c r="U175" s="483"/>
      <c r="V175" s="483"/>
      <c r="W175" s="483"/>
      <c r="X175" s="483"/>
      <c r="Y175" s="483"/>
      <c r="Z175" s="483"/>
      <c r="AA175" s="483"/>
      <c r="AB175" s="483"/>
      <c r="AC175" s="483"/>
      <c r="AD175" s="483"/>
    </row>
    <row r="176" spans="3:30">
      <c r="C176" s="483"/>
      <c r="D176" s="483"/>
      <c r="E176" s="483"/>
      <c r="F176" s="483"/>
      <c r="G176" s="483"/>
      <c r="H176" s="483"/>
      <c r="I176" s="483"/>
      <c r="J176" s="483"/>
      <c r="K176" s="483"/>
      <c r="L176" s="483"/>
      <c r="M176" s="483"/>
      <c r="N176" s="483"/>
      <c r="O176" s="483"/>
      <c r="P176" s="483"/>
      <c r="Q176" s="483"/>
      <c r="R176" s="483"/>
      <c r="S176" s="483"/>
      <c r="T176" s="483"/>
      <c r="U176" s="483"/>
      <c r="V176" s="483"/>
      <c r="W176" s="483"/>
      <c r="X176" s="483"/>
      <c r="Y176" s="483"/>
      <c r="Z176" s="483"/>
      <c r="AA176" s="483"/>
      <c r="AB176" s="483"/>
      <c r="AC176" s="483"/>
      <c r="AD176" s="483"/>
    </row>
    <row r="177" spans="3:30">
      <c r="C177" s="483"/>
      <c r="D177" s="483"/>
      <c r="E177" s="483"/>
      <c r="F177" s="483"/>
      <c r="G177" s="483"/>
      <c r="H177" s="483"/>
      <c r="I177" s="483"/>
      <c r="J177" s="483"/>
      <c r="K177" s="483"/>
      <c r="L177" s="483"/>
      <c r="M177" s="483"/>
      <c r="N177" s="483"/>
      <c r="O177" s="483"/>
      <c r="P177" s="483"/>
      <c r="Q177" s="483"/>
      <c r="R177" s="483"/>
      <c r="S177" s="483"/>
      <c r="T177" s="483"/>
      <c r="U177" s="483"/>
      <c r="V177" s="483"/>
      <c r="W177" s="483"/>
      <c r="X177" s="483"/>
      <c r="Y177" s="483"/>
      <c r="Z177" s="483"/>
      <c r="AA177" s="483"/>
      <c r="AB177" s="483"/>
      <c r="AC177" s="483"/>
      <c r="AD177" s="483"/>
    </row>
    <row r="178" spans="3:30">
      <c r="C178" s="483"/>
      <c r="D178" s="483"/>
      <c r="E178" s="483"/>
      <c r="F178" s="483"/>
      <c r="G178" s="483"/>
      <c r="H178" s="483"/>
      <c r="I178" s="483"/>
      <c r="J178" s="483"/>
      <c r="K178" s="483"/>
      <c r="L178" s="483"/>
      <c r="M178" s="483"/>
      <c r="N178" s="483"/>
      <c r="O178" s="483"/>
      <c r="P178" s="483"/>
      <c r="Q178" s="483"/>
      <c r="R178" s="483"/>
      <c r="S178" s="483"/>
      <c r="T178" s="483"/>
      <c r="U178" s="483"/>
      <c r="V178" s="483"/>
      <c r="W178" s="483"/>
      <c r="X178" s="483"/>
      <c r="Y178" s="483"/>
      <c r="Z178" s="483"/>
      <c r="AA178" s="483"/>
      <c r="AB178" s="483"/>
      <c r="AC178" s="483"/>
      <c r="AD178" s="483"/>
    </row>
    <row r="179" spans="3:30">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row>
    <row r="180" spans="3:30">
      <c r="C180" s="483"/>
      <c r="D180" s="483"/>
      <c r="E180" s="483"/>
      <c r="F180" s="483"/>
      <c r="G180" s="483"/>
      <c r="H180" s="483"/>
      <c r="I180" s="483"/>
      <c r="J180" s="483"/>
      <c r="K180" s="483"/>
      <c r="L180" s="483"/>
      <c r="M180" s="483"/>
      <c r="N180" s="483"/>
      <c r="O180" s="483"/>
      <c r="P180" s="483"/>
      <c r="Q180" s="483"/>
      <c r="R180" s="483"/>
      <c r="S180" s="483"/>
      <c r="T180" s="483"/>
      <c r="U180" s="483"/>
      <c r="V180" s="483"/>
      <c r="W180" s="483"/>
      <c r="X180" s="483"/>
      <c r="Y180" s="483"/>
      <c r="Z180" s="483"/>
      <c r="AA180" s="483"/>
      <c r="AB180" s="483"/>
      <c r="AC180" s="483"/>
      <c r="AD180" s="483"/>
    </row>
    <row r="181" spans="3:30">
      <c r="C181" s="483"/>
      <c r="D181" s="483"/>
      <c r="E181" s="483"/>
      <c r="F181" s="483"/>
      <c r="G181" s="483"/>
      <c r="H181" s="483"/>
      <c r="I181" s="483"/>
      <c r="J181" s="483"/>
      <c r="K181" s="483"/>
      <c r="L181" s="483"/>
      <c r="M181" s="483"/>
      <c r="N181" s="483"/>
      <c r="O181" s="483"/>
      <c r="P181" s="483"/>
      <c r="Q181" s="483"/>
      <c r="R181" s="483"/>
      <c r="S181" s="483"/>
      <c r="T181" s="483"/>
      <c r="U181" s="483"/>
      <c r="V181" s="483"/>
      <c r="W181" s="483"/>
      <c r="X181" s="483"/>
      <c r="Y181" s="483"/>
      <c r="Z181" s="483"/>
      <c r="AA181" s="483"/>
      <c r="AB181" s="483"/>
      <c r="AC181" s="483"/>
      <c r="AD181" s="483"/>
    </row>
    <row r="182" spans="3:30">
      <c r="C182" s="483"/>
      <c r="D182" s="483"/>
      <c r="E182" s="483"/>
      <c r="F182" s="483"/>
      <c r="G182" s="483"/>
      <c r="H182" s="483"/>
      <c r="I182" s="483"/>
      <c r="J182" s="483"/>
      <c r="K182" s="483"/>
      <c r="L182" s="483"/>
      <c r="M182" s="483"/>
      <c r="N182" s="483"/>
      <c r="O182" s="483"/>
      <c r="P182" s="483"/>
      <c r="Q182" s="483"/>
      <c r="R182" s="483"/>
      <c r="S182" s="483"/>
      <c r="T182" s="483"/>
      <c r="U182" s="483"/>
      <c r="V182" s="483"/>
      <c r="W182" s="483"/>
      <c r="X182" s="483"/>
      <c r="Y182" s="483"/>
      <c r="Z182" s="483"/>
      <c r="AA182" s="483"/>
      <c r="AB182" s="483"/>
      <c r="AC182" s="483"/>
      <c r="AD182" s="483"/>
    </row>
    <row r="183" spans="3:30">
      <c r="C183" s="483"/>
      <c r="D183" s="483"/>
      <c r="E183" s="483"/>
      <c r="F183" s="483"/>
      <c r="G183" s="483"/>
      <c r="H183" s="483"/>
      <c r="I183" s="483"/>
      <c r="J183" s="483"/>
      <c r="K183" s="483"/>
      <c r="L183" s="483"/>
      <c r="M183" s="483"/>
      <c r="N183" s="483"/>
      <c r="O183" s="483"/>
      <c r="P183" s="483"/>
      <c r="Q183" s="483"/>
      <c r="R183" s="483"/>
      <c r="S183" s="483"/>
      <c r="T183" s="483"/>
      <c r="U183" s="483"/>
      <c r="V183" s="483"/>
      <c r="W183" s="483"/>
      <c r="X183" s="483"/>
      <c r="Y183" s="483"/>
      <c r="Z183" s="483"/>
      <c r="AA183" s="483"/>
      <c r="AB183" s="483"/>
      <c r="AC183" s="483"/>
      <c r="AD183" s="483"/>
    </row>
    <row r="184" spans="3:30">
      <c r="C184" s="483"/>
      <c r="D184" s="483"/>
      <c r="E184" s="483"/>
      <c r="F184" s="483"/>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row>
    <row r="185" spans="3:30">
      <c r="C185" s="483"/>
      <c r="D185" s="483"/>
      <c r="E185" s="483"/>
      <c r="F185" s="483"/>
      <c r="G185" s="483"/>
      <c r="H185" s="483"/>
      <c r="I185" s="483"/>
      <c r="J185" s="483"/>
      <c r="K185" s="483"/>
      <c r="L185" s="483"/>
      <c r="M185" s="483"/>
      <c r="N185" s="483"/>
      <c r="O185" s="483"/>
      <c r="P185" s="483"/>
      <c r="Q185" s="483"/>
      <c r="R185" s="483"/>
      <c r="S185" s="483"/>
      <c r="T185" s="483"/>
      <c r="U185" s="483"/>
      <c r="V185" s="483"/>
      <c r="W185" s="483"/>
      <c r="X185" s="483"/>
      <c r="Y185" s="483"/>
      <c r="Z185" s="483"/>
      <c r="AA185" s="483"/>
      <c r="AB185" s="483"/>
      <c r="AC185" s="483"/>
      <c r="AD185" s="483"/>
    </row>
    <row r="186" spans="3:30">
      <c r="C186" s="483"/>
      <c r="D186" s="483"/>
      <c r="E186" s="483"/>
      <c r="F186" s="483"/>
      <c r="G186" s="483"/>
      <c r="H186" s="483"/>
      <c r="I186" s="483"/>
      <c r="J186" s="483"/>
      <c r="K186" s="483"/>
      <c r="L186" s="483"/>
      <c r="M186" s="483"/>
      <c r="N186" s="483"/>
      <c r="O186" s="483"/>
      <c r="P186" s="483"/>
      <c r="Q186" s="483"/>
      <c r="R186" s="483"/>
      <c r="S186" s="483"/>
      <c r="T186" s="483"/>
      <c r="U186" s="483"/>
      <c r="V186" s="483"/>
      <c r="W186" s="483"/>
      <c r="X186" s="483"/>
      <c r="Y186" s="483"/>
      <c r="Z186" s="483"/>
      <c r="AA186" s="483"/>
      <c r="AB186" s="483"/>
      <c r="AC186" s="483"/>
      <c r="AD186" s="483"/>
    </row>
    <row r="187" spans="3:30">
      <c r="C187" s="483"/>
      <c r="D187" s="483"/>
      <c r="E187" s="483"/>
      <c r="F187" s="483"/>
      <c r="G187" s="483"/>
      <c r="H187" s="483"/>
      <c r="I187" s="483"/>
      <c r="J187" s="483"/>
      <c r="K187" s="483"/>
      <c r="L187" s="483"/>
      <c r="M187" s="483"/>
      <c r="N187" s="483"/>
      <c r="O187" s="483"/>
      <c r="P187" s="483"/>
      <c r="Q187" s="483"/>
      <c r="R187" s="483"/>
      <c r="S187" s="483"/>
      <c r="T187" s="483"/>
      <c r="U187" s="483"/>
      <c r="V187" s="483"/>
      <c r="W187" s="483"/>
      <c r="X187" s="483"/>
      <c r="Y187" s="483"/>
      <c r="Z187" s="483"/>
      <c r="AA187" s="483"/>
      <c r="AB187" s="483"/>
      <c r="AC187" s="483"/>
      <c r="AD187" s="483"/>
    </row>
    <row r="188" spans="3:30">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3"/>
      <c r="AB188" s="483"/>
      <c r="AC188" s="483"/>
      <c r="AD188" s="483"/>
    </row>
    <row r="189" spans="3:30">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c r="AA189" s="483"/>
      <c r="AB189" s="483"/>
      <c r="AC189" s="483"/>
      <c r="AD189" s="483"/>
    </row>
    <row r="190" spans="3:30">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c r="AA190" s="483"/>
      <c r="AB190" s="483"/>
      <c r="AC190" s="483"/>
      <c r="AD190" s="483"/>
    </row>
    <row r="191" spans="3:30">
      <c r="C191" s="483"/>
      <c r="D191" s="483"/>
      <c r="E191" s="483"/>
      <c r="F191" s="483"/>
      <c r="G191" s="483"/>
      <c r="H191" s="483"/>
      <c r="I191" s="483"/>
      <c r="J191" s="483"/>
      <c r="K191" s="483"/>
      <c r="L191" s="483"/>
      <c r="M191" s="483"/>
      <c r="N191" s="483"/>
      <c r="O191" s="483"/>
      <c r="P191" s="483"/>
      <c r="Q191" s="483"/>
      <c r="R191" s="483"/>
      <c r="S191" s="483"/>
      <c r="T191" s="483"/>
      <c r="U191" s="483"/>
      <c r="V191" s="483"/>
      <c r="W191" s="483"/>
      <c r="X191" s="483"/>
      <c r="Y191" s="483"/>
      <c r="Z191" s="483"/>
      <c r="AA191" s="483"/>
      <c r="AB191" s="483"/>
      <c r="AC191" s="483"/>
      <c r="AD191" s="483"/>
    </row>
    <row r="192" spans="3:30">
      <c r="C192" s="483"/>
      <c r="D192" s="483"/>
      <c r="E192" s="483"/>
      <c r="F192" s="483"/>
      <c r="G192" s="483"/>
      <c r="H192" s="483"/>
      <c r="I192" s="483"/>
      <c r="J192" s="483"/>
      <c r="K192" s="483"/>
      <c r="L192" s="483"/>
      <c r="M192" s="483"/>
      <c r="N192" s="483"/>
      <c r="O192" s="483"/>
      <c r="P192" s="483"/>
      <c r="Q192" s="483"/>
      <c r="R192" s="483"/>
      <c r="S192" s="483"/>
      <c r="T192" s="483"/>
      <c r="U192" s="483"/>
      <c r="V192" s="483"/>
      <c r="W192" s="483"/>
      <c r="X192" s="483"/>
      <c r="Y192" s="483"/>
      <c r="Z192" s="483"/>
      <c r="AA192" s="483"/>
      <c r="AB192" s="483"/>
      <c r="AC192" s="483"/>
      <c r="AD192" s="483"/>
    </row>
    <row r="193" spans="3:30">
      <c r="C193" s="483"/>
      <c r="D193" s="483"/>
      <c r="E193" s="483"/>
      <c r="F193" s="483"/>
      <c r="G193" s="483"/>
      <c r="H193" s="483"/>
      <c r="I193" s="483"/>
      <c r="J193" s="483"/>
      <c r="K193" s="483"/>
      <c r="L193" s="483"/>
      <c r="M193" s="483"/>
      <c r="N193" s="483"/>
      <c r="O193" s="483"/>
      <c r="P193" s="483"/>
      <c r="Q193" s="483"/>
      <c r="R193" s="483"/>
      <c r="S193" s="483"/>
      <c r="T193" s="483"/>
      <c r="U193" s="483"/>
      <c r="V193" s="483"/>
      <c r="W193" s="483"/>
      <c r="X193" s="483"/>
      <c r="Y193" s="483"/>
      <c r="Z193" s="483"/>
      <c r="AA193" s="483"/>
      <c r="AB193" s="483"/>
      <c r="AC193" s="483"/>
      <c r="AD193" s="483"/>
    </row>
    <row r="194" spans="3:30">
      <c r="C194" s="483"/>
      <c r="D194" s="483"/>
      <c r="E194" s="483"/>
      <c r="F194" s="483"/>
      <c r="G194" s="483"/>
      <c r="H194" s="483"/>
      <c r="I194" s="483"/>
      <c r="J194" s="483"/>
      <c r="K194" s="483"/>
      <c r="L194" s="483"/>
      <c r="M194" s="483"/>
      <c r="N194" s="483"/>
      <c r="O194" s="483"/>
      <c r="P194" s="483"/>
      <c r="Q194" s="483"/>
      <c r="R194" s="483"/>
      <c r="S194" s="483"/>
      <c r="T194" s="483"/>
      <c r="U194" s="483"/>
      <c r="V194" s="483"/>
      <c r="W194" s="483"/>
      <c r="X194" s="483"/>
      <c r="Y194" s="483"/>
      <c r="Z194" s="483"/>
      <c r="AA194" s="483"/>
      <c r="AB194" s="483"/>
      <c r="AC194" s="483"/>
      <c r="AD194" s="483"/>
    </row>
    <row r="195" spans="3:30">
      <c r="C195" s="483"/>
      <c r="D195" s="483"/>
      <c r="E195" s="483"/>
      <c r="F195" s="483"/>
      <c r="G195" s="483"/>
      <c r="H195" s="483"/>
      <c r="I195" s="483"/>
      <c r="J195" s="483"/>
      <c r="K195" s="483"/>
      <c r="L195" s="483"/>
      <c r="M195" s="483"/>
      <c r="N195" s="483"/>
      <c r="O195" s="483"/>
      <c r="P195" s="483"/>
      <c r="Q195" s="483"/>
      <c r="R195" s="483"/>
      <c r="S195" s="483"/>
      <c r="T195" s="483"/>
      <c r="U195" s="483"/>
      <c r="V195" s="483"/>
      <c r="W195" s="483"/>
      <c r="X195" s="483"/>
      <c r="Y195" s="483"/>
      <c r="Z195" s="483"/>
      <c r="AA195" s="483"/>
      <c r="AB195" s="483"/>
      <c r="AC195" s="483"/>
      <c r="AD195" s="483"/>
    </row>
    <row r="196" spans="3:30">
      <c r="C196" s="483"/>
      <c r="D196" s="483"/>
      <c r="E196" s="483"/>
      <c r="F196" s="483"/>
      <c r="G196" s="483"/>
      <c r="H196" s="483"/>
      <c r="I196" s="483"/>
      <c r="J196" s="483"/>
      <c r="K196" s="483"/>
      <c r="L196" s="483"/>
      <c r="M196" s="483"/>
      <c r="N196" s="483"/>
      <c r="O196" s="483"/>
      <c r="P196" s="483"/>
      <c r="Q196" s="483"/>
      <c r="R196" s="483"/>
      <c r="S196" s="483"/>
      <c r="T196" s="483"/>
      <c r="U196" s="483"/>
      <c r="V196" s="483"/>
      <c r="W196" s="483"/>
      <c r="X196" s="483"/>
      <c r="Y196" s="483"/>
      <c r="Z196" s="483"/>
      <c r="AA196" s="483"/>
      <c r="AB196" s="483"/>
      <c r="AC196" s="483"/>
      <c r="AD196" s="483"/>
    </row>
    <row r="197" spans="3:30">
      <c r="C197" s="483"/>
      <c r="D197" s="483"/>
      <c r="E197" s="483"/>
      <c r="F197" s="483"/>
      <c r="G197" s="483"/>
      <c r="H197" s="483"/>
      <c r="I197" s="483"/>
      <c r="J197" s="483"/>
      <c r="K197" s="483"/>
      <c r="L197" s="483"/>
      <c r="M197" s="483"/>
      <c r="N197" s="483"/>
      <c r="O197" s="483"/>
      <c r="P197" s="483"/>
      <c r="Q197" s="483"/>
      <c r="R197" s="483"/>
      <c r="S197" s="483"/>
      <c r="T197" s="483"/>
      <c r="U197" s="483"/>
      <c r="V197" s="483"/>
      <c r="W197" s="483"/>
      <c r="X197" s="483"/>
      <c r="Y197" s="483"/>
      <c r="Z197" s="483"/>
      <c r="AA197" s="483"/>
      <c r="AB197" s="483"/>
      <c r="AC197" s="483"/>
      <c r="AD197" s="483"/>
    </row>
    <row r="198" spans="3:30">
      <c r="C198" s="483"/>
      <c r="D198" s="483"/>
      <c r="E198" s="483"/>
      <c r="F198" s="483"/>
      <c r="G198" s="483"/>
      <c r="H198" s="483"/>
      <c r="I198" s="483"/>
      <c r="J198" s="483"/>
      <c r="K198" s="483"/>
      <c r="L198" s="483"/>
      <c r="M198" s="483"/>
      <c r="N198" s="483"/>
      <c r="O198" s="483"/>
      <c r="P198" s="483"/>
      <c r="Q198" s="483"/>
      <c r="R198" s="483"/>
      <c r="S198" s="483"/>
      <c r="T198" s="483"/>
      <c r="U198" s="483"/>
      <c r="V198" s="483"/>
      <c r="W198" s="483"/>
      <c r="X198" s="483"/>
      <c r="Y198" s="483"/>
      <c r="Z198" s="483"/>
      <c r="AA198" s="483"/>
      <c r="AB198" s="483"/>
      <c r="AC198" s="483"/>
      <c r="AD198" s="483"/>
    </row>
    <row r="199" spans="3:30">
      <c r="C199" s="483"/>
      <c r="D199" s="483"/>
      <c r="E199" s="483"/>
      <c r="F199" s="483"/>
      <c r="G199" s="483"/>
      <c r="H199" s="483"/>
      <c r="I199" s="483"/>
      <c r="J199" s="483"/>
      <c r="K199" s="483"/>
      <c r="L199" s="483"/>
      <c r="M199" s="483"/>
      <c r="N199" s="483"/>
      <c r="O199" s="483"/>
      <c r="P199" s="483"/>
      <c r="Q199" s="483"/>
      <c r="R199" s="483"/>
      <c r="S199" s="483"/>
      <c r="T199" s="483"/>
      <c r="U199" s="483"/>
      <c r="V199" s="483"/>
      <c r="W199" s="483"/>
      <c r="X199" s="483"/>
      <c r="Y199" s="483"/>
      <c r="Z199" s="483"/>
      <c r="AA199" s="483"/>
      <c r="AB199" s="483"/>
      <c r="AC199" s="483"/>
      <c r="AD199" s="483"/>
    </row>
    <row r="200" spans="3:30">
      <c r="C200" s="483"/>
      <c r="D200" s="483"/>
      <c r="E200" s="483"/>
      <c r="F200" s="483"/>
      <c r="G200" s="483"/>
      <c r="H200" s="483"/>
      <c r="I200" s="483"/>
      <c r="J200" s="483"/>
      <c r="K200" s="483"/>
      <c r="L200" s="483"/>
      <c r="M200" s="483"/>
      <c r="N200" s="483"/>
      <c r="O200" s="483"/>
      <c r="P200" s="483"/>
      <c r="Q200" s="483"/>
      <c r="R200" s="483"/>
      <c r="S200" s="483"/>
      <c r="T200" s="483"/>
      <c r="U200" s="483"/>
      <c r="V200" s="483"/>
      <c r="W200" s="483"/>
      <c r="X200" s="483"/>
      <c r="Y200" s="483"/>
      <c r="Z200" s="483"/>
      <c r="AA200" s="483"/>
      <c r="AB200" s="483"/>
      <c r="AC200" s="483"/>
      <c r="AD200" s="483"/>
    </row>
    <row r="201" spans="3:30">
      <c r="C201" s="483"/>
      <c r="D201" s="483"/>
      <c r="E201" s="483"/>
      <c r="F201" s="483"/>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3"/>
      <c r="AD201" s="483"/>
    </row>
    <row r="202" spans="3:30">
      <c r="C202" s="483"/>
      <c r="D202" s="483"/>
      <c r="E202" s="483"/>
      <c r="F202" s="483"/>
      <c r="G202" s="483"/>
      <c r="H202" s="483"/>
      <c r="I202" s="483"/>
      <c r="J202" s="483"/>
      <c r="K202" s="483"/>
      <c r="L202" s="483"/>
      <c r="M202" s="483"/>
      <c r="N202" s="483"/>
      <c r="O202" s="483"/>
      <c r="P202" s="483"/>
      <c r="Q202" s="483"/>
      <c r="R202" s="483"/>
      <c r="S202" s="483"/>
      <c r="T202" s="483"/>
      <c r="U202" s="483"/>
      <c r="V202" s="483"/>
      <c r="W202" s="483"/>
      <c r="X202" s="483"/>
      <c r="Y202" s="483"/>
      <c r="Z202" s="483"/>
      <c r="AA202" s="483"/>
      <c r="AB202" s="483"/>
      <c r="AC202" s="483"/>
      <c r="AD202" s="483"/>
    </row>
    <row r="203" spans="3:30">
      <c r="C203" s="483"/>
      <c r="D203" s="483"/>
      <c r="E203" s="483"/>
      <c r="F203" s="483"/>
      <c r="G203" s="483"/>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row>
    <row r="204" spans="3:30">
      <c r="C204" s="483"/>
      <c r="D204" s="483"/>
      <c r="E204" s="483"/>
      <c r="F204" s="483"/>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row>
    <row r="205" spans="3:30">
      <c r="C205" s="483"/>
      <c r="D205" s="483"/>
      <c r="E205" s="483"/>
      <c r="F205" s="483"/>
      <c r="G205" s="483"/>
      <c r="H205" s="483"/>
      <c r="I205" s="483"/>
      <c r="J205" s="483"/>
      <c r="K205" s="483"/>
      <c r="L205" s="483"/>
      <c r="M205" s="483"/>
      <c r="N205" s="483"/>
      <c r="O205" s="483"/>
      <c r="P205" s="483"/>
      <c r="Q205" s="483"/>
      <c r="R205" s="483"/>
      <c r="S205" s="483"/>
      <c r="T205" s="483"/>
      <c r="U205" s="483"/>
      <c r="V205" s="483"/>
      <c r="W205" s="483"/>
      <c r="X205" s="483"/>
      <c r="Y205" s="483"/>
      <c r="Z205" s="483"/>
      <c r="AA205" s="483"/>
      <c r="AB205" s="483"/>
      <c r="AC205" s="483"/>
      <c r="AD205" s="483"/>
    </row>
    <row r="206" spans="3:30">
      <c r="C206" s="483"/>
      <c r="D206" s="483"/>
      <c r="E206" s="483"/>
      <c r="F206" s="483"/>
      <c r="G206" s="483"/>
      <c r="H206" s="483"/>
      <c r="I206" s="483"/>
      <c r="J206" s="483"/>
      <c r="K206" s="483"/>
      <c r="L206" s="483"/>
      <c r="M206" s="483"/>
      <c r="N206" s="483"/>
      <c r="O206" s="483"/>
      <c r="P206" s="483"/>
      <c r="Q206" s="483"/>
      <c r="R206" s="483"/>
      <c r="S206" s="483"/>
      <c r="T206" s="483"/>
      <c r="U206" s="483"/>
      <c r="V206" s="483"/>
      <c r="W206" s="483"/>
      <c r="X206" s="483"/>
      <c r="Y206" s="483"/>
      <c r="Z206" s="483"/>
      <c r="AA206" s="483"/>
      <c r="AB206" s="483"/>
      <c r="AC206" s="483"/>
      <c r="AD206" s="483"/>
    </row>
    <row r="207" spans="3:30">
      <c r="C207" s="483"/>
      <c r="D207" s="483"/>
      <c r="E207" s="483"/>
      <c r="F207" s="483"/>
      <c r="G207" s="483"/>
      <c r="H207" s="483"/>
      <c r="I207" s="483"/>
      <c r="J207" s="483"/>
      <c r="K207" s="483"/>
      <c r="L207" s="483"/>
      <c r="M207" s="483"/>
      <c r="N207" s="483"/>
      <c r="O207" s="483"/>
      <c r="P207" s="483"/>
      <c r="Q207" s="483"/>
      <c r="R207" s="483"/>
      <c r="S207" s="483"/>
      <c r="T207" s="483"/>
      <c r="U207" s="483"/>
      <c r="V207" s="483"/>
      <c r="W207" s="483"/>
      <c r="X207" s="483"/>
      <c r="Y207" s="483"/>
      <c r="Z207" s="483"/>
      <c r="AA207" s="483"/>
      <c r="AB207" s="483"/>
      <c r="AC207" s="483"/>
      <c r="AD207" s="483"/>
    </row>
    <row r="208" spans="3:30">
      <c r="C208" s="483"/>
      <c r="D208" s="483"/>
      <c r="E208" s="483"/>
      <c r="F208" s="483"/>
      <c r="G208" s="483"/>
      <c r="H208" s="483"/>
      <c r="I208" s="483"/>
      <c r="J208" s="483"/>
      <c r="K208" s="483"/>
      <c r="L208" s="483"/>
      <c r="M208" s="483"/>
      <c r="N208" s="483"/>
      <c r="O208" s="483"/>
      <c r="P208" s="483"/>
      <c r="Q208" s="483"/>
      <c r="R208" s="483"/>
      <c r="S208" s="483"/>
      <c r="T208" s="483"/>
      <c r="U208" s="483"/>
      <c r="V208" s="483"/>
      <c r="W208" s="483"/>
      <c r="X208" s="483"/>
      <c r="Y208" s="483"/>
      <c r="Z208" s="483"/>
      <c r="AA208" s="483"/>
      <c r="AB208" s="483"/>
      <c r="AC208" s="483"/>
      <c r="AD208" s="483"/>
    </row>
    <row r="209" spans="3:30">
      <c r="C209" s="483"/>
      <c r="D209" s="483"/>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483"/>
    </row>
    <row r="210" spans="3:30">
      <c r="C210" s="483"/>
      <c r="D210" s="483"/>
      <c r="E210" s="483"/>
      <c r="F210" s="483"/>
      <c r="G210" s="483"/>
      <c r="H210" s="483"/>
      <c r="I210" s="483"/>
      <c r="J210" s="483"/>
      <c r="K210" s="483"/>
      <c r="L210" s="483"/>
      <c r="M210" s="483"/>
      <c r="N210" s="483"/>
      <c r="O210" s="483"/>
      <c r="P210" s="483"/>
      <c r="Q210" s="483"/>
      <c r="R210" s="483"/>
      <c r="S210" s="483"/>
      <c r="T210" s="483"/>
      <c r="U210" s="483"/>
      <c r="V210" s="483"/>
      <c r="W210" s="483"/>
      <c r="X210" s="483"/>
      <c r="Y210" s="483"/>
      <c r="Z210" s="483"/>
      <c r="AA210" s="483"/>
      <c r="AB210" s="483"/>
      <c r="AC210" s="483"/>
      <c r="AD210" s="483"/>
    </row>
    <row r="211" spans="3:30">
      <c r="C211" s="483"/>
      <c r="D211" s="483"/>
      <c r="E211" s="483"/>
      <c r="F211" s="483"/>
      <c r="G211" s="483"/>
      <c r="H211" s="483"/>
      <c r="I211" s="483"/>
      <c r="J211" s="483"/>
      <c r="K211" s="483"/>
      <c r="L211" s="483"/>
      <c r="M211" s="483"/>
      <c r="N211" s="483"/>
      <c r="O211" s="483"/>
      <c r="P211" s="483"/>
      <c r="Q211" s="483"/>
      <c r="R211" s="483"/>
      <c r="S211" s="483"/>
      <c r="T211" s="483"/>
      <c r="U211" s="483"/>
      <c r="V211" s="483"/>
      <c r="W211" s="483"/>
      <c r="X211" s="483"/>
      <c r="Y211" s="483"/>
      <c r="Z211" s="483"/>
      <c r="AA211" s="483"/>
      <c r="AB211" s="483"/>
      <c r="AC211" s="483"/>
      <c r="AD211" s="483"/>
    </row>
    <row r="212" spans="3:30">
      <c r="C212" s="483"/>
      <c r="D212" s="483"/>
      <c r="E212" s="483"/>
      <c r="F212" s="483"/>
      <c r="G212" s="483"/>
      <c r="H212" s="483"/>
      <c r="I212" s="483"/>
      <c r="J212" s="483"/>
      <c r="K212" s="483"/>
      <c r="L212" s="483"/>
      <c r="M212" s="483"/>
      <c r="N212" s="483"/>
      <c r="O212" s="483"/>
      <c r="P212" s="483"/>
      <c r="Q212" s="483"/>
      <c r="R212" s="483"/>
      <c r="S212" s="483"/>
      <c r="T212" s="483"/>
      <c r="U212" s="483"/>
      <c r="V212" s="483"/>
      <c r="W212" s="483"/>
      <c r="X212" s="483"/>
      <c r="Y212" s="483"/>
      <c r="Z212" s="483"/>
      <c r="AA212" s="483"/>
      <c r="AB212" s="483"/>
      <c r="AC212" s="483"/>
      <c r="AD212" s="483"/>
    </row>
    <row r="213" spans="3:30">
      <c r="C213" s="483"/>
      <c r="D213" s="483"/>
      <c r="E213" s="483"/>
      <c r="F213" s="483"/>
      <c r="G213" s="483"/>
      <c r="H213" s="483"/>
      <c r="I213" s="483"/>
      <c r="J213" s="483"/>
      <c r="K213" s="483"/>
      <c r="L213" s="483"/>
      <c r="M213" s="483"/>
      <c r="N213" s="483"/>
      <c r="O213" s="483"/>
      <c r="P213" s="483"/>
      <c r="Q213" s="483"/>
      <c r="R213" s="483"/>
      <c r="S213" s="483"/>
      <c r="T213" s="483"/>
      <c r="U213" s="483"/>
      <c r="V213" s="483"/>
      <c r="W213" s="483"/>
      <c r="X213" s="483"/>
      <c r="Y213" s="483"/>
      <c r="Z213" s="483"/>
      <c r="AA213" s="483"/>
      <c r="AB213" s="483"/>
      <c r="AC213" s="483"/>
      <c r="AD213" s="483"/>
    </row>
    <row r="214" spans="3:30">
      <c r="C214" s="483"/>
      <c r="D214" s="483"/>
      <c r="E214" s="483"/>
      <c r="F214" s="483"/>
      <c r="G214" s="483"/>
      <c r="H214" s="483"/>
      <c r="I214" s="483"/>
      <c r="J214" s="483"/>
      <c r="K214" s="483"/>
      <c r="L214" s="483"/>
      <c r="M214" s="483"/>
      <c r="N214" s="483"/>
      <c r="O214" s="483"/>
      <c r="P214" s="483"/>
      <c r="Q214" s="483"/>
      <c r="R214" s="483"/>
      <c r="S214" s="483"/>
      <c r="T214" s="483"/>
      <c r="U214" s="483"/>
      <c r="V214" s="483"/>
      <c r="W214" s="483"/>
      <c r="X214" s="483"/>
      <c r="Y214" s="483"/>
      <c r="Z214" s="483"/>
      <c r="AA214" s="483"/>
      <c r="AB214" s="483"/>
      <c r="AC214" s="483"/>
      <c r="AD214" s="483"/>
    </row>
    <row r="215" spans="3:30">
      <c r="C215" s="483"/>
      <c r="D215" s="483"/>
      <c r="E215" s="483"/>
      <c r="F215" s="483"/>
      <c r="G215" s="483"/>
      <c r="H215" s="483"/>
      <c r="I215" s="483"/>
      <c r="J215" s="483"/>
      <c r="K215" s="483"/>
      <c r="L215" s="483"/>
      <c r="M215" s="483"/>
      <c r="N215" s="483"/>
      <c r="O215" s="483"/>
      <c r="P215" s="483"/>
      <c r="Q215" s="483"/>
      <c r="R215" s="483"/>
      <c r="S215" s="483"/>
      <c r="T215" s="483"/>
      <c r="U215" s="483"/>
      <c r="V215" s="483"/>
      <c r="W215" s="483"/>
      <c r="X215" s="483"/>
      <c r="Y215" s="483"/>
      <c r="Z215" s="483"/>
      <c r="AA215" s="483"/>
      <c r="AB215" s="483"/>
      <c r="AC215" s="483"/>
      <c r="AD215" s="483"/>
    </row>
    <row r="216" spans="3:30">
      <c r="C216" s="483"/>
      <c r="D216" s="483"/>
      <c r="E216" s="483"/>
      <c r="F216" s="483"/>
      <c r="G216" s="483"/>
      <c r="H216" s="483"/>
      <c r="I216" s="483"/>
      <c r="J216" s="483"/>
      <c r="K216" s="483"/>
      <c r="L216" s="483"/>
      <c r="M216" s="483"/>
      <c r="N216" s="483"/>
      <c r="O216" s="483"/>
      <c r="P216" s="483"/>
      <c r="Q216" s="483"/>
      <c r="R216" s="483"/>
      <c r="S216" s="483"/>
      <c r="T216" s="483"/>
      <c r="U216" s="483"/>
      <c r="V216" s="483"/>
      <c r="W216" s="483"/>
      <c r="X216" s="483"/>
      <c r="Y216" s="483"/>
      <c r="Z216" s="483"/>
      <c r="AA216" s="483"/>
      <c r="AB216" s="483"/>
      <c r="AC216" s="483"/>
      <c r="AD216" s="483"/>
    </row>
    <row r="217" spans="3:30">
      <c r="C217" s="483"/>
      <c r="D217" s="483"/>
      <c r="E217" s="483"/>
      <c r="F217" s="483"/>
      <c r="G217" s="483"/>
      <c r="H217" s="483"/>
      <c r="I217" s="483"/>
      <c r="J217" s="483"/>
      <c r="K217" s="483"/>
      <c r="L217" s="483"/>
      <c r="M217" s="483"/>
      <c r="N217" s="483"/>
      <c r="O217" s="483"/>
      <c r="P217" s="483"/>
      <c r="Q217" s="483"/>
      <c r="R217" s="483"/>
      <c r="S217" s="483"/>
      <c r="T217" s="483"/>
      <c r="U217" s="483"/>
      <c r="V217" s="483"/>
      <c r="W217" s="483"/>
      <c r="X217" s="483"/>
      <c r="Y217" s="483"/>
      <c r="Z217" s="483"/>
      <c r="AA217" s="483"/>
      <c r="AB217" s="483"/>
      <c r="AC217" s="483"/>
      <c r="AD217" s="483"/>
    </row>
    <row r="218" spans="3:30">
      <c r="C218" s="483"/>
      <c r="D218" s="483"/>
      <c r="E218" s="483"/>
      <c r="F218" s="483"/>
      <c r="G218" s="483"/>
      <c r="H218" s="483"/>
      <c r="I218" s="483"/>
      <c r="J218" s="483"/>
      <c r="K218" s="483"/>
      <c r="L218" s="483"/>
      <c r="M218" s="483"/>
      <c r="N218" s="483"/>
      <c r="O218" s="483"/>
      <c r="P218" s="483"/>
      <c r="Q218" s="483"/>
      <c r="R218" s="483"/>
      <c r="S218" s="483"/>
      <c r="T218" s="483"/>
      <c r="U218" s="483"/>
      <c r="V218" s="483"/>
      <c r="W218" s="483"/>
      <c r="X218" s="483"/>
      <c r="Y218" s="483"/>
      <c r="Z218" s="483"/>
      <c r="AA218" s="483"/>
      <c r="AB218" s="483"/>
      <c r="AC218" s="483"/>
      <c r="AD218" s="483"/>
    </row>
    <row r="219" spans="3:30">
      <c r="C219" s="483"/>
      <c r="D219" s="483"/>
      <c r="E219" s="483"/>
      <c r="F219" s="483"/>
      <c r="G219" s="483"/>
      <c r="H219" s="483"/>
      <c r="I219" s="483"/>
      <c r="J219" s="483"/>
      <c r="K219" s="483"/>
      <c r="L219" s="483"/>
      <c r="M219" s="483"/>
      <c r="N219" s="483"/>
      <c r="O219" s="483"/>
      <c r="P219" s="483"/>
      <c r="Q219" s="483"/>
      <c r="R219" s="483"/>
      <c r="S219" s="483"/>
      <c r="T219" s="483"/>
      <c r="U219" s="483"/>
      <c r="V219" s="483"/>
      <c r="W219" s="483"/>
      <c r="X219" s="483"/>
      <c r="Y219" s="483"/>
      <c r="Z219" s="483"/>
      <c r="AA219" s="483"/>
      <c r="AB219" s="483"/>
      <c r="AC219" s="483"/>
      <c r="AD219" s="483"/>
    </row>
    <row r="220" spans="3:30">
      <c r="C220" s="483"/>
      <c r="D220" s="483"/>
      <c r="E220" s="483"/>
      <c r="F220" s="483"/>
      <c r="G220" s="483"/>
      <c r="H220" s="483"/>
      <c r="I220" s="483"/>
      <c r="J220" s="483"/>
      <c r="K220" s="483"/>
      <c r="L220" s="483"/>
      <c r="M220" s="483"/>
      <c r="N220" s="483"/>
      <c r="O220" s="483"/>
      <c r="P220" s="483"/>
      <c r="Q220" s="483"/>
      <c r="R220" s="483"/>
      <c r="S220" s="483"/>
      <c r="T220" s="483"/>
      <c r="U220" s="483"/>
      <c r="V220" s="483"/>
      <c r="W220" s="483"/>
      <c r="X220" s="483"/>
      <c r="Y220" s="483"/>
      <c r="Z220" s="483"/>
      <c r="AA220" s="483"/>
      <c r="AB220" s="483"/>
      <c r="AC220" s="483"/>
      <c r="AD220" s="483"/>
    </row>
    <row r="221" spans="3:30">
      <c r="C221" s="483"/>
      <c r="D221" s="483"/>
      <c r="E221" s="483"/>
      <c r="F221" s="483"/>
      <c r="G221" s="483"/>
      <c r="H221" s="483"/>
      <c r="I221" s="483"/>
      <c r="J221" s="483"/>
      <c r="K221" s="483"/>
      <c r="L221" s="483"/>
      <c r="M221" s="483"/>
      <c r="N221" s="483"/>
      <c r="O221" s="483"/>
      <c r="P221" s="483"/>
      <c r="Q221" s="483"/>
      <c r="R221" s="483"/>
      <c r="S221" s="483"/>
      <c r="T221" s="483"/>
      <c r="U221" s="483"/>
      <c r="V221" s="483"/>
      <c r="W221" s="483"/>
      <c r="X221" s="483"/>
      <c r="Y221" s="483"/>
      <c r="Z221" s="483"/>
      <c r="AA221" s="483"/>
      <c r="AB221" s="483"/>
      <c r="AC221" s="483"/>
      <c r="AD221" s="483"/>
    </row>
    <row r="222" spans="3:30">
      <c r="C222" s="483"/>
      <c r="D222" s="483"/>
      <c r="E222" s="483"/>
      <c r="F222" s="483"/>
      <c r="G222" s="483"/>
      <c r="H222" s="483"/>
      <c r="I222" s="483"/>
      <c r="J222" s="483"/>
      <c r="K222" s="483"/>
      <c r="L222" s="483"/>
      <c r="M222" s="483"/>
      <c r="N222" s="483"/>
      <c r="O222" s="483"/>
      <c r="P222" s="483"/>
      <c r="Q222" s="483"/>
      <c r="R222" s="483"/>
      <c r="S222" s="483"/>
      <c r="T222" s="483"/>
      <c r="U222" s="483"/>
      <c r="V222" s="483"/>
      <c r="W222" s="483"/>
      <c r="X222" s="483"/>
      <c r="Y222" s="483"/>
      <c r="Z222" s="483"/>
      <c r="AA222" s="483"/>
      <c r="AB222" s="483"/>
      <c r="AC222" s="483"/>
      <c r="AD222" s="483"/>
    </row>
    <row r="223" spans="3:30">
      <c r="C223" s="483"/>
      <c r="D223" s="483"/>
      <c r="E223" s="483"/>
      <c r="F223" s="483"/>
      <c r="G223" s="483"/>
      <c r="H223" s="483"/>
      <c r="I223" s="483"/>
      <c r="J223" s="483"/>
      <c r="K223" s="483"/>
      <c r="L223" s="483"/>
      <c r="M223" s="483"/>
      <c r="N223" s="483"/>
      <c r="O223" s="483"/>
      <c r="P223" s="483"/>
      <c r="Q223" s="483"/>
      <c r="R223" s="483"/>
      <c r="S223" s="483"/>
      <c r="T223" s="483"/>
      <c r="U223" s="483"/>
      <c r="V223" s="483"/>
      <c r="W223" s="483"/>
      <c r="X223" s="483"/>
      <c r="Y223" s="483"/>
      <c r="Z223" s="483"/>
      <c r="AA223" s="483"/>
      <c r="AB223" s="483"/>
      <c r="AC223" s="483"/>
      <c r="AD223" s="483"/>
    </row>
    <row r="224" spans="3:30">
      <c r="C224" s="483"/>
      <c r="D224" s="483"/>
      <c r="E224" s="483"/>
      <c r="F224" s="483"/>
      <c r="G224" s="483"/>
      <c r="H224" s="483"/>
      <c r="I224" s="483"/>
      <c r="J224" s="483"/>
      <c r="K224" s="483"/>
      <c r="L224" s="483"/>
      <c r="M224" s="483"/>
      <c r="N224" s="483"/>
      <c r="O224" s="483"/>
      <c r="P224" s="483"/>
      <c r="Q224" s="483"/>
      <c r="R224" s="483"/>
      <c r="S224" s="483"/>
      <c r="T224" s="483"/>
      <c r="U224" s="483"/>
      <c r="V224" s="483"/>
      <c r="W224" s="483"/>
      <c r="X224" s="483"/>
      <c r="Y224" s="483"/>
      <c r="Z224" s="483"/>
      <c r="AA224" s="483"/>
      <c r="AB224" s="483"/>
      <c r="AC224" s="483"/>
      <c r="AD224" s="483"/>
    </row>
    <row r="225" spans="3:30">
      <c r="C225" s="483"/>
      <c r="D225" s="483"/>
      <c r="E225" s="483"/>
      <c r="F225" s="483"/>
      <c r="G225" s="483"/>
      <c r="H225" s="483"/>
      <c r="I225" s="483"/>
      <c r="J225" s="483"/>
      <c r="K225" s="483"/>
      <c r="L225" s="483"/>
      <c r="M225" s="483"/>
      <c r="N225" s="483"/>
      <c r="O225" s="483"/>
      <c r="P225" s="483"/>
      <c r="Q225" s="483"/>
      <c r="R225" s="483"/>
      <c r="S225" s="483"/>
      <c r="T225" s="483"/>
      <c r="U225" s="483"/>
      <c r="V225" s="483"/>
      <c r="W225" s="483"/>
      <c r="X225" s="483"/>
      <c r="Y225" s="483"/>
      <c r="Z225" s="483"/>
      <c r="AA225" s="483"/>
      <c r="AB225" s="483"/>
      <c r="AC225" s="483"/>
      <c r="AD225" s="483"/>
    </row>
    <row r="226" spans="3:30">
      <c r="C226" s="483"/>
      <c r="D226" s="483"/>
      <c r="E226" s="483"/>
      <c r="F226" s="483"/>
      <c r="G226" s="483"/>
      <c r="H226" s="483"/>
      <c r="I226" s="483"/>
      <c r="J226" s="483"/>
      <c r="K226" s="483"/>
      <c r="L226" s="483"/>
      <c r="M226" s="483"/>
      <c r="N226" s="483"/>
      <c r="O226" s="483"/>
      <c r="P226" s="483"/>
      <c r="Q226" s="483"/>
      <c r="R226" s="483"/>
      <c r="S226" s="483"/>
      <c r="T226" s="483"/>
      <c r="U226" s="483"/>
      <c r="V226" s="483"/>
      <c r="W226" s="483"/>
      <c r="X226" s="483"/>
      <c r="Y226" s="483"/>
      <c r="Z226" s="483"/>
      <c r="AA226" s="483"/>
      <c r="AB226" s="483"/>
      <c r="AC226" s="483"/>
      <c r="AD226" s="483"/>
    </row>
    <row r="227" spans="3:30">
      <c r="C227" s="483"/>
      <c r="D227" s="483"/>
      <c r="E227" s="483"/>
      <c r="F227" s="483"/>
      <c r="G227" s="483"/>
      <c r="H227" s="483"/>
      <c r="I227" s="483"/>
      <c r="J227" s="483"/>
      <c r="K227" s="483"/>
      <c r="L227" s="483"/>
      <c r="M227" s="483"/>
      <c r="N227" s="483"/>
      <c r="O227" s="483"/>
      <c r="P227" s="483"/>
      <c r="Q227" s="483"/>
      <c r="R227" s="483"/>
      <c r="S227" s="483"/>
      <c r="T227" s="483"/>
      <c r="U227" s="483"/>
      <c r="V227" s="483"/>
      <c r="W227" s="483"/>
      <c r="X227" s="483"/>
      <c r="Y227" s="483"/>
      <c r="Z227" s="483"/>
      <c r="AA227" s="483"/>
      <c r="AB227" s="483"/>
      <c r="AC227" s="483"/>
      <c r="AD227" s="483"/>
    </row>
    <row r="228" spans="3:30">
      <c r="C228" s="483"/>
      <c r="D228" s="483"/>
      <c r="E228" s="483"/>
      <c r="F228" s="483"/>
      <c r="G228" s="483"/>
      <c r="H228" s="483"/>
      <c r="I228" s="483"/>
      <c r="J228" s="483"/>
      <c r="K228" s="483"/>
      <c r="L228" s="483"/>
      <c r="M228" s="483"/>
      <c r="N228" s="483"/>
      <c r="O228" s="483"/>
      <c r="P228" s="483"/>
      <c r="Q228" s="483"/>
      <c r="R228" s="483"/>
      <c r="S228" s="483"/>
      <c r="T228" s="483"/>
      <c r="U228" s="483"/>
      <c r="V228" s="483"/>
      <c r="W228" s="483"/>
      <c r="X228" s="483"/>
      <c r="Y228" s="483"/>
      <c r="Z228" s="483"/>
      <c r="AA228" s="483"/>
      <c r="AB228" s="483"/>
      <c r="AC228" s="483"/>
      <c r="AD228" s="483"/>
    </row>
    <row r="229" spans="3:30">
      <c r="C229" s="483"/>
      <c r="D229" s="483"/>
      <c r="E229" s="483"/>
      <c r="F229" s="483"/>
      <c r="G229" s="483"/>
      <c r="H229" s="483"/>
      <c r="I229" s="483"/>
      <c r="J229" s="483"/>
      <c r="K229" s="483"/>
      <c r="L229" s="483"/>
      <c r="M229" s="483"/>
      <c r="N229" s="483"/>
      <c r="O229" s="483"/>
      <c r="P229" s="483"/>
      <c r="Q229" s="483"/>
      <c r="R229" s="483"/>
      <c r="S229" s="483"/>
      <c r="T229" s="483"/>
      <c r="U229" s="483"/>
      <c r="V229" s="483"/>
      <c r="W229" s="483"/>
      <c r="X229" s="483"/>
      <c r="Y229" s="483"/>
      <c r="Z229" s="483"/>
      <c r="AA229" s="483"/>
      <c r="AB229" s="483"/>
      <c r="AC229" s="483"/>
      <c r="AD229" s="483"/>
    </row>
    <row r="230" spans="3:30">
      <c r="C230" s="483"/>
      <c r="D230" s="483"/>
      <c r="E230" s="483"/>
      <c r="F230" s="483"/>
      <c r="G230" s="483"/>
      <c r="H230" s="483"/>
      <c r="I230" s="483"/>
      <c r="J230" s="483"/>
      <c r="K230" s="483"/>
      <c r="L230" s="483"/>
      <c r="M230" s="483"/>
      <c r="N230" s="483"/>
      <c r="O230" s="483"/>
      <c r="P230" s="483"/>
      <c r="Q230" s="483"/>
      <c r="R230" s="483"/>
      <c r="S230" s="483"/>
      <c r="T230" s="483"/>
      <c r="U230" s="483"/>
      <c r="V230" s="483"/>
      <c r="W230" s="483"/>
      <c r="X230" s="483"/>
      <c r="Y230" s="483"/>
      <c r="Z230" s="483"/>
      <c r="AA230" s="483"/>
      <c r="AB230" s="483"/>
      <c r="AC230" s="483"/>
      <c r="AD230" s="483"/>
    </row>
    <row r="231" spans="3:30">
      <c r="C231" s="483"/>
      <c r="D231" s="483"/>
      <c r="E231" s="483"/>
      <c r="F231" s="483"/>
      <c r="G231" s="483"/>
      <c r="H231" s="483"/>
      <c r="I231" s="483"/>
      <c r="J231" s="483"/>
      <c r="K231" s="483"/>
      <c r="L231" s="483"/>
      <c r="M231" s="483"/>
      <c r="N231" s="483"/>
      <c r="O231" s="483"/>
      <c r="P231" s="483"/>
      <c r="Q231" s="483"/>
      <c r="R231" s="483"/>
      <c r="S231" s="483"/>
      <c r="T231" s="483"/>
      <c r="U231" s="483"/>
      <c r="V231" s="483"/>
      <c r="W231" s="483"/>
      <c r="X231" s="483"/>
      <c r="Y231" s="483"/>
      <c r="Z231" s="483"/>
      <c r="AA231" s="483"/>
      <c r="AB231" s="483"/>
      <c r="AC231" s="483"/>
      <c r="AD231" s="483"/>
    </row>
    <row r="232" spans="3:30">
      <c r="C232" s="483"/>
      <c r="D232" s="483"/>
      <c r="E232" s="483"/>
      <c r="F232" s="483"/>
      <c r="G232" s="483"/>
      <c r="H232" s="483"/>
      <c r="I232" s="483"/>
      <c r="J232" s="483"/>
      <c r="K232" s="483"/>
      <c r="L232" s="483"/>
      <c r="M232" s="483"/>
      <c r="N232" s="483"/>
      <c r="O232" s="483"/>
      <c r="P232" s="483"/>
      <c r="Q232" s="483"/>
      <c r="R232" s="483"/>
      <c r="S232" s="483"/>
      <c r="T232" s="483"/>
      <c r="U232" s="483"/>
      <c r="V232" s="483"/>
      <c r="W232" s="483"/>
      <c r="X232" s="483"/>
      <c r="Y232" s="483"/>
      <c r="Z232" s="483"/>
      <c r="AA232" s="483"/>
      <c r="AB232" s="483"/>
      <c r="AC232" s="483"/>
      <c r="AD232" s="483"/>
    </row>
    <row r="233" spans="3:30">
      <c r="C233" s="483"/>
      <c r="D233" s="483"/>
      <c r="E233" s="483"/>
      <c r="F233" s="483"/>
      <c r="G233" s="483"/>
      <c r="H233" s="483"/>
      <c r="I233" s="483"/>
      <c r="J233" s="483"/>
      <c r="K233" s="483"/>
      <c r="L233" s="483"/>
      <c r="M233" s="483"/>
      <c r="N233" s="483"/>
      <c r="O233" s="483"/>
      <c r="P233" s="483"/>
      <c r="Q233" s="483"/>
      <c r="R233" s="483"/>
      <c r="S233" s="483"/>
      <c r="T233" s="483"/>
      <c r="U233" s="483"/>
      <c r="V233" s="483"/>
      <c r="W233" s="483"/>
      <c r="X233" s="483"/>
      <c r="Y233" s="483"/>
      <c r="Z233" s="483"/>
      <c r="AA233" s="483"/>
      <c r="AB233" s="483"/>
      <c r="AC233" s="483"/>
      <c r="AD233" s="483"/>
    </row>
    <row r="234" spans="3:30">
      <c r="C234" s="483"/>
      <c r="D234" s="483"/>
      <c r="E234" s="483"/>
      <c r="F234" s="483"/>
      <c r="G234" s="483"/>
      <c r="H234" s="483"/>
      <c r="I234" s="483"/>
      <c r="J234" s="483"/>
      <c r="K234" s="483"/>
      <c r="L234" s="483"/>
      <c r="M234" s="483"/>
      <c r="N234" s="483"/>
      <c r="O234" s="483"/>
      <c r="P234" s="483"/>
      <c r="Q234" s="483"/>
      <c r="R234" s="483"/>
      <c r="S234" s="483"/>
      <c r="T234" s="483"/>
      <c r="U234" s="483"/>
      <c r="V234" s="483"/>
      <c r="W234" s="483"/>
      <c r="X234" s="483"/>
      <c r="Y234" s="483"/>
      <c r="Z234" s="483"/>
      <c r="AA234" s="483"/>
      <c r="AB234" s="483"/>
      <c r="AC234" s="483"/>
      <c r="AD234" s="483"/>
    </row>
    <row r="235" spans="3:30">
      <c r="C235" s="483"/>
      <c r="D235" s="483"/>
      <c r="E235" s="483"/>
      <c r="F235" s="483"/>
      <c r="G235" s="483"/>
      <c r="H235" s="483"/>
      <c r="I235" s="483"/>
      <c r="J235" s="483"/>
      <c r="K235" s="483"/>
      <c r="L235" s="483"/>
      <c r="M235" s="483"/>
      <c r="N235" s="483"/>
      <c r="O235" s="483"/>
      <c r="P235" s="483"/>
      <c r="Q235" s="483"/>
      <c r="R235" s="483"/>
      <c r="S235" s="483"/>
      <c r="T235" s="483"/>
      <c r="U235" s="483"/>
      <c r="V235" s="483"/>
      <c r="W235" s="483"/>
      <c r="X235" s="483"/>
      <c r="Y235" s="483"/>
      <c r="Z235" s="483"/>
      <c r="AA235" s="483"/>
      <c r="AB235" s="483"/>
      <c r="AC235" s="483"/>
      <c r="AD235" s="483"/>
    </row>
    <row r="236" spans="3:30">
      <c r="C236" s="483"/>
      <c r="D236" s="483"/>
      <c r="E236" s="483"/>
      <c r="F236" s="483"/>
      <c r="G236" s="483"/>
      <c r="H236" s="483"/>
      <c r="I236" s="483"/>
      <c r="J236" s="483"/>
      <c r="K236" s="483"/>
      <c r="L236" s="483"/>
      <c r="M236" s="483"/>
      <c r="N236" s="483"/>
      <c r="O236" s="483"/>
      <c r="P236" s="483"/>
      <c r="Q236" s="483"/>
      <c r="R236" s="483"/>
      <c r="S236" s="483"/>
      <c r="T236" s="483"/>
      <c r="U236" s="483"/>
      <c r="V236" s="483"/>
      <c r="W236" s="483"/>
      <c r="X236" s="483"/>
      <c r="Y236" s="483"/>
      <c r="Z236" s="483"/>
      <c r="AA236" s="483"/>
      <c r="AB236" s="483"/>
      <c r="AC236" s="483"/>
      <c r="AD236" s="483"/>
    </row>
    <row r="237" spans="3:30">
      <c r="C237" s="483"/>
      <c r="D237" s="483"/>
      <c r="E237" s="483"/>
      <c r="F237" s="483"/>
      <c r="G237" s="483"/>
      <c r="H237" s="483"/>
      <c r="I237" s="483"/>
      <c r="J237" s="483"/>
      <c r="K237" s="483"/>
      <c r="L237" s="483"/>
      <c r="M237" s="483"/>
      <c r="N237" s="483"/>
      <c r="O237" s="483"/>
      <c r="P237" s="483"/>
      <c r="Q237" s="483"/>
      <c r="R237" s="483"/>
      <c r="S237" s="483"/>
      <c r="T237" s="483"/>
      <c r="U237" s="483"/>
      <c r="V237" s="483"/>
      <c r="W237" s="483"/>
      <c r="X237" s="483"/>
      <c r="Y237" s="483"/>
      <c r="Z237" s="483"/>
      <c r="AA237" s="483"/>
      <c r="AB237" s="483"/>
      <c r="AC237" s="483"/>
      <c r="AD237" s="483"/>
    </row>
    <row r="238" spans="3:30">
      <c r="C238" s="483"/>
      <c r="D238" s="483"/>
      <c r="E238" s="483"/>
      <c r="F238" s="483"/>
      <c r="G238" s="483"/>
      <c r="H238" s="483"/>
      <c r="I238" s="483"/>
      <c r="J238" s="483"/>
      <c r="K238" s="483"/>
      <c r="L238" s="483"/>
      <c r="M238" s="483"/>
      <c r="N238" s="483"/>
      <c r="O238" s="483"/>
      <c r="P238" s="483"/>
      <c r="Q238" s="483"/>
      <c r="R238" s="483"/>
      <c r="S238" s="483"/>
      <c r="T238" s="483"/>
      <c r="U238" s="483"/>
      <c r="V238" s="483"/>
      <c r="W238" s="483"/>
      <c r="X238" s="483"/>
      <c r="Y238" s="483"/>
      <c r="Z238" s="483"/>
      <c r="AA238" s="483"/>
      <c r="AB238" s="483"/>
      <c r="AC238" s="483"/>
      <c r="AD238" s="483"/>
    </row>
    <row r="239" spans="3:30">
      <c r="C239" s="483"/>
      <c r="D239" s="483"/>
      <c r="E239" s="483"/>
      <c r="F239" s="483"/>
      <c r="G239" s="483"/>
      <c r="H239" s="483"/>
      <c r="I239" s="483"/>
      <c r="J239" s="483"/>
      <c r="K239" s="483"/>
      <c r="L239" s="483"/>
      <c r="M239" s="483"/>
      <c r="N239" s="483"/>
      <c r="O239" s="483"/>
      <c r="P239" s="483"/>
      <c r="Q239" s="483"/>
      <c r="R239" s="483"/>
      <c r="S239" s="483"/>
      <c r="T239" s="483"/>
      <c r="U239" s="483"/>
      <c r="V239" s="483"/>
      <c r="W239" s="483"/>
      <c r="X239" s="483"/>
      <c r="Y239" s="483"/>
      <c r="Z239" s="483"/>
      <c r="AA239" s="483"/>
      <c r="AB239" s="483"/>
      <c r="AC239" s="483"/>
      <c r="AD239" s="483"/>
    </row>
    <row r="240" spans="3:30">
      <c r="C240" s="483"/>
      <c r="D240" s="483"/>
      <c r="E240" s="483"/>
      <c r="F240" s="483"/>
      <c r="G240" s="483"/>
      <c r="H240" s="483"/>
      <c r="I240" s="483"/>
      <c r="J240" s="483"/>
      <c r="K240" s="483"/>
      <c r="L240" s="483"/>
      <c r="M240" s="483"/>
      <c r="N240" s="483"/>
      <c r="O240" s="483"/>
      <c r="P240" s="483"/>
      <c r="Q240" s="483"/>
      <c r="R240" s="483"/>
      <c r="S240" s="483"/>
      <c r="T240" s="483"/>
      <c r="U240" s="483"/>
      <c r="V240" s="483"/>
      <c r="W240" s="483"/>
      <c r="X240" s="483"/>
      <c r="Y240" s="483"/>
      <c r="Z240" s="483"/>
      <c r="AA240" s="483"/>
      <c r="AB240" s="483"/>
      <c r="AC240" s="483"/>
      <c r="AD240" s="483"/>
    </row>
    <row r="241" spans="3:30">
      <c r="C241" s="483"/>
      <c r="D241" s="483"/>
      <c r="E241" s="483"/>
      <c r="F241" s="483"/>
      <c r="G241" s="483"/>
      <c r="H241" s="483"/>
      <c r="I241" s="483"/>
      <c r="J241" s="483"/>
      <c r="K241" s="483"/>
      <c r="L241" s="483"/>
      <c r="M241" s="483"/>
      <c r="N241" s="483"/>
      <c r="O241" s="483"/>
      <c r="P241" s="483"/>
      <c r="Q241" s="483"/>
      <c r="R241" s="483"/>
      <c r="S241" s="483"/>
      <c r="T241" s="483"/>
      <c r="U241" s="483"/>
      <c r="V241" s="483"/>
      <c r="W241" s="483"/>
      <c r="X241" s="483"/>
      <c r="Y241" s="483"/>
      <c r="Z241" s="483"/>
      <c r="AA241" s="483"/>
      <c r="AB241" s="483"/>
      <c r="AC241" s="483"/>
      <c r="AD241" s="483"/>
    </row>
    <row r="242" spans="3:30">
      <c r="C242" s="483"/>
      <c r="D242" s="483"/>
      <c r="E242" s="483"/>
      <c r="F242" s="483"/>
      <c r="G242" s="483"/>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row>
    <row r="243" spans="3:30">
      <c r="C243" s="483"/>
      <c r="D243" s="483"/>
      <c r="E243" s="483"/>
      <c r="F243" s="483"/>
      <c r="G243" s="483"/>
      <c r="H243" s="483"/>
      <c r="I243" s="483"/>
      <c r="J243" s="483"/>
      <c r="K243" s="483"/>
      <c r="L243" s="483"/>
      <c r="M243" s="483"/>
      <c r="N243" s="483"/>
      <c r="O243" s="483"/>
      <c r="P243" s="483"/>
      <c r="Q243" s="483"/>
      <c r="R243" s="483"/>
      <c r="S243" s="483"/>
      <c r="T243" s="483"/>
      <c r="U243" s="483"/>
      <c r="V243" s="483"/>
      <c r="W243" s="483"/>
      <c r="X243" s="483"/>
      <c r="Y243" s="483"/>
      <c r="Z243" s="483"/>
      <c r="AA243" s="483"/>
      <c r="AB243" s="483"/>
      <c r="AC243" s="483"/>
      <c r="AD243" s="483"/>
    </row>
    <row r="244" spans="3:30">
      <c r="C244" s="483"/>
      <c r="D244" s="483"/>
      <c r="E244" s="483"/>
      <c r="F244" s="483"/>
      <c r="G244" s="483"/>
      <c r="H244" s="483"/>
      <c r="I244" s="483"/>
      <c r="J244" s="483"/>
      <c r="K244" s="483"/>
      <c r="L244" s="483"/>
      <c r="M244" s="483"/>
      <c r="N244" s="483"/>
      <c r="O244" s="483"/>
      <c r="P244" s="483"/>
      <c r="Q244" s="483"/>
      <c r="R244" s="483"/>
      <c r="S244" s="483"/>
      <c r="T244" s="483"/>
      <c r="U244" s="483"/>
      <c r="V244" s="483"/>
      <c r="W244" s="483"/>
      <c r="X244" s="483"/>
      <c r="Y244" s="483"/>
      <c r="Z244" s="483"/>
      <c r="AA244" s="483"/>
      <c r="AB244" s="483"/>
      <c r="AC244" s="483"/>
      <c r="AD244" s="483"/>
    </row>
    <row r="245" spans="3:30">
      <c r="C245" s="483"/>
      <c r="D245" s="483"/>
      <c r="E245" s="483"/>
      <c r="F245" s="483"/>
      <c r="G245" s="483"/>
      <c r="H245" s="483"/>
      <c r="I245" s="483"/>
      <c r="J245" s="483"/>
      <c r="K245" s="483"/>
      <c r="L245" s="483"/>
      <c r="M245" s="483"/>
      <c r="N245" s="483"/>
      <c r="O245" s="483"/>
      <c r="P245" s="483"/>
      <c r="Q245" s="483"/>
      <c r="R245" s="483"/>
      <c r="S245" s="483"/>
      <c r="T245" s="483"/>
      <c r="U245" s="483"/>
      <c r="V245" s="483"/>
      <c r="W245" s="483"/>
      <c r="X245" s="483"/>
      <c r="Y245" s="483"/>
      <c r="Z245" s="483"/>
      <c r="AA245" s="483"/>
      <c r="AB245" s="483"/>
      <c r="AC245" s="483"/>
      <c r="AD245" s="483"/>
    </row>
    <row r="246" spans="3:30">
      <c r="C246" s="483"/>
      <c r="D246" s="483"/>
      <c r="E246" s="483"/>
      <c r="F246" s="483"/>
      <c r="G246" s="483"/>
      <c r="H246" s="483"/>
      <c r="I246" s="483"/>
      <c r="J246" s="483"/>
      <c r="K246" s="483"/>
      <c r="L246" s="483"/>
      <c r="M246" s="483"/>
      <c r="N246" s="483"/>
      <c r="O246" s="483"/>
      <c r="P246" s="483"/>
      <c r="Q246" s="483"/>
      <c r="R246" s="483"/>
      <c r="S246" s="483"/>
      <c r="T246" s="483"/>
      <c r="U246" s="483"/>
      <c r="V246" s="483"/>
      <c r="W246" s="483"/>
      <c r="X246" s="483"/>
      <c r="Y246" s="483"/>
      <c r="Z246" s="483"/>
      <c r="AA246" s="483"/>
      <c r="AB246" s="483"/>
      <c r="AC246" s="483"/>
      <c r="AD246" s="483"/>
    </row>
    <row r="247" spans="3:30">
      <c r="C247" s="483"/>
      <c r="D247" s="483"/>
      <c r="E247" s="483"/>
      <c r="F247" s="483"/>
      <c r="G247" s="483"/>
      <c r="H247" s="483"/>
      <c r="I247" s="483"/>
      <c r="J247" s="483"/>
      <c r="K247" s="483"/>
      <c r="L247" s="483"/>
      <c r="M247" s="483"/>
      <c r="N247" s="483"/>
      <c r="O247" s="483"/>
      <c r="P247" s="483"/>
      <c r="Q247" s="483"/>
      <c r="R247" s="483"/>
      <c r="S247" s="483"/>
      <c r="T247" s="483"/>
      <c r="U247" s="483"/>
      <c r="V247" s="483"/>
      <c r="W247" s="483"/>
      <c r="X247" s="483"/>
      <c r="Y247" s="483"/>
      <c r="Z247" s="483"/>
      <c r="AA247" s="483"/>
      <c r="AB247" s="483"/>
      <c r="AC247" s="483"/>
      <c r="AD247" s="483"/>
    </row>
    <row r="248" spans="3:30">
      <c r="C248" s="483"/>
      <c r="D248" s="483"/>
      <c r="E248" s="483"/>
      <c r="F248" s="483"/>
      <c r="G248" s="483"/>
      <c r="H248" s="483"/>
      <c r="I248" s="483"/>
      <c r="J248" s="483"/>
      <c r="K248" s="483"/>
      <c r="L248" s="483"/>
      <c r="M248" s="483"/>
      <c r="N248" s="483"/>
      <c r="O248" s="483"/>
      <c r="P248" s="483"/>
      <c r="Q248" s="483"/>
      <c r="R248" s="483"/>
      <c r="S248" s="483"/>
      <c r="T248" s="483"/>
      <c r="U248" s="483"/>
      <c r="V248" s="483"/>
      <c r="W248" s="483"/>
      <c r="X248" s="483"/>
      <c r="Y248" s="483"/>
      <c r="Z248" s="483"/>
      <c r="AA248" s="483"/>
      <c r="AB248" s="483"/>
      <c r="AC248" s="483"/>
      <c r="AD248" s="483"/>
    </row>
    <row r="249" spans="3:30">
      <c r="C249" s="483"/>
      <c r="D249" s="483"/>
      <c r="E249" s="483"/>
      <c r="F249" s="483"/>
      <c r="G249" s="483"/>
      <c r="H249" s="483"/>
      <c r="I249" s="483"/>
      <c r="J249" s="483"/>
      <c r="K249" s="483"/>
      <c r="L249" s="483"/>
      <c r="M249" s="483"/>
      <c r="N249" s="483"/>
      <c r="O249" s="483"/>
      <c r="P249" s="483"/>
      <c r="Q249" s="483"/>
      <c r="R249" s="483"/>
      <c r="S249" s="483"/>
      <c r="T249" s="483"/>
      <c r="U249" s="483"/>
      <c r="V249" s="483"/>
      <c r="W249" s="483"/>
      <c r="X249" s="483"/>
      <c r="Y249" s="483"/>
      <c r="Z249" s="483"/>
      <c r="AA249" s="483"/>
      <c r="AB249" s="483"/>
      <c r="AC249" s="483"/>
      <c r="AD249" s="483"/>
    </row>
    <row r="250" spans="3:30">
      <c r="C250" s="483"/>
      <c r="D250" s="483"/>
      <c r="E250" s="483"/>
      <c r="F250" s="483"/>
      <c r="G250" s="483"/>
      <c r="H250" s="483"/>
      <c r="I250" s="483"/>
      <c r="J250" s="483"/>
      <c r="K250" s="483"/>
      <c r="L250" s="483"/>
      <c r="M250" s="483"/>
      <c r="N250" s="483"/>
      <c r="O250" s="483"/>
      <c r="P250" s="483"/>
      <c r="Q250" s="483"/>
      <c r="R250" s="483"/>
      <c r="S250" s="483"/>
      <c r="T250" s="483"/>
      <c r="U250" s="483"/>
      <c r="V250" s="483"/>
      <c r="W250" s="483"/>
      <c r="X250" s="483"/>
      <c r="Y250" s="483"/>
      <c r="Z250" s="483"/>
      <c r="AA250" s="483"/>
      <c r="AB250" s="483"/>
      <c r="AC250" s="483"/>
      <c r="AD250" s="483"/>
    </row>
    <row r="251" spans="3:30">
      <c r="C251" s="483"/>
      <c r="D251" s="483"/>
      <c r="E251" s="483"/>
      <c r="F251" s="483"/>
      <c r="G251" s="483"/>
      <c r="H251" s="483"/>
      <c r="I251" s="483"/>
      <c r="J251" s="483"/>
      <c r="K251" s="483"/>
      <c r="L251" s="483"/>
      <c r="M251" s="483"/>
      <c r="N251" s="483"/>
      <c r="O251" s="483"/>
      <c r="P251" s="483"/>
      <c r="Q251" s="483"/>
      <c r="R251" s="483"/>
      <c r="S251" s="483"/>
      <c r="T251" s="483"/>
      <c r="U251" s="483"/>
      <c r="V251" s="483"/>
      <c r="W251" s="483"/>
      <c r="X251" s="483"/>
      <c r="Y251" s="483"/>
      <c r="Z251" s="483"/>
      <c r="AA251" s="483"/>
      <c r="AB251" s="483"/>
      <c r="AC251" s="483"/>
      <c r="AD251" s="483"/>
    </row>
    <row r="252" spans="3:30">
      <c r="C252" s="483"/>
      <c r="D252" s="483"/>
      <c r="E252" s="483"/>
      <c r="F252" s="483"/>
      <c r="G252" s="483"/>
      <c r="H252" s="483"/>
      <c r="I252" s="483"/>
      <c r="J252" s="483"/>
      <c r="K252" s="483"/>
      <c r="L252" s="483"/>
      <c r="M252" s="483"/>
      <c r="N252" s="483"/>
      <c r="O252" s="483"/>
      <c r="P252" s="483"/>
      <c r="Q252" s="483"/>
      <c r="R252" s="483"/>
      <c r="S252" s="483"/>
      <c r="T252" s="483"/>
      <c r="U252" s="483"/>
      <c r="V252" s="483"/>
      <c r="W252" s="483"/>
      <c r="X252" s="483"/>
      <c r="Y252" s="483"/>
      <c r="Z252" s="483"/>
      <c r="AA252" s="483"/>
      <c r="AB252" s="483"/>
      <c r="AC252" s="483"/>
      <c r="AD252" s="483"/>
    </row>
    <row r="253" spans="3:30">
      <c r="C253" s="483"/>
      <c r="D253" s="483"/>
      <c r="E253" s="483"/>
      <c r="F253" s="483"/>
      <c r="G253" s="483"/>
      <c r="H253" s="483"/>
      <c r="I253" s="483"/>
      <c r="J253" s="483"/>
      <c r="K253" s="483"/>
      <c r="L253" s="483"/>
      <c r="M253" s="483"/>
      <c r="N253" s="483"/>
      <c r="O253" s="483"/>
      <c r="P253" s="483"/>
      <c r="Q253" s="483"/>
      <c r="R253" s="483"/>
      <c r="S253" s="483"/>
      <c r="T253" s="483"/>
      <c r="U253" s="483"/>
      <c r="V253" s="483"/>
      <c r="W253" s="483"/>
      <c r="X253" s="483"/>
      <c r="Y253" s="483"/>
      <c r="Z253" s="483"/>
      <c r="AA253" s="483"/>
      <c r="AB253" s="483"/>
      <c r="AC253" s="483"/>
      <c r="AD253" s="483"/>
    </row>
    <row r="254" spans="3:30">
      <c r="C254" s="483"/>
      <c r="D254" s="483"/>
      <c r="E254" s="483"/>
      <c r="F254" s="483"/>
      <c r="G254" s="483"/>
      <c r="H254" s="483"/>
      <c r="I254" s="483"/>
      <c r="J254" s="483"/>
      <c r="K254" s="483"/>
      <c r="L254" s="483"/>
      <c r="M254" s="483"/>
      <c r="N254" s="483"/>
      <c r="O254" s="483"/>
      <c r="P254" s="483"/>
      <c r="Q254" s="483"/>
      <c r="R254" s="483"/>
      <c r="S254" s="483"/>
      <c r="T254" s="483"/>
      <c r="U254" s="483"/>
      <c r="V254" s="483"/>
      <c r="W254" s="483"/>
      <c r="X254" s="483"/>
      <c r="Y254" s="483"/>
      <c r="Z254" s="483"/>
      <c r="AA254" s="483"/>
      <c r="AB254" s="483"/>
      <c r="AC254" s="483"/>
      <c r="AD254" s="483"/>
    </row>
    <row r="255" spans="3:30">
      <c r="C255" s="483"/>
      <c r="D255" s="483"/>
      <c r="E255" s="483"/>
      <c r="F255" s="483"/>
      <c r="G255" s="483"/>
      <c r="H255" s="483"/>
      <c r="I255" s="483"/>
      <c r="J255" s="483"/>
      <c r="K255" s="483"/>
      <c r="L255" s="483"/>
      <c r="M255" s="483"/>
      <c r="N255" s="483"/>
      <c r="O255" s="483"/>
      <c r="P255" s="483"/>
      <c r="Q255" s="483"/>
      <c r="R255" s="483"/>
      <c r="S255" s="483"/>
      <c r="T255" s="483"/>
      <c r="U255" s="483"/>
      <c r="V255" s="483"/>
      <c r="W255" s="483"/>
      <c r="X255" s="483"/>
      <c r="Y255" s="483"/>
      <c r="Z255" s="483"/>
      <c r="AA255" s="483"/>
      <c r="AB255" s="483"/>
      <c r="AC255" s="483"/>
      <c r="AD255" s="483"/>
    </row>
    <row r="256" spans="3:30">
      <c r="C256" s="483"/>
      <c r="D256" s="483"/>
      <c r="E256" s="483"/>
      <c r="F256" s="483"/>
      <c r="G256" s="483"/>
      <c r="H256" s="483"/>
      <c r="I256" s="483"/>
      <c r="J256" s="483"/>
      <c r="K256" s="483"/>
      <c r="L256" s="483"/>
      <c r="M256" s="483"/>
      <c r="N256" s="483"/>
      <c r="O256" s="483"/>
      <c r="P256" s="483"/>
      <c r="Q256" s="483"/>
      <c r="R256" s="483"/>
      <c r="S256" s="483"/>
      <c r="T256" s="483"/>
      <c r="U256" s="483"/>
      <c r="V256" s="483"/>
      <c r="W256" s="483"/>
      <c r="X256" s="483"/>
      <c r="Y256" s="483"/>
      <c r="Z256" s="483"/>
      <c r="AA256" s="483"/>
      <c r="AB256" s="483"/>
      <c r="AC256" s="483"/>
      <c r="AD256" s="483"/>
    </row>
    <row r="257" spans="3:30">
      <c r="C257" s="483"/>
      <c r="D257" s="483"/>
      <c r="E257" s="483"/>
      <c r="F257" s="483"/>
      <c r="G257" s="483"/>
      <c r="H257" s="483"/>
      <c r="I257" s="483"/>
      <c r="J257" s="483"/>
      <c r="K257" s="483"/>
      <c r="L257" s="483"/>
      <c r="M257" s="483"/>
      <c r="N257" s="483"/>
      <c r="O257" s="483"/>
      <c r="P257" s="483"/>
      <c r="Q257" s="483"/>
      <c r="R257" s="483"/>
      <c r="S257" s="483"/>
      <c r="T257" s="483"/>
      <c r="U257" s="483"/>
      <c r="V257" s="483"/>
      <c r="W257" s="483"/>
      <c r="X257" s="483"/>
      <c r="Y257" s="483"/>
      <c r="Z257" s="483"/>
      <c r="AA257" s="483"/>
      <c r="AB257" s="483"/>
      <c r="AC257" s="483"/>
      <c r="AD257" s="483"/>
    </row>
    <row r="258" spans="3:30">
      <c r="C258" s="483"/>
      <c r="D258" s="483"/>
      <c r="E258" s="483"/>
      <c r="F258" s="483"/>
      <c r="G258" s="483"/>
      <c r="H258" s="483"/>
      <c r="I258" s="483"/>
      <c r="J258" s="483"/>
      <c r="K258" s="483"/>
      <c r="L258" s="483"/>
      <c r="M258" s="483"/>
      <c r="N258" s="483"/>
      <c r="O258" s="483"/>
      <c r="P258" s="483"/>
      <c r="Q258" s="483"/>
      <c r="R258" s="483"/>
      <c r="S258" s="483"/>
      <c r="T258" s="483"/>
      <c r="U258" s="483"/>
      <c r="V258" s="483"/>
      <c r="W258" s="483"/>
      <c r="X258" s="483"/>
      <c r="Y258" s="483"/>
      <c r="Z258" s="483"/>
      <c r="AA258" s="483"/>
      <c r="AB258" s="483"/>
      <c r="AC258" s="483"/>
      <c r="AD258" s="483"/>
    </row>
    <row r="259" spans="3:30">
      <c r="C259" s="483"/>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row>
    <row r="260" spans="3:30">
      <c r="C260" s="483"/>
      <c r="D260" s="483"/>
      <c r="E260" s="483"/>
      <c r="F260" s="483"/>
      <c r="G260" s="483"/>
      <c r="H260" s="483"/>
      <c r="I260" s="483"/>
      <c r="J260" s="483"/>
      <c r="K260" s="483"/>
      <c r="L260" s="483"/>
      <c r="M260" s="483"/>
      <c r="N260" s="483"/>
      <c r="O260" s="483"/>
      <c r="P260" s="483"/>
      <c r="Q260" s="483"/>
      <c r="R260" s="483"/>
      <c r="S260" s="483"/>
      <c r="T260" s="483"/>
      <c r="U260" s="483"/>
      <c r="V260" s="483"/>
      <c r="W260" s="483"/>
      <c r="X260" s="483"/>
      <c r="Y260" s="483"/>
      <c r="Z260" s="483"/>
      <c r="AA260" s="483"/>
      <c r="AB260" s="483"/>
      <c r="AC260" s="483"/>
      <c r="AD260" s="483"/>
    </row>
    <row r="261" spans="3:30">
      <c r="C261" s="483"/>
      <c r="D261" s="483"/>
      <c r="E261" s="483"/>
      <c r="F261" s="483"/>
      <c r="G261" s="483"/>
      <c r="H261" s="483"/>
      <c r="I261" s="483"/>
      <c r="J261" s="483"/>
      <c r="K261" s="483"/>
      <c r="L261" s="483"/>
      <c r="M261" s="483"/>
      <c r="N261" s="483"/>
      <c r="O261" s="483"/>
      <c r="P261" s="483"/>
      <c r="Q261" s="483"/>
      <c r="R261" s="483"/>
      <c r="S261" s="483"/>
      <c r="T261" s="483"/>
      <c r="U261" s="483"/>
      <c r="V261" s="483"/>
      <c r="W261" s="483"/>
      <c r="X261" s="483"/>
      <c r="Y261" s="483"/>
      <c r="Z261" s="483"/>
      <c r="AA261" s="483"/>
      <c r="AB261" s="483"/>
      <c r="AC261" s="483"/>
      <c r="AD261" s="483"/>
    </row>
    <row r="262" spans="3:30">
      <c r="C262" s="483"/>
      <c r="D262" s="483"/>
      <c r="E262" s="483"/>
      <c r="F262" s="483"/>
      <c r="G262" s="483"/>
      <c r="H262" s="483"/>
      <c r="I262" s="483"/>
      <c r="J262" s="483"/>
      <c r="K262" s="483"/>
      <c r="L262" s="483"/>
      <c r="M262" s="483"/>
      <c r="N262" s="483"/>
      <c r="O262" s="483"/>
      <c r="P262" s="483"/>
      <c r="Q262" s="483"/>
      <c r="R262" s="483"/>
      <c r="S262" s="483"/>
      <c r="T262" s="483"/>
      <c r="U262" s="483"/>
      <c r="V262" s="483"/>
      <c r="W262" s="483"/>
      <c r="X262" s="483"/>
      <c r="Y262" s="483"/>
      <c r="Z262" s="483"/>
      <c r="AA262" s="483"/>
      <c r="AB262" s="483"/>
      <c r="AC262" s="483"/>
      <c r="AD262" s="483"/>
    </row>
    <row r="263" spans="3:30">
      <c r="C263" s="483"/>
      <c r="D263" s="483"/>
      <c r="E263" s="483"/>
      <c r="F263" s="483"/>
      <c r="G263" s="483"/>
      <c r="H263" s="483"/>
      <c r="I263" s="483"/>
      <c r="J263" s="483"/>
      <c r="K263" s="483"/>
      <c r="L263" s="483"/>
      <c r="M263" s="483"/>
      <c r="N263" s="483"/>
      <c r="O263" s="483"/>
      <c r="P263" s="483"/>
      <c r="Q263" s="483"/>
      <c r="R263" s="483"/>
      <c r="S263" s="483"/>
      <c r="T263" s="483"/>
      <c r="U263" s="483"/>
      <c r="V263" s="483"/>
      <c r="W263" s="483"/>
      <c r="X263" s="483"/>
      <c r="Y263" s="483"/>
      <c r="Z263" s="483"/>
      <c r="AA263" s="483"/>
      <c r="AB263" s="483"/>
      <c r="AC263" s="483"/>
      <c r="AD263" s="483"/>
    </row>
    <row r="264" spans="3:30">
      <c r="C264" s="483"/>
      <c r="D264" s="483"/>
      <c r="E264" s="483"/>
      <c r="F264" s="483"/>
      <c r="G264" s="483"/>
      <c r="H264" s="483"/>
      <c r="I264" s="483"/>
      <c r="J264" s="483"/>
      <c r="K264" s="483"/>
      <c r="L264" s="483"/>
      <c r="M264" s="483"/>
      <c r="N264" s="483"/>
      <c r="O264" s="483"/>
      <c r="P264" s="483"/>
      <c r="Q264" s="483"/>
      <c r="R264" s="483"/>
      <c r="S264" s="483"/>
      <c r="T264" s="483"/>
      <c r="U264" s="483"/>
      <c r="V264" s="483"/>
      <c r="W264" s="483"/>
      <c r="X264" s="483"/>
      <c r="Y264" s="483"/>
      <c r="Z264" s="483"/>
      <c r="AA264" s="483"/>
      <c r="AB264" s="483"/>
      <c r="AC264" s="483"/>
      <c r="AD264" s="483"/>
    </row>
    <row r="265" spans="3:30">
      <c r="C265" s="483"/>
      <c r="D265" s="483"/>
      <c r="E265" s="483"/>
      <c r="F265" s="483"/>
      <c r="G265" s="483"/>
      <c r="H265" s="483"/>
      <c r="I265" s="483"/>
      <c r="J265" s="483"/>
      <c r="K265" s="483"/>
      <c r="L265" s="483"/>
      <c r="M265" s="483"/>
      <c r="N265" s="483"/>
      <c r="O265" s="483"/>
      <c r="P265" s="483"/>
      <c r="Q265" s="483"/>
      <c r="R265" s="483"/>
      <c r="S265" s="483"/>
      <c r="T265" s="483"/>
      <c r="U265" s="483"/>
      <c r="V265" s="483"/>
      <c r="W265" s="483"/>
      <c r="X265" s="483"/>
      <c r="Y265" s="483"/>
      <c r="Z265" s="483"/>
      <c r="AA265" s="483"/>
      <c r="AB265" s="483"/>
      <c r="AC265" s="483"/>
      <c r="AD265" s="483"/>
    </row>
    <row r="266" spans="3:30">
      <c r="C266" s="483"/>
      <c r="D266" s="483"/>
      <c r="E266" s="483"/>
      <c r="F266" s="483"/>
      <c r="G266" s="483"/>
      <c r="H266" s="483"/>
      <c r="I266" s="483"/>
      <c r="J266" s="483"/>
      <c r="K266" s="483"/>
      <c r="L266" s="483"/>
      <c r="M266" s="483"/>
      <c r="N266" s="483"/>
      <c r="O266" s="483"/>
      <c r="P266" s="483"/>
      <c r="Q266" s="483"/>
      <c r="R266" s="483"/>
      <c r="S266" s="483"/>
      <c r="T266" s="483"/>
      <c r="U266" s="483"/>
      <c r="V266" s="483"/>
      <c r="W266" s="483"/>
      <c r="X266" s="483"/>
      <c r="Y266" s="483"/>
      <c r="Z266" s="483"/>
      <c r="AA266" s="483"/>
      <c r="AB266" s="483"/>
      <c r="AC266" s="483"/>
      <c r="AD266" s="483"/>
    </row>
    <row r="267" spans="3:30">
      <c r="C267" s="483"/>
      <c r="D267" s="483"/>
      <c r="E267" s="483"/>
      <c r="F267" s="483"/>
      <c r="G267" s="483"/>
      <c r="H267" s="483"/>
      <c r="I267" s="483"/>
      <c r="J267" s="483"/>
      <c r="K267" s="483"/>
      <c r="L267" s="483"/>
      <c r="M267" s="483"/>
      <c r="N267" s="483"/>
      <c r="O267" s="483"/>
      <c r="P267" s="483"/>
      <c r="Q267" s="483"/>
      <c r="R267" s="483"/>
      <c r="S267" s="483"/>
      <c r="T267" s="483"/>
      <c r="U267" s="483"/>
      <c r="V267" s="483"/>
      <c r="W267" s="483"/>
      <c r="X267" s="483"/>
      <c r="Y267" s="483"/>
      <c r="Z267" s="483"/>
      <c r="AA267" s="483"/>
      <c r="AB267" s="483"/>
      <c r="AC267" s="483"/>
      <c r="AD267" s="483"/>
    </row>
    <row r="268" spans="3:30">
      <c r="C268" s="483"/>
      <c r="D268" s="483"/>
      <c r="E268" s="483"/>
      <c r="F268" s="483"/>
      <c r="G268" s="483"/>
      <c r="H268" s="483"/>
      <c r="I268" s="483"/>
      <c r="J268" s="483"/>
      <c r="K268" s="483"/>
      <c r="L268" s="483"/>
      <c r="M268" s="483"/>
      <c r="N268" s="483"/>
      <c r="O268" s="483"/>
      <c r="P268" s="483"/>
      <c r="Q268" s="483"/>
      <c r="R268" s="483"/>
      <c r="S268" s="483"/>
      <c r="T268" s="483"/>
      <c r="U268" s="483"/>
      <c r="V268" s="483"/>
      <c r="W268" s="483"/>
      <c r="X268" s="483"/>
      <c r="Y268" s="483"/>
      <c r="Z268" s="483"/>
      <c r="AA268" s="483"/>
      <c r="AB268" s="483"/>
      <c r="AC268" s="483"/>
      <c r="AD268" s="483"/>
    </row>
    <row r="269" spans="3:30">
      <c r="C269" s="483"/>
      <c r="D269" s="483"/>
      <c r="E269" s="483"/>
      <c r="F269" s="483"/>
      <c r="G269" s="483"/>
      <c r="H269" s="483"/>
      <c r="I269" s="483"/>
      <c r="J269" s="483"/>
      <c r="K269" s="483"/>
      <c r="L269" s="483"/>
      <c r="M269" s="483"/>
      <c r="N269" s="483"/>
      <c r="O269" s="483"/>
      <c r="P269" s="483"/>
      <c r="Q269" s="483"/>
      <c r="R269" s="483"/>
      <c r="S269" s="483"/>
      <c r="T269" s="483"/>
      <c r="U269" s="483"/>
      <c r="V269" s="483"/>
      <c r="W269" s="483"/>
      <c r="X269" s="483"/>
      <c r="Y269" s="483"/>
      <c r="Z269" s="483"/>
      <c r="AA269" s="483"/>
      <c r="AB269" s="483"/>
      <c r="AC269" s="483"/>
      <c r="AD269" s="483"/>
    </row>
    <row r="270" spans="3:30">
      <c r="C270" s="483"/>
      <c r="D270" s="483"/>
      <c r="E270" s="483"/>
      <c r="F270" s="483"/>
      <c r="G270" s="483"/>
      <c r="H270" s="483"/>
      <c r="I270" s="483"/>
      <c r="J270" s="483"/>
      <c r="K270" s="483"/>
      <c r="L270" s="483"/>
      <c r="M270" s="483"/>
      <c r="N270" s="483"/>
      <c r="O270" s="483"/>
      <c r="P270" s="483"/>
      <c r="Q270" s="483"/>
      <c r="R270" s="483"/>
      <c r="S270" s="483"/>
      <c r="T270" s="483"/>
      <c r="U270" s="483"/>
      <c r="V270" s="483"/>
      <c r="W270" s="483"/>
      <c r="X270" s="483"/>
      <c r="Y270" s="483"/>
      <c r="Z270" s="483"/>
      <c r="AA270" s="483"/>
      <c r="AB270" s="483"/>
      <c r="AC270" s="483"/>
      <c r="AD270" s="483"/>
    </row>
    <row r="271" spans="3:30">
      <c r="C271" s="483"/>
      <c r="D271" s="483"/>
      <c r="E271" s="483"/>
      <c r="F271" s="483"/>
      <c r="G271" s="483"/>
      <c r="H271" s="483"/>
      <c r="I271" s="483"/>
      <c r="J271" s="483"/>
      <c r="K271" s="483"/>
      <c r="L271" s="483"/>
      <c r="M271" s="483"/>
      <c r="N271" s="483"/>
      <c r="O271" s="483"/>
      <c r="P271" s="483"/>
      <c r="Q271" s="483"/>
      <c r="R271" s="483"/>
      <c r="S271" s="483"/>
      <c r="T271" s="483"/>
      <c r="U271" s="483"/>
      <c r="V271" s="483"/>
      <c r="W271" s="483"/>
      <c r="X271" s="483"/>
      <c r="Y271" s="483"/>
      <c r="Z271" s="483"/>
      <c r="AA271" s="483"/>
      <c r="AB271" s="483"/>
      <c r="AC271" s="483"/>
      <c r="AD271" s="483"/>
    </row>
    <row r="272" spans="3:30">
      <c r="C272" s="483"/>
      <c r="D272" s="483"/>
      <c r="E272" s="483"/>
      <c r="F272" s="483"/>
      <c r="G272" s="483"/>
      <c r="H272" s="483"/>
      <c r="I272" s="483"/>
      <c r="J272" s="483"/>
      <c r="K272" s="483"/>
      <c r="L272" s="483"/>
      <c r="M272" s="483"/>
      <c r="N272" s="483"/>
      <c r="O272" s="483"/>
      <c r="P272" s="483"/>
      <c r="Q272" s="483"/>
      <c r="R272" s="483"/>
      <c r="S272" s="483"/>
      <c r="T272" s="483"/>
      <c r="U272" s="483"/>
      <c r="V272" s="483"/>
      <c r="W272" s="483"/>
      <c r="X272" s="483"/>
      <c r="Y272" s="483"/>
      <c r="Z272" s="483"/>
      <c r="AA272" s="483"/>
      <c r="AB272" s="483"/>
      <c r="AC272" s="483"/>
      <c r="AD272" s="483"/>
    </row>
    <row r="273" spans="3:30">
      <c r="C273" s="48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row>
    <row r="274" spans="3:30">
      <c r="C274" s="483"/>
      <c r="D274" s="483"/>
      <c r="E274" s="483"/>
      <c r="F274" s="483"/>
      <c r="G274" s="483"/>
      <c r="H274" s="483"/>
      <c r="I274" s="483"/>
      <c r="J274" s="483"/>
      <c r="K274" s="483"/>
      <c r="L274" s="483"/>
      <c r="M274" s="483"/>
      <c r="N274" s="483"/>
      <c r="O274" s="483"/>
      <c r="P274" s="483"/>
      <c r="Q274" s="483"/>
      <c r="R274" s="483"/>
      <c r="S274" s="483"/>
      <c r="T274" s="483"/>
      <c r="U274" s="483"/>
      <c r="V274" s="483"/>
      <c r="W274" s="483"/>
      <c r="X274" s="483"/>
      <c r="Y274" s="483"/>
      <c r="Z274" s="483"/>
      <c r="AA274" s="483"/>
      <c r="AB274" s="483"/>
      <c r="AC274" s="483"/>
      <c r="AD274" s="483"/>
    </row>
    <row r="275" spans="3:30">
      <c r="C275" s="483"/>
      <c r="D275" s="483"/>
      <c r="E275" s="483"/>
      <c r="F275" s="483"/>
      <c r="G275" s="483"/>
      <c r="H275" s="483"/>
      <c r="I275" s="483"/>
      <c r="J275" s="483"/>
      <c r="K275" s="483"/>
      <c r="L275" s="483"/>
      <c r="M275" s="483"/>
      <c r="N275" s="483"/>
      <c r="O275" s="483"/>
      <c r="P275" s="483"/>
      <c r="Q275" s="483"/>
      <c r="R275" s="483"/>
      <c r="S275" s="483"/>
      <c r="T275" s="483"/>
      <c r="U275" s="483"/>
      <c r="V275" s="483"/>
      <c r="W275" s="483"/>
      <c r="X275" s="483"/>
      <c r="Y275" s="483"/>
      <c r="Z275" s="483"/>
      <c r="AA275" s="483"/>
      <c r="AB275" s="483"/>
      <c r="AC275" s="483"/>
      <c r="AD275" s="483"/>
    </row>
    <row r="276" spans="3:30">
      <c r="C276" s="483"/>
      <c r="D276" s="483"/>
      <c r="E276" s="483"/>
      <c r="F276" s="483"/>
      <c r="G276" s="483"/>
      <c r="H276" s="483"/>
      <c r="I276" s="483"/>
      <c r="J276" s="483"/>
      <c r="K276" s="483"/>
      <c r="L276" s="483"/>
      <c r="M276" s="483"/>
      <c r="N276" s="483"/>
      <c r="O276" s="483"/>
      <c r="P276" s="483"/>
      <c r="Q276" s="483"/>
      <c r="R276" s="483"/>
      <c r="S276" s="483"/>
      <c r="T276" s="483"/>
      <c r="U276" s="483"/>
      <c r="V276" s="483"/>
      <c r="W276" s="483"/>
      <c r="X276" s="483"/>
      <c r="Y276" s="483"/>
      <c r="Z276" s="483"/>
      <c r="AA276" s="483"/>
      <c r="AB276" s="483"/>
      <c r="AC276" s="483"/>
      <c r="AD276" s="483"/>
    </row>
    <row r="277" spans="3:30">
      <c r="C277" s="483"/>
      <c r="D277" s="483"/>
      <c r="E277" s="483"/>
      <c r="F277" s="483"/>
      <c r="G277" s="483"/>
      <c r="H277" s="483"/>
      <c r="I277" s="483"/>
      <c r="J277" s="483"/>
      <c r="K277" s="483"/>
      <c r="L277" s="483"/>
      <c r="M277" s="483"/>
      <c r="N277" s="483"/>
      <c r="O277" s="483"/>
      <c r="P277" s="483"/>
      <c r="Q277" s="483"/>
      <c r="R277" s="483"/>
      <c r="S277" s="483"/>
      <c r="T277" s="483"/>
      <c r="U277" s="483"/>
      <c r="V277" s="483"/>
      <c r="W277" s="483"/>
      <c r="X277" s="483"/>
      <c r="Y277" s="483"/>
      <c r="Z277" s="483"/>
      <c r="AA277" s="483"/>
      <c r="AB277" s="483"/>
      <c r="AC277" s="483"/>
      <c r="AD277" s="483"/>
    </row>
    <row r="278" spans="3:30">
      <c r="C278" s="483"/>
      <c r="D278" s="483"/>
      <c r="E278" s="483"/>
      <c r="F278" s="483"/>
      <c r="G278" s="483"/>
      <c r="H278" s="483"/>
      <c r="I278" s="483"/>
      <c r="J278" s="483"/>
      <c r="K278" s="483"/>
      <c r="L278" s="483"/>
      <c r="M278" s="483"/>
      <c r="N278" s="483"/>
      <c r="O278" s="483"/>
      <c r="P278" s="483"/>
      <c r="Q278" s="483"/>
      <c r="R278" s="483"/>
      <c r="S278" s="483"/>
      <c r="T278" s="483"/>
      <c r="U278" s="483"/>
      <c r="V278" s="483"/>
      <c r="W278" s="483"/>
      <c r="X278" s="483"/>
      <c r="Y278" s="483"/>
      <c r="Z278" s="483"/>
      <c r="AA278" s="483"/>
      <c r="AB278" s="483"/>
      <c r="AC278" s="483"/>
      <c r="AD278" s="483"/>
    </row>
    <row r="279" spans="3:30">
      <c r="C279" s="483"/>
      <c r="D279" s="483"/>
      <c r="E279" s="483"/>
      <c r="F279" s="483"/>
      <c r="G279" s="483"/>
      <c r="H279" s="483"/>
      <c r="I279" s="483"/>
      <c r="J279" s="483"/>
      <c r="K279" s="483"/>
      <c r="L279" s="483"/>
      <c r="M279" s="483"/>
      <c r="N279" s="483"/>
      <c r="O279" s="483"/>
      <c r="P279" s="483"/>
      <c r="Q279" s="483"/>
      <c r="R279" s="483"/>
      <c r="S279" s="483"/>
      <c r="T279" s="483"/>
      <c r="U279" s="483"/>
      <c r="V279" s="483"/>
      <c r="W279" s="483"/>
      <c r="X279" s="483"/>
      <c r="Y279" s="483"/>
      <c r="Z279" s="483"/>
      <c r="AA279" s="483"/>
      <c r="AB279" s="483"/>
      <c r="AC279" s="483"/>
      <c r="AD279" s="483"/>
    </row>
    <row r="280" spans="3:30">
      <c r="C280" s="483"/>
      <c r="D280" s="483"/>
      <c r="E280" s="483"/>
      <c r="F280" s="483"/>
      <c r="G280" s="483"/>
      <c r="H280" s="483"/>
      <c r="I280" s="483"/>
      <c r="J280" s="483"/>
      <c r="K280" s="483"/>
      <c r="L280" s="483"/>
      <c r="M280" s="483"/>
      <c r="N280" s="483"/>
      <c r="O280" s="483"/>
      <c r="P280" s="483"/>
      <c r="Q280" s="483"/>
      <c r="R280" s="483"/>
      <c r="S280" s="483"/>
      <c r="T280" s="483"/>
      <c r="U280" s="483"/>
      <c r="V280" s="483"/>
      <c r="W280" s="483"/>
      <c r="X280" s="483"/>
      <c r="Y280" s="483"/>
      <c r="Z280" s="483"/>
      <c r="AA280" s="483"/>
      <c r="AB280" s="483"/>
      <c r="AC280" s="483"/>
      <c r="AD280" s="483"/>
    </row>
    <row r="281" spans="3:30">
      <c r="C281" s="483"/>
      <c r="D281" s="483"/>
      <c r="E281" s="483"/>
      <c r="F281" s="483"/>
      <c r="G281" s="483"/>
      <c r="H281" s="483"/>
      <c r="I281" s="483"/>
      <c r="J281" s="483"/>
      <c r="K281" s="483"/>
      <c r="L281" s="483"/>
      <c r="M281" s="483"/>
      <c r="N281" s="483"/>
      <c r="O281" s="483"/>
      <c r="P281" s="483"/>
      <c r="Q281" s="483"/>
      <c r="R281" s="483"/>
      <c r="S281" s="483"/>
      <c r="T281" s="483"/>
      <c r="U281" s="483"/>
      <c r="V281" s="483"/>
      <c r="W281" s="483"/>
      <c r="X281" s="483"/>
      <c r="Y281" s="483"/>
      <c r="Z281" s="483"/>
      <c r="AA281" s="483"/>
      <c r="AB281" s="483"/>
      <c r="AC281" s="483"/>
      <c r="AD281" s="483"/>
    </row>
    <row r="282" spans="3:30">
      <c r="C282" s="483"/>
      <c r="D282" s="483"/>
      <c r="E282" s="483"/>
      <c r="F282" s="483"/>
      <c r="G282" s="483"/>
      <c r="H282" s="483"/>
      <c r="I282" s="483"/>
      <c r="J282" s="483"/>
      <c r="K282" s="483"/>
      <c r="L282" s="483"/>
      <c r="M282" s="483"/>
      <c r="N282" s="483"/>
      <c r="O282" s="483"/>
      <c r="P282" s="483"/>
      <c r="Q282" s="483"/>
      <c r="R282" s="483"/>
      <c r="S282" s="483"/>
      <c r="T282" s="483"/>
      <c r="U282" s="483"/>
      <c r="V282" s="483"/>
      <c r="W282" s="483"/>
      <c r="X282" s="483"/>
      <c r="Y282" s="483"/>
      <c r="Z282" s="483"/>
      <c r="AA282" s="483"/>
      <c r="AB282" s="483"/>
      <c r="AC282" s="483"/>
      <c r="AD282" s="483"/>
    </row>
    <row r="283" spans="3:30">
      <c r="C283" s="483"/>
      <c r="D283" s="483"/>
      <c r="E283" s="483"/>
      <c r="F283" s="483"/>
      <c r="G283" s="483"/>
      <c r="H283" s="483"/>
      <c r="I283" s="483"/>
      <c r="J283" s="483"/>
      <c r="K283" s="483"/>
      <c r="L283" s="483"/>
      <c r="M283" s="483"/>
      <c r="N283" s="483"/>
      <c r="O283" s="483"/>
      <c r="P283" s="483"/>
      <c r="Q283" s="483"/>
      <c r="R283" s="483"/>
      <c r="S283" s="483"/>
      <c r="T283" s="483"/>
      <c r="U283" s="483"/>
      <c r="V283" s="483"/>
      <c r="W283" s="483"/>
      <c r="X283" s="483"/>
      <c r="Y283" s="483"/>
      <c r="Z283" s="483"/>
      <c r="AA283" s="483"/>
      <c r="AB283" s="483"/>
      <c r="AC283" s="483"/>
      <c r="AD283" s="483"/>
    </row>
    <row r="284" spans="3:30">
      <c r="C284" s="483"/>
      <c r="D284" s="483"/>
      <c r="E284" s="483"/>
      <c r="F284" s="483"/>
      <c r="G284" s="483"/>
      <c r="H284" s="483"/>
      <c r="I284" s="483"/>
      <c r="J284" s="483"/>
      <c r="K284" s="483"/>
      <c r="L284" s="483"/>
      <c r="M284" s="483"/>
      <c r="N284" s="483"/>
      <c r="O284" s="483"/>
      <c r="P284" s="483"/>
      <c r="Q284" s="483"/>
      <c r="R284" s="483"/>
      <c r="S284" s="483"/>
      <c r="T284" s="483"/>
      <c r="U284" s="483"/>
      <c r="V284" s="483"/>
      <c r="W284" s="483"/>
      <c r="X284" s="483"/>
      <c r="Y284" s="483"/>
      <c r="Z284" s="483"/>
      <c r="AA284" s="483"/>
      <c r="AB284" s="483"/>
      <c r="AC284" s="483"/>
      <c r="AD284" s="483"/>
    </row>
    <row r="285" spans="3:30">
      <c r="C285" s="483"/>
      <c r="D285" s="483"/>
      <c r="E285" s="483"/>
      <c r="F285" s="483"/>
      <c r="G285" s="483"/>
      <c r="H285" s="483"/>
      <c r="I285" s="483"/>
      <c r="J285" s="483"/>
      <c r="K285" s="483"/>
      <c r="L285" s="483"/>
      <c r="M285" s="483"/>
      <c r="N285" s="483"/>
      <c r="O285" s="483"/>
      <c r="P285" s="483"/>
      <c r="Q285" s="483"/>
      <c r="R285" s="483"/>
      <c r="S285" s="483"/>
      <c r="T285" s="483"/>
      <c r="U285" s="483"/>
      <c r="V285" s="483"/>
      <c r="W285" s="483"/>
      <c r="X285" s="483"/>
      <c r="Y285" s="483"/>
      <c r="Z285" s="483"/>
      <c r="AA285" s="483"/>
      <c r="AB285" s="483"/>
      <c r="AC285" s="483"/>
      <c r="AD285" s="483"/>
    </row>
    <row r="286" spans="3:30">
      <c r="C286" s="483"/>
      <c r="D286" s="483"/>
      <c r="E286" s="483"/>
      <c r="F286" s="483"/>
      <c r="G286" s="483"/>
      <c r="H286" s="483"/>
      <c r="I286" s="483"/>
      <c r="J286" s="483"/>
      <c r="K286" s="483"/>
      <c r="L286" s="483"/>
      <c r="M286" s="483"/>
      <c r="N286" s="483"/>
      <c r="O286" s="483"/>
      <c r="P286" s="483"/>
      <c r="Q286" s="483"/>
      <c r="R286" s="483"/>
      <c r="S286" s="483"/>
      <c r="T286" s="483"/>
      <c r="U286" s="483"/>
      <c r="V286" s="483"/>
      <c r="W286" s="483"/>
      <c r="X286" s="483"/>
      <c r="Y286" s="483"/>
      <c r="Z286" s="483"/>
      <c r="AA286" s="483"/>
      <c r="AB286" s="483"/>
      <c r="AC286" s="483"/>
      <c r="AD286" s="483"/>
    </row>
    <row r="287" spans="3:30">
      <c r="C287" s="483"/>
      <c r="D287" s="483"/>
      <c r="E287" s="483"/>
      <c r="F287" s="483"/>
      <c r="G287" s="483"/>
      <c r="H287" s="483"/>
      <c r="I287" s="483"/>
      <c r="J287" s="483"/>
      <c r="K287" s="483"/>
      <c r="L287" s="483"/>
      <c r="M287" s="483"/>
      <c r="N287" s="483"/>
      <c r="O287" s="483"/>
      <c r="P287" s="483"/>
      <c r="Q287" s="483"/>
      <c r="R287" s="483"/>
      <c r="S287" s="483"/>
      <c r="T287" s="483"/>
      <c r="U287" s="483"/>
      <c r="V287" s="483"/>
      <c r="W287" s="483"/>
      <c r="X287" s="483"/>
      <c r="Y287" s="483"/>
      <c r="Z287" s="483"/>
      <c r="AA287" s="483"/>
      <c r="AB287" s="483"/>
      <c r="AC287" s="483"/>
      <c r="AD287" s="483"/>
    </row>
    <row r="288" spans="3:30">
      <c r="C288" s="483"/>
      <c r="D288" s="483"/>
      <c r="E288" s="483"/>
      <c r="F288" s="483"/>
      <c r="G288" s="483"/>
      <c r="H288" s="483"/>
      <c r="I288" s="483"/>
      <c r="J288" s="483"/>
      <c r="K288" s="483"/>
      <c r="L288" s="483"/>
      <c r="M288" s="483"/>
      <c r="N288" s="483"/>
      <c r="O288" s="483"/>
      <c r="P288" s="483"/>
      <c r="Q288" s="483"/>
      <c r="R288" s="483"/>
      <c r="S288" s="483"/>
      <c r="T288" s="483"/>
      <c r="U288" s="483"/>
      <c r="V288" s="483"/>
      <c r="W288" s="483"/>
      <c r="X288" s="483"/>
      <c r="Y288" s="483"/>
      <c r="Z288" s="483"/>
      <c r="AA288" s="483"/>
      <c r="AB288" s="483"/>
      <c r="AC288" s="483"/>
      <c r="AD288" s="483"/>
    </row>
    <row r="289" spans="3:30">
      <c r="C289" s="483"/>
      <c r="D289" s="483"/>
      <c r="E289" s="483"/>
      <c r="F289" s="483"/>
      <c r="G289" s="483"/>
      <c r="H289" s="483"/>
      <c r="I289" s="483"/>
      <c r="J289" s="483"/>
      <c r="K289" s="483"/>
      <c r="L289" s="483"/>
      <c r="M289" s="483"/>
      <c r="N289" s="483"/>
      <c r="O289" s="483"/>
      <c r="P289" s="483"/>
      <c r="Q289" s="483"/>
      <c r="R289" s="483"/>
      <c r="S289" s="483"/>
      <c r="T289" s="483"/>
      <c r="U289" s="483"/>
      <c r="V289" s="483"/>
      <c r="W289" s="483"/>
      <c r="X289" s="483"/>
      <c r="Y289" s="483"/>
      <c r="Z289" s="483"/>
      <c r="AA289" s="483"/>
      <c r="AB289" s="483"/>
      <c r="AC289" s="483"/>
      <c r="AD289" s="483"/>
    </row>
    <row r="290" spans="3:30">
      <c r="C290" s="483"/>
      <c r="D290" s="483"/>
      <c r="E290" s="483"/>
      <c r="F290" s="483"/>
      <c r="G290" s="483"/>
      <c r="H290" s="483"/>
      <c r="I290" s="483"/>
      <c r="J290" s="483"/>
      <c r="K290" s="483"/>
      <c r="L290" s="483"/>
      <c r="M290" s="483"/>
      <c r="N290" s="483"/>
      <c r="O290" s="483"/>
      <c r="P290" s="483"/>
      <c r="Q290" s="483"/>
      <c r="R290" s="483"/>
      <c r="S290" s="483"/>
      <c r="T290" s="483"/>
      <c r="U290" s="483"/>
      <c r="V290" s="483"/>
      <c r="W290" s="483"/>
      <c r="X290" s="483"/>
      <c r="Y290" s="483"/>
      <c r="Z290" s="483"/>
      <c r="AA290" s="483"/>
      <c r="AB290" s="483"/>
      <c r="AC290" s="483"/>
      <c r="AD290" s="483"/>
    </row>
    <row r="291" spans="3:30">
      <c r="C291" s="483"/>
      <c r="D291" s="483"/>
      <c r="E291" s="483"/>
      <c r="F291" s="483"/>
      <c r="G291" s="483"/>
      <c r="H291" s="483"/>
      <c r="I291" s="483"/>
      <c r="J291" s="483"/>
      <c r="K291" s="483"/>
      <c r="L291" s="483"/>
      <c r="M291" s="483"/>
      <c r="N291" s="483"/>
      <c r="O291" s="483"/>
      <c r="P291" s="483"/>
      <c r="Q291" s="483"/>
      <c r="R291" s="483"/>
      <c r="S291" s="483"/>
      <c r="T291" s="483"/>
      <c r="U291" s="483"/>
      <c r="V291" s="483"/>
      <c r="W291" s="483"/>
      <c r="X291" s="483"/>
      <c r="Y291" s="483"/>
      <c r="Z291" s="483"/>
      <c r="AA291" s="483"/>
      <c r="AB291" s="483"/>
      <c r="AC291" s="483"/>
      <c r="AD291" s="483"/>
    </row>
    <row r="292" spans="3:30">
      <c r="C292" s="483"/>
      <c r="D292" s="483"/>
      <c r="E292" s="483"/>
      <c r="F292" s="483"/>
      <c r="G292" s="483"/>
      <c r="H292" s="483"/>
      <c r="I292" s="483"/>
      <c r="J292" s="483"/>
      <c r="K292" s="483"/>
      <c r="L292" s="483"/>
      <c r="M292" s="483"/>
      <c r="N292" s="483"/>
      <c r="O292" s="483"/>
      <c r="P292" s="483"/>
      <c r="Q292" s="483"/>
      <c r="R292" s="483"/>
      <c r="S292" s="483"/>
      <c r="T292" s="483"/>
      <c r="U292" s="483"/>
      <c r="V292" s="483"/>
      <c r="W292" s="483"/>
      <c r="X292" s="483"/>
      <c r="Y292" s="483"/>
      <c r="Z292" s="483"/>
      <c r="AA292" s="483"/>
      <c r="AB292" s="483"/>
      <c r="AC292" s="483"/>
      <c r="AD292" s="483"/>
    </row>
    <row r="293" spans="3:30">
      <c r="C293" s="483"/>
      <c r="D293" s="483"/>
      <c r="E293" s="483"/>
      <c r="F293" s="483"/>
      <c r="G293" s="483"/>
      <c r="H293" s="483"/>
      <c r="I293" s="483"/>
      <c r="J293" s="483"/>
      <c r="K293" s="483"/>
      <c r="L293" s="483"/>
      <c r="M293" s="483"/>
      <c r="N293" s="483"/>
      <c r="O293" s="483"/>
      <c r="P293" s="483"/>
      <c r="Q293" s="483"/>
      <c r="R293" s="483"/>
      <c r="S293" s="483"/>
      <c r="T293" s="483"/>
      <c r="U293" s="483"/>
      <c r="V293" s="483"/>
      <c r="W293" s="483"/>
      <c r="X293" s="483"/>
      <c r="Y293" s="483"/>
      <c r="Z293" s="483"/>
      <c r="AA293" s="483"/>
      <c r="AB293" s="483"/>
      <c r="AC293" s="483"/>
      <c r="AD293" s="483"/>
    </row>
    <row r="294" spans="3:30">
      <c r="C294" s="483"/>
      <c r="D294" s="483"/>
      <c r="E294" s="483"/>
      <c r="F294" s="483"/>
      <c r="G294" s="483"/>
      <c r="H294" s="483"/>
      <c r="I294" s="483"/>
      <c r="J294" s="483"/>
      <c r="K294" s="483"/>
      <c r="L294" s="483"/>
      <c r="M294" s="483"/>
      <c r="N294" s="483"/>
      <c r="O294" s="483"/>
      <c r="P294" s="483"/>
      <c r="Q294" s="483"/>
      <c r="R294" s="483"/>
      <c r="S294" s="483"/>
      <c r="T294" s="483"/>
      <c r="U294" s="483"/>
      <c r="V294" s="483"/>
      <c r="W294" s="483"/>
      <c r="X294" s="483"/>
      <c r="Y294" s="483"/>
      <c r="Z294" s="483"/>
      <c r="AA294" s="483"/>
      <c r="AB294" s="483"/>
      <c r="AC294" s="483"/>
      <c r="AD294" s="483"/>
    </row>
    <row r="295" spans="3:30">
      <c r="C295" s="483"/>
      <c r="D295" s="483"/>
      <c r="E295" s="483"/>
      <c r="F295" s="483"/>
      <c r="G295" s="483"/>
      <c r="H295" s="483"/>
      <c r="I295" s="483"/>
      <c r="J295" s="483"/>
      <c r="K295" s="483"/>
      <c r="L295" s="483"/>
      <c r="M295" s="483"/>
      <c r="N295" s="483"/>
      <c r="O295" s="483"/>
      <c r="P295" s="483"/>
      <c r="Q295" s="483"/>
      <c r="R295" s="483"/>
      <c r="S295" s="483"/>
      <c r="T295" s="483"/>
      <c r="U295" s="483"/>
      <c r="V295" s="483"/>
      <c r="W295" s="483"/>
      <c r="X295" s="483"/>
      <c r="Y295" s="483"/>
      <c r="Z295" s="483"/>
      <c r="AA295" s="483"/>
      <c r="AB295" s="483"/>
      <c r="AC295" s="483"/>
      <c r="AD295" s="483"/>
    </row>
    <row r="296" spans="3:30">
      <c r="C296" s="483"/>
      <c r="D296" s="483"/>
      <c r="E296" s="483"/>
      <c r="F296" s="483"/>
      <c r="G296" s="483"/>
      <c r="H296" s="483"/>
      <c r="I296" s="483"/>
      <c r="J296" s="483"/>
      <c r="K296" s="483"/>
      <c r="L296" s="483"/>
      <c r="M296" s="483"/>
      <c r="N296" s="483"/>
      <c r="O296" s="483"/>
      <c r="P296" s="483"/>
      <c r="Q296" s="483"/>
      <c r="R296" s="483"/>
      <c r="S296" s="483"/>
      <c r="T296" s="483"/>
      <c r="U296" s="483"/>
      <c r="V296" s="483"/>
      <c r="W296" s="483"/>
      <c r="X296" s="483"/>
      <c r="Y296" s="483"/>
      <c r="Z296" s="483"/>
      <c r="AA296" s="483"/>
      <c r="AB296" s="483"/>
      <c r="AC296" s="483"/>
      <c r="AD296" s="483"/>
    </row>
    <row r="297" spans="3:30">
      <c r="C297" s="483"/>
      <c r="D297" s="483"/>
      <c r="E297" s="483"/>
      <c r="F297" s="483"/>
      <c r="G297" s="483"/>
      <c r="H297" s="483"/>
      <c r="I297" s="483"/>
      <c r="J297" s="483"/>
      <c r="K297" s="483"/>
      <c r="L297" s="483"/>
      <c r="M297" s="483"/>
      <c r="N297" s="483"/>
      <c r="O297" s="483"/>
      <c r="P297" s="483"/>
      <c r="Q297" s="483"/>
      <c r="R297" s="483"/>
      <c r="S297" s="483"/>
      <c r="T297" s="483"/>
      <c r="U297" s="483"/>
      <c r="V297" s="483"/>
      <c r="W297" s="483"/>
      <c r="X297" s="483"/>
      <c r="Y297" s="483"/>
      <c r="Z297" s="483"/>
      <c r="AA297" s="483"/>
      <c r="AB297" s="483"/>
      <c r="AC297" s="483"/>
      <c r="AD297" s="483"/>
    </row>
    <row r="298" spans="3:30">
      <c r="C298" s="483"/>
      <c r="D298" s="483"/>
      <c r="E298" s="483"/>
      <c r="F298" s="483"/>
      <c r="G298" s="483"/>
      <c r="H298" s="483"/>
      <c r="I298" s="483"/>
      <c r="J298" s="483"/>
      <c r="K298" s="483"/>
      <c r="L298" s="483"/>
      <c r="M298" s="483"/>
      <c r="N298" s="483"/>
      <c r="O298" s="483"/>
      <c r="P298" s="483"/>
      <c r="Q298" s="483"/>
      <c r="R298" s="483"/>
      <c r="S298" s="483"/>
      <c r="T298" s="483"/>
      <c r="U298" s="483"/>
      <c r="V298" s="483"/>
      <c r="W298" s="483"/>
      <c r="X298" s="483"/>
      <c r="Y298" s="483"/>
      <c r="Z298" s="483"/>
      <c r="AA298" s="483"/>
      <c r="AB298" s="483"/>
      <c r="AC298" s="483"/>
      <c r="AD298" s="483"/>
    </row>
    <row r="299" spans="3:30">
      <c r="C299" s="483"/>
      <c r="D299" s="483"/>
      <c r="E299" s="483"/>
      <c r="F299" s="483"/>
      <c r="G299" s="483"/>
      <c r="H299" s="483"/>
      <c r="I299" s="483"/>
      <c r="J299" s="483"/>
      <c r="K299" s="483"/>
      <c r="L299" s="483"/>
      <c r="M299" s="483"/>
      <c r="N299" s="483"/>
      <c r="O299" s="483"/>
      <c r="P299" s="483"/>
      <c r="Q299" s="483"/>
      <c r="R299" s="483"/>
      <c r="S299" s="483"/>
      <c r="T299" s="483"/>
      <c r="U299" s="483"/>
      <c r="V299" s="483"/>
      <c r="W299" s="483"/>
      <c r="X299" s="483"/>
      <c r="Y299" s="483"/>
      <c r="Z299" s="483"/>
      <c r="AA299" s="483"/>
      <c r="AB299" s="483"/>
      <c r="AC299" s="483"/>
      <c r="AD299" s="483"/>
    </row>
    <row r="300" spans="3:30">
      <c r="C300" s="483"/>
      <c r="D300" s="483"/>
      <c r="E300" s="483"/>
      <c r="F300" s="483"/>
      <c r="G300" s="483"/>
      <c r="H300" s="483"/>
      <c r="I300" s="483"/>
      <c r="J300" s="483"/>
      <c r="K300" s="483"/>
      <c r="L300" s="483"/>
      <c r="M300" s="483"/>
      <c r="N300" s="483"/>
      <c r="O300" s="483"/>
      <c r="P300" s="483"/>
      <c r="Q300" s="483"/>
      <c r="R300" s="483"/>
      <c r="S300" s="483"/>
      <c r="T300" s="483"/>
      <c r="U300" s="483"/>
      <c r="V300" s="483"/>
      <c r="W300" s="483"/>
      <c r="X300" s="483"/>
      <c r="Y300" s="483"/>
      <c r="Z300" s="483"/>
      <c r="AA300" s="483"/>
      <c r="AB300" s="483"/>
      <c r="AC300" s="483"/>
      <c r="AD300" s="483"/>
    </row>
    <row r="301" spans="3:30">
      <c r="C301" s="483"/>
      <c r="D301" s="483"/>
      <c r="E301" s="483"/>
      <c r="F301" s="483"/>
      <c r="G301" s="483"/>
      <c r="H301" s="483"/>
      <c r="I301" s="483"/>
      <c r="J301" s="483"/>
      <c r="K301" s="483"/>
      <c r="L301" s="483"/>
      <c r="M301" s="483"/>
      <c r="N301" s="483"/>
      <c r="O301" s="483"/>
      <c r="P301" s="483"/>
      <c r="Q301" s="483"/>
      <c r="R301" s="483"/>
      <c r="S301" s="483"/>
      <c r="T301" s="483"/>
      <c r="U301" s="483"/>
      <c r="V301" s="483"/>
      <c r="W301" s="483"/>
      <c r="X301" s="483"/>
      <c r="Y301" s="483"/>
      <c r="Z301" s="483"/>
      <c r="AA301" s="483"/>
      <c r="AB301" s="483"/>
      <c r="AC301" s="483"/>
      <c r="AD301" s="483"/>
    </row>
    <row r="302" spans="3:30">
      <c r="C302" s="483"/>
      <c r="D302" s="483"/>
      <c r="E302" s="483"/>
      <c r="F302" s="483"/>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3"/>
    </row>
    <row r="303" spans="3:30">
      <c r="C303" s="483"/>
      <c r="D303" s="483"/>
      <c r="E303" s="483"/>
      <c r="F303" s="483"/>
      <c r="G303" s="483"/>
      <c r="H303" s="483"/>
      <c r="I303" s="483"/>
      <c r="J303" s="483"/>
      <c r="K303" s="483"/>
      <c r="L303" s="483"/>
      <c r="M303" s="483"/>
      <c r="N303" s="483"/>
      <c r="O303" s="483"/>
      <c r="P303" s="483"/>
      <c r="Q303" s="483"/>
      <c r="R303" s="483"/>
      <c r="S303" s="483"/>
      <c r="T303" s="483"/>
      <c r="U303" s="483"/>
      <c r="V303" s="483"/>
      <c r="W303" s="483"/>
      <c r="X303" s="483"/>
      <c r="Y303" s="483"/>
      <c r="Z303" s="483"/>
      <c r="AA303" s="483"/>
      <c r="AB303" s="483"/>
      <c r="AC303" s="483"/>
      <c r="AD303" s="483"/>
    </row>
    <row r="304" spans="3:30">
      <c r="C304" s="483"/>
      <c r="D304" s="483"/>
      <c r="E304" s="483"/>
      <c r="F304" s="483"/>
      <c r="G304" s="483"/>
      <c r="H304" s="483"/>
      <c r="I304" s="483"/>
      <c r="J304" s="483"/>
      <c r="K304" s="483"/>
      <c r="L304" s="483"/>
      <c r="M304" s="483"/>
      <c r="N304" s="483"/>
      <c r="O304" s="483"/>
      <c r="P304" s="483"/>
      <c r="Q304" s="483"/>
      <c r="R304" s="483"/>
      <c r="S304" s="483"/>
      <c r="T304" s="483"/>
      <c r="U304" s="483"/>
      <c r="V304" s="483"/>
      <c r="W304" s="483"/>
      <c r="X304" s="483"/>
      <c r="Y304" s="483"/>
      <c r="Z304" s="483"/>
      <c r="AA304" s="483"/>
      <c r="AB304" s="483"/>
      <c r="AC304" s="483"/>
      <c r="AD304" s="483"/>
    </row>
    <row r="305" spans="3:30">
      <c r="C305" s="483"/>
      <c r="D305" s="483"/>
      <c r="E305" s="483"/>
      <c r="F305" s="483"/>
      <c r="G305" s="483"/>
      <c r="H305" s="483"/>
      <c r="I305" s="483"/>
      <c r="J305" s="483"/>
      <c r="K305" s="483"/>
      <c r="L305" s="483"/>
      <c r="M305" s="483"/>
      <c r="N305" s="483"/>
      <c r="O305" s="483"/>
      <c r="P305" s="483"/>
      <c r="Q305" s="483"/>
      <c r="R305" s="483"/>
      <c r="S305" s="483"/>
      <c r="T305" s="483"/>
      <c r="U305" s="483"/>
      <c r="V305" s="483"/>
      <c r="W305" s="483"/>
      <c r="X305" s="483"/>
      <c r="Y305" s="483"/>
      <c r="Z305" s="483"/>
      <c r="AA305" s="483"/>
      <c r="AB305" s="483"/>
      <c r="AC305" s="483"/>
      <c r="AD305" s="483"/>
    </row>
    <row r="306" spans="3:30">
      <c r="C306" s="483"/>
      <c r="D306" s="483"/>
      <c r="E306" s="483"/>
      <c r="F306" s="483"/>
      <c r="G306" s="483"/>
      <c r="H306" s="483"/>
      <c r="I306" s="483"/>
      <c r="J306" s="483"/>
      <c r="K306" s="483"/>
      <c r="L306" s="483"/>
      <c r="M306" s="483"/>
      <c r="N306" s="483"/>
      <c r="O306" s="483"/>
      <c r="P306" s="483"/>
      <c r="Q306" s="483"/>
      <c r="R306" s="483"/>
      <c r="S306" s="483"/>
      <c r="T306" s="483"/>
      <c r="U306" s="483"/>
      <c r="V306" s="483"/>
      <c r="W306" s="483"/>
      <c r="X306" s="483"/>
      <c r="Y306" s="483"/>
      <c r="Z306" s="483"/>
      <c r="AA306" s="483"/>
      <c r="AB306" s="483"/>
      <c r="AC306" s="483"/>
      <c r="AD306" s="483"/>
    </row>
    <row r="307" spans="3:30">
      <c r="C307" s="483"/>
      <c r="D307" s="483"/>
      <c r="E307" s="483"/>
      <c r="F307" s="483"/>
      <c r="G307" s="483"/>
      <c r="H307" s="483"/>
      <c r="I307" s="483"/>
      <c r="J307" s="483"/>
      <c r="K307" s="483"/>
      <c r="L307" s="483"/>
      <c r="M307" s="483"/>
      <c r="N307" s="483"/>
      <c r="O307" s="483"/>
      <c r="P307" s="483"/>
      <c r="Q307" s="483"/>
      <c r="R307" s="483"/>
      <c r="S307" s="483"/>
      <c r="T307" s="483"/>
      <c r="U307" s="483"/>
      <c r="V307" s="483"/>
      <c r="W307" s="483"/>
      <c r="X307" s="483"/>
      <c r="Y307" s="483"/>
      <c r="Z307" s="483"/>
      <c r="AA307" s="483"/>
      <c r="AB307" s="483"/>
      <c r="AC307" s="483"/>
      <c r="AD307" s="483"/>
    </row>
    <row r="308" spans="3:30">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row>
    <row r="309" spans="3:30">
      <c r="C309" s="483"/>
      <c r="D309" s="483"/>
      <c r="E309" s="483"/>
      <c r="F309" s="483"/>
      <c r="G309" s="483"/>
      <c r="H309" s="483"/>
      <c r="I309" s="483"/>
      <c r="J309" s="483"/>
      <c r="K309" s="483"/>
      <c r="L309" s="483"/>
      <c r="M309" s="483"/>
      <c r="N309" s="483"/>
      <c r="O309" s="483"/>
      <c r="P309" s="483"/>
      <c r="Q309" s="483"/>
      <c r="R309" s="483"/>
      <c r="S309" s="483"/>
      <c r="T309" s="483"/>
      <c r="U309" s="483"/>
      <c r="V309" s="483"/>
      <c r="W309" s="483"/>
      <c r="X309" s="483"/>
      <c r="Y309" s="483"/>
      <c r="Z309" s="483"/>
      <c r="AA309" s="483"/>
      <c r="AB309" s="483"/>
      <c r="AC309" s="483"/>
      <c r="AD309" s="483"/>
    </row>
    <row r="310" spans="3:30">
      <c r="C310" s="483"/>
      <c r="D310" s="483"/>
      <c r="E310" s="483"/>
      <c r="F310" s="483"/>
      <c r="G310" s="483"/>
      <c r="H310" s="483"/>
      <c r="I310" s="483"/>
      <c r="J310" s="483"/>
      <c r="K310" s="483"/>
      <c r="L310" s="483"/>
      <c r="M310" s="483"/>
      <c r="N310" s="483"/>
      <c r="O310" s="483"/>
      <c r="P310" s="483"/>
      <c r="Q310" s="483"/>
      <c r="R310" s="483"/>
      <c r="S310" s="483"/>
      <c r="T310" s="483"/>
      <c r="U310" s="483"/>
      <c r="V310" s="483"/>
      <c r="W310" s="483"/>
      <c r="X310" s="483"/>
      <c r="Y310" s="483"/>
      <c r="Z310" s="483"/>
      <c r="AA310" s="483"/>
      <c r="AB310" s="483"/>
      <c r="AC310" s="483"/>
      <c r="AD310" s="483"/>
    </row>
    <row r="311" spans="3:30">
      <c r="C311" s="483"/>
      <c r="D311" s="483"/>
      <c r="E311" s="483"/>
      <c r="F311" s="483"/>
      <c r="G311" s="483"/>
      <c r="H311" s="483"/>
      <c r="I311" s="483"/>
      <c r="J311" s="483"/>
      <c r="K311" s="483"/>
      <c r="L311" s="483"/>
      <c r="M311" s="483"/>
      <c r="N311" s="483"/>
      <c r="O311" s="483"/>
      <c r="P311" s="483"/>
      <c r="Q311" s="483"/>
      <c r="R311" s="483"/>
      <c r="S311" s="483"/>
      <c r="T311" s="483"/>
      <c r="U311" s="483"/>
      <c r="V311" s="483"/>
      <c r="W311" s="483"/>
      <c r="X311" s="483"/>
      <c r="Y311" s="483"/>
      <c r="Z311" s="483"/>
      <c r="AA311" s="483"/>
      <c r="AB311" s="483"/>
      <c r="AC311" s="483"/>
      <c r="AD311" s="483"/>
    </row>
    <row r="312" spans="3:30">
      <c r="C312" s="483"/>
      <c r="D312" s="483"/>
      <c r="E312" s="483"/>
      <c r="F312" s="483"/>
      <c r="G312" s="483"/>
      <c r="H312" s="483"/>
      <c r="I312" s="483"/>
      <c r="J312" s="483"/>
      <c r="K312" s="483"/>
      <c r="L312" s="483"/>
      <c r="M312" s="483"/>
      <c r="N312" s="483"/>
      <c r="O312" s="483"/>
      <c r="P312" s="483"/>
      <c r="Q312" s="483"/>
      <c r="R312" s="483"/>
      <c r="S312" s="483"/>
      <c r="T312" s="483"/>
      <c r="U312" s="483"/>
      <c r="V312" s="483"/>
      <c r="W312" s="483"/>
      <c r="X312" s="483"/>
      <c r="Y312" s="483"/>
      <c r="Z312" s="483"/>
      <c r="AA312" s="483"/>
      <c r="AB312" s="483"/>
      <c r="AC312" s="483"/>
      <c r="AD312" s="483"/>
    </row>
    <row r="313" spans="3:30">
      <c r="C313" s="483"/>
      <c r="D313" s="483"/>
      <c r="E313" s="483"/>
      <c r="F313" s="483"/>
      <c r="G313" s="483"/>
      <c r="H313" s="483"/>
      <c r="I313" s="483"/>
      <c r="J313" s="483"/>
      <c r="K313" s="483"/>
      <c r="L313" s="483"/>
      <c r="M313" s="483"/>
      <c r="N313" s="483"/>
      <c r="O313" s="483"/>
      <c r="P313" s="483"/>
      <c r="Q313" s="483"/>
      <c r="R313" s="483"/>
      <c r="S313" s="483"/>
      <c r="T313" s="483"/>
      <c r="U313" s="483"/>
      <c r="V313" s="483"/>
      <c r="W313" s="483"/>
      <c r="X313" s="483"/>
      <c r="Y313" s="483"/>
      <c r="Z313" s="483"/>
      <c r="AA313" s="483"/>
      <c r="AB313" s="483"/>
      <c r="AC313" s="483"/>
      <c r="AD313" s="483"/>
    </row>
    <row r="314" spans="3:30">
      <c r="C314" s="483"/>
      <c r="D314" s="483"/>
      <c r="E314" s="483"/>
      <c r="F314" s="483"/>
      <c r="G314" s="483"/>
      <c r="H314" s="483"/>
      <c r="I314" s="483"/>
      <c r="J314" s="483"/>
      <c r="K314" s="483"/>
      <c r="L314" s="483"/>
      <c r="M314" s="483"/>
      <c r="N314" s="483"/>
      <c r="O314" s="483"/>
      <c r="P314" s="483"/>
      <c r="Q314" s="483"/>
      <c r="R314" s="483"/>
      <c r="S314" s="483"/>
      <c r="T314" s="483"/>
      <c r="U314" s="483"/>
      <c r="V314" s="483"/>
      <c r="W314" s="483"/>
      <c r="X314" s="483"/>
      <c r="Y314" s="483"/>
      <c r="Z314" s="483"/>
      <c r="AA314" s="483"/>
      <c r="AB314" s="483"/>
      <c r="AC314" s="483"/>
      <c r="AD314" s="483"/>
    </row>
    <row r="315" spans="3:30">
      <c r="C315" s="483"/>
      <c r="D315" s="483"/>
      <c r="E315" s="483"/>
      <c r="F315" s="483"/>
      <c r="G315" s="483"/>
      <c r="H315" s="483"/>
      <c r="I315" s="483"/>
      <c r="J315" s="483"/>
      <c r="K315" s="483"/>
      <c r="L315" s="483"/>
      <c r="M315" s="483"/>
      <c r="N315" s="483"/>
      <c r="O315" s="483"/>
      <c r="P315" s="483"/>
      <c r="Q315" s="483"/>
      <c r="R315" s="483"/>
      <c r="S315" s="483"/>
      <c r="T315" s="483"/>
      <c r="U315" s="483"/>
      <c r="V315" s="483"/>
      <c r="W315" s="483"/>
      <c r="X315" s="483"/>
      <c r="Y315" s="483"/>
      <c r="Z315" s="483"/>
      <c r="AA315" s="483"/>
      <c r="AB315" s="483"/>
      <c r="AC315" s="483"/>
      <c r="AD315" s="483"/>
    </row>
    <row r="316" spans="3:30">
      <c r="C316" s="483"/>
      <c r="D316" s="483"/>
      <c r="E316" s="483"/>
      <c r="F316" s="483"/>
      <c r="G316" s="483"/>
      <c r="H316" s="483"/>
      <c r="I316" s="483"/>
      <c r="J316" s="483"/>
      <c r="K316" s="483"/>
      <c r="L316" s="483"/>
      <c r="M316" s="483"/>
      <c r="N316" s="483"/>
      <c r="O316" s="483"/>
      <c r="P316" s="483"/>
      <c r="Q316" s="483"/>
      <c r="R316" s="483"/>
      <c r="S316" s="483"/>
      <c r="T316" s="483"/>
      <c r="U316" s="483"/>
      <c r="V316" s="483"/>
      <c r="W316" s="483"/>
      <c r="X316" s="483"/>
      <c r="Y316" s="483"/>
      <c r="Z316" s="483"/>
      <c r="AA316" s="483"/>
      <c r="AB316" s="483"/>
      <c r="AC316" s="483"/>
      <c r="AD316" s="483"/>
    </row>
    <row r="317" spans="3:30">
      <c r="C317" s="483"/>
      <c r="D317" s="483"/>
      <c r="E317" s="483"/>
      <c r="F317" s="483"/>
      <c r="G317" s="483"/>
      <c r="H317" s="483"/>
      <c r="I317" s="483"/>
      <c r="J317" s="483"/>
      <c r="K317" s="483"/>
      <c r="L317" s="483"/>
      <c r="M317" s="483"/>
      <c r="N317" s="483"/>
      <c r="O317" s="483"/>
      <c r="P317" s="483"/>
      <c r="Q317" s="483"/>
      <c r="R317" s="483"/>
      <c r="S317" s="483"/>
      <c r="T317" s="483"/>
      <c r="U317" s="483"/>
      <c r="V317" s="483"/>
      <c r="W317" s="483"/>
      <c r="X317" s="483"/>
      <c r="Y317" s="483"/>
      <c r="Z317" s="483"/>
      <c r="AA317" s="483"/>
      <c r="AB317" s="483"/>
      <c r="AC317" s="483"/>
      <c r="AD317" s="483"/>
    </row>
    <row r="318" spans="3:30">
      <c r="C318" s="483"/>
      <c r="D318" s="483"/>
      <c r="E318" s="483"/>
      <c r="F318" s="483"/>
      <c r="G318" s="483"/>
      <c r="H318" s="483"/>
      <c r="I318" s="483"/>
      <c r="J318" s="483"/>
      <c r="K318" s="483"/>
      <c r="L318" s="483"/>
      <c r="M318" s="483"/>
      <c r="N318" s="483"/>
      <c r="O318" s="483"/>
      <c r="P318" s="483"/>
      <c r="Q318" s="483"/>
      <c r="R318" s="483"/>
      <c r="S318" s="483"/>
      <c r="T318" s="483"/>
      <c r="U318" s="483"/>
      <c r="V318" s="483"/>
      <c r="W318" s="483"/>
      <c r="X318" s="483"/>
      <c r="Y318" s="483"/>
      <c r="Z318" s="483"/>
      <c r="AA318" s="483"/>
      <c r="AB318" s="483"/>
      <c r="AC318" s="483"/>
      <c r="AD318" s="483"/>
    </row>
    <row r="319" spans="3:30">
      <c r="C319" s="483"/>
      <c r="D319" s="483"/>
      <c r="E319" s="483"/>
      <c r="F319" s="483"/>
      <c r="G319" s="483"/>
      <c r="H319" s="483"/>
      <c r="I319" s="483"/>
      <c r="J319" s="483"/>
      <c r="K319" s="483"/>
      <c r="L319" s="483"/>
      <c r="M319" s="483"/>
      <c r="N319" s="483"/>
      <c r="O319" s="483"/>
      <c r="P319" s="483"/>
      <c r="Q319" s="483"/>
      <c r="R319" s="483"/>
      <c r="S319" s="483"/>
      <c r="T319" s="483"/>
      <c r="U319" s="483"/>
      <c r="V319" s="483"/>
      <c r="W319" s="483"/>
      <c r="X319" s="483"/>
      <c r="Y319" s="483"/>
      <c r="Z319" s="483"/>
      <c r="AA319" s="483"/>
      <c r="AB319" s="483"/>
      <c r="AC319" s="483"/>
      <c r="AD319" s="483"/>
    </row>
    <row r="320" spans="3:30">
      <c r="C320" s="483"/>
      <c r="D320" s="483"/>
      <c r="E320" s="483"/>
      <c r="F320" s="483"/>
      <c r="G320" s="483"/>
      <c r="H320" s="483"/>
      <c r="I320" s="483"/>
      <c r="J320" s="483"/>
      <c r="K320" s="483"/>
      <c r="L320" s="483"/>
      <c r="M320" s="483"/>
      <c r="N320" s="483"/>
      <c r="O320" s="483"/>
      <c r="P320" s="483"/>
      <c r="Q320" s="483"/>
      <c r="R320" s="483"/>
      <c r="S320" s="483"/>
      <c r="T320" s="483"/>
      <c r="U320" s="483"/>
      <c r="V320" s="483"/>
      <c r="W320" s="483"/>
      <c r="X320" s="483"/>
      <c r="Y320" s="483"/>
      <c r="Z320" s="483"/>
      <c r="AA320" s="483"/>
      <c r="AB320" s="483"/>
      <c r="AC320" s="483"/>
      <c r="AD320" s="483"/>
    </row>
    <row r="321" spans="3:30">
      <c r="C321" s="483"/>
      <c r="D321" s="483"/>
      <c r="E321" s="483"/>
      <c r="F321" s="483"/>
      <c r="G321" s="483"/>
      <c r="H321" s="483"/>
      <c r="I321" s="483"/>
      <c r="J321" s="483"/>
      <c r="K321" s="483"/>
      <c r="L321" s="483"/>
      <c r="M321" s="483"/>
      <c r="N321" s="483"/>
      <c r="O321" s="483"/>
      <c r="P321" s="483"/>
      <c r="Q321" s="483"/>
      <c r="R321" s="483"/>
      <c r="S321" s="483"/>
      <c r="T321" s="483"/>
      <c r="U321" s="483"/>
      <c r="V321" s="483"/>
      <c r="W321" s="483"/>
      <c r="X321" s="483"/>
      <c r="Y321" s="483"/>
      <c r="Z321" s="483"/>
      <c r="AA321" s="483"/>
      <c r="AB321" s="483"/>
      <c r="AC321" s="483"/>
      <c r="AD321" s="483"/>
    </row>
    <row r="322" spans="3:30">
      <c r="C322" s="483"/>
      <c r="D322" s="483"/>
      <c r="E322" s="483"/>
      <c r="F322" s="483"/>
      <c r="G322" s="483"/>
      <c r="H322" s="483"/>
      <c r="I322" s="483"/>
      <c r="J322" s="483"/>
      <c r="K322" s="483"/>
      <c r="L322" s="483"/>
      <c r="M322" s="483"/>
      <c r="N322" s="483"/>
      <c r="O322" s="483"/>
      <c r="P322" s="483"/>
      <c r="Q322" s="483"/>
      <c r="R322" s="483"/>
      <c r="S322" s="483"/>
      <c r="T322" s="483"/>
      <c r="U322" s="483"/>
      <c r="V322" s="483"/>
      <c r="W322" s="483"/>
      <c r="X322" s="483"/>
      <c r="Y322" s="483"/>
      <c r="Z322" s="483"/>
      <c r="AA322" s="483"/>
      <c r="AB322" s="483"/>
      <c r="AC322" s="483"/>
      <c r="AD322" s="483"/>
    </row>
    <row r="323" spans="3:30">
      <c r="C323" s="483"/>
      <c r="D323" s="483"/>
      <c r="E323" s="483"/>
      <c r="F323" s="483"/>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3"/>
    </row>
    <row r="324" spans="3:30">
      <c r="C324" s="483"/>
      <c r="D324" s="483"/>
      <c r="E324" s="483"/>
      <c r="F324" s="483"/>
      <c r="G324" s="483"/>
      <c r="H324" s="483"/>
      <c r="I324" s="483"/>
      <c r="J324" s="483"/>
      <c r="K324" s="483"/>
      <c r="L324" s="483"/>
      <c r="M324" s="483"/>
      <c r="N324" s="483"/>
      <c r="O324" s="483"/>
      <c r="P324" s="483"/>
      <c r="Q324" s="483"/>
      <c r="R324" s="483"/>
      <c r="S324" s="483"/>
      <c r="T324" s="483"/>
      <c r="U324" s="483"/>
      <c r="V324" s="483"/>
      <c r="W324" s="483"/>
      <c r="X324" s="483"/>
      <c r="Y324" s="483"/>
      <c r="Z324" s="483"/>
      <c r="AA324" s="483"/>
      <c r="AB324" s="483"/>
      <c r="AC324" s="483"/>
      <c r="AD324" s="483"/>
    </row>
    <row r="325" spans="3:30">
      <c r="C325" s="483"/>
      <c r="D325" s="483"/>
      <c r="E325" s="483"/>
      <c r="F325" s="483"/>
      <c r="G325" s="483"/>
      <c r="H325" s="483"/>
      <c r="I325" s="483"/>
      <c r="J325" s="483"/>
      <c r="K325" s="483"/>
      <c r="L325" s="483"/>
      <c r="M325" s="483"/>
      <c r="N325" s="483"/>
      <c r="O325" s="483"/>
      <c r="P325" s="483"/>
      <c r="Q325" s="483"/>
      <c r="R325" s="483"/>
      <c r="S325" s="483"/>
      <c r="T325" s="483"/>
      <c r="U325" s="483"/>
      <c r="V325" s="483"/>
      <c r="W325" s="483"/>
      <c r="X325" s="483"/>
      <c r="Y325" s="483"/>
      <c r="Z325" s="483"/>
      <c r="AA325" s="483"/>
      <c r="AB325" s="483"/>
      <c r="AC325" s="483"/>
      <c r="AD325" s="483"/>
    </row>
    <row r="326" spans="3:30">
      <c r="C326" s="483"/>
      <c r="D326" s="483"/>
      <c r="E326" s="483"/>
      <c r="F326" s="483"/>
      <c r="G326" s="483"/>
      <c r="H326" s="483"/>
      <c r="I326" s="483"/>
      <c r="J326" s="483"/>
      <c r="K326" s="483"/>
      <c r="L326" s="483"/>
      <c r="M326" s="483"/>
      <c r="N326" s="483"/>
      <c r="O326" s="483"/>
      <c r="P326" s="483"/>
      <c r="Q326" s="483"/>
      <c r="R326" s="483"/>
      <c r="S326" s="483"/>
      <c r="T326" s="483"/>
      <c r="U326" s="483"/>
      <c r="V326" s="483"/>
      <c r="W326" s="483"/>
      <c r="X326" s="483"/>
      <c r="Y326" s="483"/>
      <c r="Z326" s="483"/>
      <c r="AA326" s="483"/>
      <c r="AB326" s="483"/>
      <c r="AC326" s="483"/>
      <c r="AD326" s="483"/>
    </row>
    <row r="327" spans="3:30">
      <c r="C327" s="483"/>
      <c r="D327" s="483"/>
      <c r="E327" s="483"/>
      <c r="F327" s="483"/>
      <c r="G327" s="483"/>
      <c r="H327" s="483"/>
      <c r="I327" s="483"/>
      <c r="J327" s="483"/>
      <c r="K327" s="483"/>
      <c r="L327" s="483"/>
      <c r="M327" s="483"/>
      <c r="N327" s="483"/>
      <c r="O327" s="483"/>
      <c r="P327" s="483"/>
      <c r="Q327" s="483"/>
      <c r="R327" s="483"/>
      <c r="S327" s="483"/>
      <c r="T327" s="483"/>
      <c r="U327" s="483"/>
      <c r="V327" s="483"/>
      <c r="W327" s="483"/>
      <c r="X327" s="483"/>
      <c r="Y327" s="483"/>
      <c r="Z327" s="483"/>
      <c r="AA327" s="483"/>
      <c r="AB327" s="483"/>
      <c r="AC327" s="483"/>
      <c r="AD327" s="483"/>
    </row>
    <row r="328" spans="3:30">
      <c r="C328" s="483"/>
      <c r="D328" s="483"/>
      <c r="E328" s="483"/>
      <c r="F328" s="483"/>
      <c r="G328" s="483"/>
      <c r="H328" s="483"/>
      <c r="I328" s="483"/>
      <c r="J328" s="483"/>
      <c r="K328" s="483"/>
      <c r="L328" s="483"/>
      <c r="M328" s="483"/>
      <c r="N328" s="483"/>
      <c r="O328" s="483"/>
      <c r="P328" s="483"/>
      <c r="Q328" s="483"/>
      <c r="R328" s="483"/>
      <c r="S328" s="483"/>
      <c r="T328" s="483"/>
      <c r="U328" s="483"/>
      <c r="V328" s="483"/>
      <c r="W328" s="483"/>
      <c r="X328" s="483"/>
      <c r="Y328" s="483"/>
      <c r="Z328" s="483"/>
      <c r="AA328" s="483"/>
      <c r="AB328" s="483"/>
      <c r="AC328" s="483"/>
      <c r="AD328" s="483"/>
    </row>
    <row r="329" spans="3:30">
      <c r="C329" s="483"/>
      <c r="D329" s="483"/>
      <c r="E329" s="483"/>
      <c r="F329" s="483"/>
      <c r="G329" s="483"/>
      <c r="H329" s="483"/>
      <c r="I329" s="483"/>
      <c r="J329" s="483"/>
      <c r="K329" s="483"/>
      <c r="L329" s="483"/>
      <c r="M329" s="483"/>
      <c r="N329" s="483"/>
      <c r="O329" s="483"/>
      <c r="P329" s="483"/>
      <c r="Q329" s="483"/>
      <c r="R329" s="483"/>
      <c r="S329" s="483"/>
      <c r="T329" s="483"/>
      <c r="U329" s="483"/>
      <c r="V329" s="483"/>
      <c r="W329" s="483"/>
      <c r="X329" s="483"/>
      <c r="Y329" s="483"/>
      <c r="Z329" s="483"/>
      <c r="AA329" s="483"/>
      <c r="AB329" s="483"/>
      <c r="AC329" s="483"/>
      <c r="AD329" s="483"/>
    </row>
    <row r="330" spans="3:30">
      <c r="C330" s="483"/>
      <c r="D330" s="483"/>
      <c r="E330" s="483"/>
      <c r="F330" s="483"/>
      <c r="G330" s="483"/>
      <c r="H330" s="483"/>
      <c r="I330" s="483"/>
      <c r="J330" s="483"/>
      <c r="K330" s="483"/>
      <c r="L330" s="483"/>
      <c r="M330" s="483"/>
      <c r="N330" s="483"/>
      <c r="O330" s="483"/>
      <c r="P330" s="483"/>
      <c r="Q330" s="483"/>
      <c r="R330" s="483"/>
      <c r="S330" s="483"/>
      <c r="T330" s="483"/>
      <c r="U330" s="483"/>
      <c r="V330" s="483"/>
      <c r="W330" s="483"/>
      <c r="X330" s="483"/>
      <c r="Y330" s="483"/>
      <c r="Z330" s="483"/>
      <c r="AA330" s="483"/>
      <c r="AB330" s="483"/>
      <c r="AC330" s="483"/>
      <c r="AD330" s="483"/>
    </row>
    <row r="331" spans="3:30">
      <c r="C331" s="483"/>
      <c r="D331" s="483"/>
      <c r="E331" s="483"/>
      <c r="F331" s="483"/>
      <c r="G331" s="483"/>
      <c r="H331" s="483"/>
      <c r="I331" s="483"/>
      <c r="J331" s="483"/>
      <c r="K331" s="483"/>
      <c r="L331" s="483"/>
      <c r="M331" s="483"/>
      <c r="N331" s="483"/>
      <c r="O331" s="483"/>
      <c r="P331" s="483"/>
      <c r="Q331" s="483"/>
      <c r="R331" s="483"/>
      <c r="S331" s="483"/>
      <c r="T331" s="483"/>
      <c r="U331" s="483"/>
      <c r="V331" s="483"/>
      <c r="W331" s="483"/>
      <c r="X331" s="483"/>
      <c r="Y331" s="483"/>
      <c r="Z331" s="483"/>
      <c r="AA331" s="483"/>
      <c r="AB331" s="483"/>
      <c r="AC331" s="483"/>
      <c r="AD331" s="483"/>
    </row>
    <row r="332" spans="3:30">
      <c r="C332" s="483"/>
      <c r="D332" s="483"/>
      <c r="E332" s="483"/>
      <c r="F332" s="483"/>
      <c r="G332" s="483"/>
      <c r="H332" s="483"/>
      <c r="I332" s="483"/>
      <c r="J332" s="483"/>
      <c r="K332" s="483"/>
      <c r="L332" s="483"/>
      <c r="M332" s="483"/>
      <c r="N332" s="483"/>
      <c r="O332" s="483"/>
      <c r="P332" s="483"/>
      <c r="Q332" s="483"/>
      <c r="R332" s="483"/>
      <c r="S332" s="483"/>
      <c r="T332" s="483"/>
      <c r="U332" s="483"/>
      <c r="V332" s="483"/>
      <c r="W332" s="483"/>
      <c r="X332" s="483"/>
      <c r="Y332" s="483"/>
      <c r="Z332" s="483"/>
      <c r="AA332" s="483"/>
      <c r="AB332" s="483"/>
      <c r="AC332" s="483"/>
      <c r="AD332" s="483"/>
    </row>
    <row r="333" spans="3:30">
      <c r="C333" s="483"/>
      <c r="D333" s="483"/>
      <c r="E333" s="483"/>
      <c r="F333" s="483"/>
      <c r="G333" s="483"/>
      <c r="H333" s="483"/>
      <c r="I333" s="483"/>
      <c r="J333" s="483"/>
      <c r="K333" s="483"/>
      <c r="L333" s="483"/>
      <c r="M333" s="483"/>
      <c r="N333" s="483"/>
      <c r="O333" s="483"/>
      <c r="P333" s="483"/>
      <c r="Q333" s="483"/>
      <c r="R333" s="483"/>
      <c r="S333" s="483"/>
      <c r="T333" s="483"/>
      <c r="U333" s="483"/>
      <c r="V333" s="483"/>
      <c r="W333" s="483"/>
      <c r="X333" s="483"/>
      <c r="Y333" s="483"/>
      <c r="Z333" s="483"/>
      <c r="AA333" s="483"/>
      <c r="AB333" s="483"/>
      <c r="AC333" s="483"/>
      <c r="AD333" s="483"/>
    </row>
    <row r="334" spans="3:30">
      <c r="C334" s="483"/>
      <c r="D334" s="483"/>
      <c r="E334" s="483"/>
      <c r="F334" s="483"/>
      <c r="G334" s="483"/>
      <c r="H334" s="483"/>
      <c r="I334" s="483"/>
      <c r="J334" s="483"/>
      <c r="K334" s="483"/>
      <c r="L334" s="483"/>
      <c r="M334" s="483"/>
      <c r="N334" s="483"/>
      <c r="O334" s="483"/>
      <c r="P334" s="483"/>
      <c r="Q334" s="483"/>
      <c r="R334" s="483"/>
      <c r="S334" s="483"/>
      <c r="T334" s="483"/>
      <c r="U334" s="483"/>
      <c r="V334" s="483"/>
      <c r="W334" s="483"/>
      <c r="X334" s="483"/>
      <c r="Y334" s="483"/>
      <c r="Z334" s="483"/>
      <c r="AA334" s="483"/>
      <c r="AB334" s="483"/>
      <c r="AC334" s="483"/>
      <c r="AD334" s="483"/>
    </row>
    <row r="335" spans="3:30">
      <c r="C335" s="483"/>
      <c r="D335" s="483"/>
      <c r="E335" s="483"/>
      <c r="F335" s="483"/>
      <c r="G335" s="483"/>
      <c r="H335" s="483"/>
      <c r="I335" s="483"/>
      <c r="J335" s="483"/>
      <c r="K335" s="483"/>
      <c r="L335" s="483"/>
      <c r="M335" s="483"/>
      <c r="N335" s="483"/>
      <c r="O335" s="483"/>
      <c r="P335" s="483"/>
      <c r="Q335" s="483"/>
      <c r="R335" s="483"/>
      <c r="S335" s="483"/>
      <c r="T335" s="483"/>
      <c r="U335" s="483"/>
      <c r="V335" s="483"/>
      <c r="W335" s="483"/>
      <c r="X335" s="483"/>
      <c r="Y335" s="483"/>
      <c r="Z335" s="483"/>
      <c r="AA335" s="483"/>
      <c r="AB335" s="483"/>
      <c r="AC335" s="483"/>
      <c r="AD335" s="483"/>
    </row>
    <row r="336" spans="3:30">
      <c r="C336" s="483"/>
      <c r="D336" s="483"/>
      <c r="E336" s="483"/>
      <c r="F336" s="483"/>
      <c r="G336" s="483"/>
      <c r="H336" s="483"/>
      <c r="I336" s="483"/>
      <c r="J336" s="483"/>
      <c r="K336" s="483"/>
      <c r="L336" s="483"/>
      <c r="M336" s="483"/>
      <c r="N336" s="483"/>
      <c r="O336" s="483"/>
      <c r="P336" s="483"/>
      <c r="Q336" s="483"/>
      <c r="R336" s="483"/>
      <c r="S336" s="483"/>
      <c r="T336" s="483"/>
      <c r="U336" s="483"/>
      <c r="V336" s="483"/>
      <c r="W336" s="483"/>
      <c r="X336" s="483"/>
      <c r="Y336" s="483"/>
      <c r="Z336" s="483"/>
      <c r="AA336" s="483"/>
      <c r="AB336" s="483"/>
      <c r="AC336" s="483"/>
      <c r="AD336" s="483"/>
    </row>
    <row r="337" spans="3:30">
      <c r="C337" s="483"/>
      <c r="D337" s="483"/>
      <c r="E337" s="483"/>
      <c r="F337" s="483"/>
      <c r="G337" s="483"/>
      <c r="H337" s="483"/>
      <c r="I337" s="483"/>
      <c r="J337" s="483"/>
      <c r="K337" s="483"/>
      <c r="L337" s="483"/>
      <c r="M337" s="483"/>
      <c r="N337" s="483"/>
      <c r="O337" s="483"/>
      <c r="P337" s="483"/>
      <c r="Q337" s="483"/>
      <c r="R337" s="483"/>
      <c r="S337" s="483"/>
      <c r="T337" s="483"/>
      <c r="U337" s="483"/>
      <c r="V337" s="483"/>
      <c r="W337" s="483"/>
      <c r="X337" s="483"/>
      <c r="Y337" s="483"/>
      <c r="Z337" s="483"/>
      <c r="AA337" s="483"/>
      <c r="AB337" s="483"/>
      <c r="AC337" s="483"/>
      <c r="AD337" s="483"/>
    </row>
    <row r="338" spans="3:30">
      <c r="C338" s="483"/>
      <c r="D338" s="483"/>
      <c r="E338" s="483"/>
      <c r="F338" s="483"/>
      <c r="G338" s="483"/>
      <c r="H338" s="483"/>
      <c r="I338" s="483"/>
      <c r="J338" s="483"/>
      <c r="K338" s="483"/>
      <c r="L338" s="483"/>
      <c r="M338" s="483"/>
      <c r="N338" s="483"/>
      <c r="O338" s="483"/>
      <c r="P338" s="483"/>
      <c r="Q338" s="483"/>
      <c r="R338" s="483"/>
      <c r="S338" s="483"/>
      <c r="T338" s="483"/>
      <c r="U338" s="483"/>
      <c r="V338" s="483"/>
      <c r="W338" s="483"/>
      <c r="X338" s="483"/>
      <c r="Y338" s="483"/>
      <c r="Z338" s="483"/>
      <c r="AA338" s="483"/>
      <c r="AB338" s="483"/>
      <c r="AC338" s="483"/>
      <c r="AD338" s="483"/>
    </row>
    <row r="339" spans="3:30">
      <c r="C339" s="483"/>
      <c r="D339" s="483"/>
      <c r="E339" s="483"/>
      <c r="F339" s="483"/>
      <c r="G339" s="483"/>
      <c r="H339" s="483"/>
      <c r="I339" s="483"/>
      <c r="J339" s="483"/>
      <c r="K339" s="483"/>
      <c r="L339" s="483"/>
      <c r="M339" s="483"/>
      <c r="N339" s="483"/>
      <c r="O339" s="483"/>
      <c r="P339" s="483"/>
      <c r="Q339" s="483"/>
      <c r="R339" s="483"/>
      <c r="S339" s="483"/>
      <c r="T339" s="483"/>
      <c r="U339" s="483"/>
      <c r="V339" s="483"/>
      <c r="W339" s="483"/>
      <c r="X339" s="483"/>
      <c r="Y339" s="483"/>
      <c r="Z339" s="483"/>
      <c r="AA339" s="483"/>
      <c r="AB339" s="483"/>
      <c r="AC339" s="483"/>
      <c r="AD339" s="483"/>
    </row>
    <row r="340" spans="3:30">
      <c r="C340" s="483"/>
      <c r="D340" s="483"/>
      <c r="E340" s="483"/>
      <c r="F340" s="483"/>
      <c r="G340" s="483"/>
      <c r="H340" s="483"/>
      <c r="I340" s="483"/>
      <c r="J340" s="483"/>
      <c r="K340" s="483"/>
      <c r="L340" s="483"/>
      <c r="M340" s="483"/>
      <c r="N340" s="483"/>
      <c r="O340" s="483"/>
      <c r="P340" s="483"/>
      <c r="Q340" s="483"/>
      <c r="R340" s="483"/>
      <c r="S340" s="483"/>
      <c r="T340" s="483"/>
      <c r="U340" s="483"/>
      <c r="V340" s="483"/>
      <c r="W340" s="483"/>
      <c r="X340" s="483"/>
      <c r="Y340" s="483"/>
      <c r="Z340" s="483"/>
      <c r="AA340" s="483"/>
      <c r="AB340" s="483"/>
      <c r="AC340" s="483"/>
      <c r="AD340" s="483"/>
    </row>
    <row r="341" spans="3:30">
      <c r="C341" s="483"/>
      <c r="D341" s="483"/>
      <c r="E341" s="483"/>
      <c r="F341" s="483"/>
      <c r="G341" s="483"/>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483"/>
    </row>
    <row r="342" spans="3:30">
      <c r="C342" s="483"/>
      <c r="D342" s="483"/>
      <c r="E342" s="483"/>
      <c r="F342" s="483"/>
      <c r="G342" s="483"/>
      <c r="H342" s="483"/>
      <c r="I342" s="483"/>
      <c r="J342" s="483"/>
      <c r="K342" s="483"/>
      <c r="L342" s="483"/>
      <c r="M342" s="483"/>
      <c r="N342" s="483"/>
      <c r="O342" s="483"/>
      <c r="P342" s="483"/>
      <c r="Q342" s="483"/>
      <c r="R342" s="483"/>
      <c r="S342" s="483"/>
      <c r="T342" s="483"/>
      <c r="U342" s="483"/>
      <c r="V342" s="483"/>
      <c r="W342" s="483"/>
      <c r="X342" s="483"/>
      <c r="Y342" s="483"/>
      <c r="Z342" s="483"/>
      <c r="AA342" s="483"/>
      <c r="AB342" s="483"/>
      <c r="AC342" s="483"/>
      <c r="AD342" s="483"/>
    </row>
    <row r="343" spans="3:30">
      <c r="C343" s="483"/>
      <c r="D343" s="483"/>
      <c r="E343" s="483"/>
      <c r="F343" s="483"/>
      <c r="G343" s="483"/>
      <c r="H343" s="483"/>
      <c r="I343" s="483"/>
      <c r="J343" s="483"/>
      <c r="K343" s="483"/>
      <c r="L343" s="483"/>
      <c r="M343" s="483"/>
      <c r="N343" s="483"/>
      <c r="O343" s="483"/>
      <c r="P343" s="483"/>
      <c r="Q343" s="483"/>
      <c r="R343" s="483"/>
      <c r="S343" s="483"/>
      <c r="T343" s="483"/>
      <c r="U343" s="483"/>
      <c r="V343" s="483"/>
      <c r="W343" s="483"/>
      <c r="X343" s="483"/>
      <c r="Y343" s="483"/>
      <c r="Z343" s="483"/>
      <c r="AA343" s="483"/>
      <c r="AB343" s="483"/>
      <c r="AC343" s="483"/>
      <c r="AD343" s="483"/>
    </row>
    <row r="344" spans="3:30">
      <c r="C344" s="483"/>
      <c r="D344" s="483"/>
      <c r="E344" s="483"/>
      <c r="F344" s="483"/>
      <c r="G344" s="483"/>
      <c r="H344" s="483"/>
      <c r="I344" s="483"/>
      <c r="J344" s="483"/>
      <c r="K344" s="483"/>
      <c r="L344" s="483"/>
      <c r="M344" s="483"/>
      <c r="N344" s="483"/>
      <c r="O344" s="483"/>
      <c r="P344" s="483"/>
      <c r="Q344" s="483"/>
      <c r="R344" s="483"/>
      <c r="S344" s="483"/>
      <c r="T344" s="483"/>
      <c r="U344" s="483"/>
      <c r="V344" s="483"/>
      <c r="W344" s="483"/>
      <c r="X344" s="483"/>
      <c r="Y344" s="483"/>
      <c r="Z344" s="483"/>
      <c r="AA344" s="483"/>
      <c r="AB344" s="483"/>
      <c r="AC344" s="483"/>
      <c r="AD344" s="483"/>
    </row>
    <row r="345" spans="3:30">
      <c r="C345" s="483"/>
      <c r="D345" s="483"/>
      <c r="E345" s="483"/>
      <c r="F345" s="483"/>
      <c r="G345" s="483"/>
      <c r="H345" s="483"/>
      <c r="I345" s="483"/>
      <c r="J345" s="483"/>
      <c r="K345" s="483"/>
      <c r="L345" s="483"/>
      <c r="M345" s="483"/>
      <c r="N345" s="483"/>
      <c r="O345" s="483"/>
      <c r="P345" s="483"/>
      <c r="Q345" s="483"/>
      <c r="R345" s="483"/>
      <c r="S345" s="483"/>
      <c r="T345" s="483"/>
      <c r="U345" s="483"/>
      <c r="V345" s="483"/>
      <c r="W345" s="483"/>
      <c r="X345" s="483"/>
      <c r="Y345" s="483"/>
      <c r="Z345" s="483"/>
      <c r="AA345" s="483"/>
      <c r="AB345" s="483"/>
      <c r="AC345" s="483"/>
      <c r="AD345" s="483"/>
    </row>
    <row r="346" spans="3:30">
      <c r="C346" s="483"/>
      <c r="D346" s="483"/>
      <c r="E346" s="483"/>
      <c r="F346" s="483"/>
      <c r="G346" s="483"/>
      <c r="H346" s="483"/>
      <c r="I346" s="483"/>
      <c r="J346" s="483"/>
      <c r="K346" s="483"/>
      <c r="L346" s="483"/>
      <c r="M346" s="483"/>
      <c r="N346" s="483"/>
      <c r="O346" s="483"/>
      <c r="P346" s="483"/>
      <c r="Q346" s="483"/>
      <c r="R346" s="483"/>
      <c r="S346" s="483"/>
      <c r="T346" s="483"/>
      <c r="U346" s="483"/>
      <c r="V346" s="483"/>
      <c r="W346" s="483"/>
      <c r="X346" s="483"/>
      <c r="Y346" s="483"/>
      <c r="Z346" s="483"/>
      <c r="AA346" s="483"/>
      <c r="AB346" s="483"/>
      <c r="AC346" s="483"/>
      <c r="AD346" s="483"/>
    </row>
    <row r="347" spans="3:30">
      <c r="C347" s="483"/>
      <c r="D347" s="483"/>
      <c r="E347" s="483"/>
      <c r="F347" s="483"/>
      <c r="G347" s="483"/>
      <c r="H347" s="483"/>
      <c r="I347" s="483"/>
      <c r="J347" s="483"/>
      <c r="K347" s="483"/>
      <c r="L347" s="483"/>
      <c r="M347" s="483"/>
      <c r="N347" s="483"/>
      <c r="O347" s="483"/>
      <c r="P347" s="483"/>
      <c r="Q347" s="483"/>
      <c r="R347" s="483"/>
      <c r="S347" s="483"/>
      <c r="T347" s="483"/>
      <c r="U347" s="483"/>
      <c r="V347" s="483"/>
      <c r="W347" s="483"/>
      <c r="X347" s="483"/>
      <c r="Y347" s="483"/>
      <c r="Z347" s="483"/>
      <c r="AA347" s="483"/>
      <c r="AB347" s="483"/>
      <c r="AC347" s="483"/>
      <c r="AD347" s="483"/>
    </row>
    <row r="348" spans="3:30">
      <c r="C348" s="483"/>
      <c r="D348" s="483"/>
      <c r="E348" s="483"/>
      <c r="F348" s="483"/>
      <c r="G348" s="483"/>
      <c r="H348" s="483"/>
      <c r="I348" s="483"/>
      <c r="J348" s="483"/>
      <c r="K348" s="483"/>
      <c r="L348" s="483"/>
      <c r="M348" s="483"/>
      <c r="N348" s="483"/>
      <c r="O348" s="483"/>
      <c r="P348" s="483"/>
      <c r="Q348" s="483"/>
      <c r="R348" s="483"/>
      <c r="S348" s="483"/>
      <c r="T348" s="483"/>
      <c r="U348" s="483"/>
      <c r="V348" s="483"/>
      <c r="W348" s="483"/>
      <c r="X348" s="483"/>
      <c r="Y348" s="483"/>
      <c r="Z348" s="483"/>
      <c r="AA348" s="483"/>
      <c r="AB348" s="483"/>
      <c r="AC348" s="483"/>
      <c r="AD348" s="483"/>
    </row>
    <row r="349" spans="3:30">
      <c r="C349" s="483"/>
      <c r="D349" s="483"/>
      <c r="E349" s="483"/>
      <c r="F349" s="483"/>
      <c r="G349" s="483"/>
      <c r="H349" s="483"/>
      <c r="I349" s="483"/>
      <c r="J349" s="483"/>
      <c r="K349" s="483"/>
      <c r="L349" s="483"/>
      <c r="M349" s="483"/>
      <c r="N349" s="483"/>
      <c r="O349" s="483"/>
      <c r="P349" s="483"/>
      <c r="Q349" s="483"/>
      <c r="R349" s="483"/>
      <c r="S349" s="483"/>
      <c r="T349" s="483"/>
      <c r="U349" s="483"/>
      <c r="V349" s="483"/>
      <c r="W349" s="483"/>
      <c r="X349" s="483"/>
      <c r="Y349" s="483"/>
      <c r="Z349" s="483"/>
      <c r="AA349" s="483"/>
      <c r="AB349" s="483"/>
      <c r="AC349" s="483"/>
      <c r="AD349" s="483"/>
    </row>
    <row r="350" spans="3:30">
      <c r="C350" s="483"/>
      <c r="D350" s="483"/>
      <c r="E350" s="483"/>
      <c r="F350" s="483"/>
      <c r="G350" s="483"/>
      <c r="H350" s="483"/>
      <c r="I350" s="483"/>
      <c r="J350" s="483"/>
      <c r="K350" s="483"/>
      <c r="L350" s="483"/>
      <c r="M350" s="483"/>
      <c r="N350" s="483"/>
      <c r="O350" s="483"/>
      <c r="P350" s="483"/>
      <c r="Q350" s="483"/>
      <c r="R350" s="483"/>
      <c r="S350" s="483"/>
      <c r="T350" s="483"/>
      <c r="U350" s="483"/>
      <c r="V350" s="483"/>
      <c r="W350" s="483"/>
      <c r="X350" s="483"/>
      <c r="Y350" s="483"/>
      <c r="Z350" s="483"/>
      <c r="AA350" s="483"/>
      <c r="AB350" s="483"/>
      <c r="AC350" s="483"/>
      <c r="AD350" s="483"/>
    </row>
    <row r="351" spans="3:30">
      <c r="C351" s="483"/>
      <c r="D351" s="483"/>
      <c r="E351" s="483"/>
      <c r="F351" s="483"/>
      <c r="G351" s="483"/>
      <c r="H351" s="483"/>
      <c r="I351" s="483"/>
      <c r="J351" s="483"/>
      <c r="K351" s="483"/>
      <c r="L351" s="483"/>
      <c r="M351" s="483"/>
      <c r="N351" s="483"/>
      <c r="O351" s="483"/>
      <c r="P351" s="483"/>
      <c r="Q351" s="483"/>
      <c r="R351" s="483"/>
      <c r="S351" s="483"/>
      <c r="T351" s="483"/>
      <c r="U351" s="483"/>
      <c r="V351" s="483"/>
      <c r="W351" s="483"/>
      <c r="X351" s="483"/>
      <c r="Y351" s="483"/>
      <c r="Z351" s="483"/>
      <c r="AA351" s="483"/>
      <c r="AB351" s="483"/>
      <c r="AC351" s="483"/>
      <c r="AD351" s="483"/>
    </row>
    <row r="352" spans="3:30">
      <c r="C352" s="483"/>
      <c r="D352" s="483"/>
      <c r="E352" s="483"/>
      <c r="F352" s="483"/>
      <c r="G352" s="483"/>
      <c r="H352" s="483"/>
      <c r="I352" s="483"/>
      <c r="J352" s="483"/>
      <c r="K352" s="483"/>
      <c r="L352" s="483"/>
      <c r="M352" s="483"/>
      <c r="N352" s="483"/>
      <c r="O352" s="483"/>
      <c r="P352" s="483"/>
      <c r="Q352" s="483"/>
      <c r="R352" s="483"/>
      <c r="S352" s="483"/>
      <c r="T352" s="483"/>
      <c r="U352" s="483"/>
      <c r="V352" s="483"/>
      <c r="W352" s="483"/>
      <c r="X352" s="483"/>
      <c r="Y352" s="483"/>
      <c r="Z352" s="483"/>
      <c r="AA352" s="483"/>
      <c r="AB352" s="483"/>
      <c r="AC352" s="483"/>
      <c r="AD352" s="483"/>
    </row>
    <row r="353" spans="3:30">
      <c r="C353" s="483"/>
      <c r="D353" s="483"/>
      <c r="E353" s="483"/>
      <c r="F353" s="483"/>
      <c r="G353" s="483"/>
      <c r="H353" s="483"/>
      <c r="I353" s="483"/>
      <c r="J353" s="483"/>
      <c r="K353" s="483"/>
      <c r="L353" s="483"/>
      <c r="M353" s="483"/>
      <c r="N353" s="483"/>
      <c r="O353" s="483"/>
      <c r="P353" s="483"/>
      <c r="Q353" s="483"/>
      <c r="R353" s="483"/>
      <c r="S353" s="483"/>
      <c r="T353" s="483"/>
      <c r="U353" s="483"/>
      <c r="V353" s="483"/>
      <c r="W353" s="483"/>
      <c r="X353" s="483"/>
      <c r="Y353" s="483"/>
      <c r="Z353" s="483"/>
      <c r="AA353" s="483"/>
      <c r="AB353" s="483"/>
      <c r="AC353" s="483"/>
      <c r="AD353" s="483"/>
    </row>
    <row r="354" spans="3:30">
      <c r="C354" s="483"/>
      <c r="D354" s="483"/>
      <c r="E354" s="483"/>
      <c r="F354" s="483"/>
      <c r="G354" s="483"/>
      <c r="H354" s="483"/>
      <c r="I354" s="483"/>
      <c r="J354" s="483"/>
      <c r="K354" s="483"/>
      <c r="L354" s="483"/>
      <c r="M354" s="483"/>
      <c r="N354" s="483"/>
      <c r="O354" s="483"/>
      <c r="P354" s="483"/>
      <c r="Q354" s="483"/>
      <c r="R354" s="483"/>
      <c r="S354" s="483"/>
      <c r="T354" s="483"/>
      <c r="U354" s="483"/>
      <c r="V354" s="483"/>
      <c r="W354" s="483"/>
      <c r="X354" s="483"/>
      <c r="Y354" s="483"/>
      <c r="Z354" s="483"/>
      <c r="AA354" s="483"/>
      <c r="AB354" s="483"/>
      <c r="AC354" s="483"/>
      <c r="AD354" s="483"/>
    </row>
    <row r="355" spans="3:30">
      <c r="C355" s="483"/>
      <c r="D355" s="483"/>
      <c r="E355" s="483"/>
      <c r="F355" s="483"/>
      <c r="G355" s="483"/>
      <c r="H355" s="483"/>
      <c r="I355" s="483"/>
      <c r="J355" s="483"/>
      <c r="K355" s="483"/>
      <c r="L355" s="483"/>
      <c r="M355" s="483"/>
      <c r="N355" s="483"/>
      <c r="O355" s="483"/>
      <c r="P355" s="483"/>
      <c r="Q355" s="483"/>
      <c r="R355" s="483"/>
      <c r="S355" s="483"/>
      <c r="T355" s="483"/>
      <c r="U355" s="483"/>
      <c r="V355" s="483"/>
      <c r="W355" s="483"/>
      <c r="X355" s="483"/>
      <c r="Y355" s="483"/>
      <c r="Z355" s="483"/>
      <c r="AA355" s="483"/>
      <c r="AB355" s="483"/>
      <c r="AC355" s="483"/>
      <c r="AD355" s="483"/>
    </row>
    <row r="356" spans="3:30">
      <c r="C356" s="483"/>
      <c r="D356" s="483"/>
      <c r="E356" s="483"/>
      <c r="F356" s="483"/>
      <c r="G356" s="483"/>
      <c r="H356" s="483"/>
      <c r="I356" s="483"/>
      <c r="J356" s="483"/>
      <c r="K356" s="483"/>
      <c r="L356" s="483"/>
      <c r="M356" s="483"/>
      <c r="N356" s="483"/>
      <c r="O356" s="483"/>
      <c r="P356" s="483"/>
      <c r="Q356" s="483"/>
      <c r="R356" s="483"/>
      <c r="S356" s="483"/>
      <c r="T356" s="483"/>
      <c r="U356" s="483"/>
      <c r="V356" s="483"/>
      <c r="W356" s="483"/>
      <c r="X356" s="483"/>
      <c r="Y356" s="483"/>
      <c r="Z356" s="483"/>
      <c r="AA356" s="483"/>
      <c r="AB356" s="483"/>
      <c r="AC356" s="483"/>
      <c r="AD356" s="483"/>
    </row>
    <row r="357" spans="3:30">
      <c r="C357" s="483"/>
      <c r="D357" s="483"/>
      <c r="E357" s="483"/>
      <c r="F357" s="483"/>
      <c r="G357" s="483"/>
      <c r="H357" s="483"/>
      <c r="I357" s="483"/>
      <c r="J357" s="483"/>
      <c r="K357" s="483"/>
      <c r="L357" s="483"/>
      <c r="M357" s="483"/>
      <c r="N357" s="483"/>
      <c r="O357" s="483"/>
      <c r="P357" s="483"/>
      <c r="Q357" s="483"/>
      <c r="R357" s="483"/>
      <c r="S357" s="483"/>
      <c r="T357" s="483"/>
      <c r="U357" s="483"/>
      <c r="V357" s="483"/>
      <c r="W357" s="483"/>
      <c r="X357" s="483"/>
      <c r="Y357" s="483"/>
      <c r="Z357" s="483"/>
      <c r="AA357" s="483"/>
      <c r="AB357" s="483"/>
      <c r="AC357" s="483"/>
      <c r="AD357" s="483"/>
    </row>
    <row r="358" spans="3:30">
      <c r="C358" s="483"/>
      <c r="D358" s="483"/>
      <c r="E358" s="483"/>
      <c r="F358" s="483"/>
      <c r="G358" s="483"/>
      <c r="H358" s="483"/>
      <c r="I358" s="483"/>
      <c r="J358" s="483"/>
      <c r="K358" s="483"/>
      <c r="L358" s="483"/>
      <c r="M358" s="483"/>
      <c r="N358" s="483"/>
      <c r="O358" s="483"/>
      <c r="P358" s="483"/>
      <c r="Q358" s="483"/>
      <c r="R358" s="483"/>
      <c r="S358" s="483"/>
      <c r="T358" s="483"/>
      <c r="U358" s="483"/>
      <c r="V358" s="483"/>
      <c r="W358" s="483"/>
      <c r="X358" s="483"/>
      <c r="Y358" s="483"/>
      <c r="Z358" s="483"/>
      <c r="AA358" s="483"/>
      <c r="AB358" s="483"/>
      <c r="AC358" s="483"/>
      <c r="AD358" s="483"/>
    </row>
    <row r="359" spans="3:30">
      <c r="C359" s="483"/>
      <c r="D359" s="483"/>
      <c r="E359" s="483"/>
      <c r="F359" s="483"/>
      <c r="G359" s="483"/>
      <c r="H359" s="483"/>
      <c r="I359" s="483"/>
      <c r="J359" s="483"/>
      <c r="K359" s="483"/>
      <c r="L359" s="483"/>
      <c r="M359" s="483"/>
      <c r="N359" s="483"/>
      <c r="O359" s="483"/>
      <c r="P359" s="483"/>
      <c r="Q359" s="483"/>
      <c r="R359" s="483"/>
      <c r="S359" s="483"/>
      <c r="T359" s="483"/>
      <c r="U359" s="483"/>
      <c r="V359" s="483"/>
      <c r="W359" s="483"/>
      <c r="X359" s="483"/>
      <c r="Y359" s="483"/>
      <c r="Z359" s="483"/>
      <c r="AA359" s="483"/>
      <c r="AB359" s="483"/>
      <c r="AC359" s="483"/>
      <c r="AD359" s="483"/>
    </row>
    <row r="360" spans="3:30">
      <c r="C360" s="483"/>
      <c r="D360" s="483"/>
      <c r="E360" s="483"/>
      <c r="F360" s="483"/>
      <c r="G360" s="483"/>
      <c r="H360" s="483"/>
      <c r="I360" s="483"/>
      <c r="J360" s="483"/>
      <c r="K360" s="483"/>
      <c r="L360" s="483"/>
      <c r="M360" s="483"/>
      <c r="N360" s="483"/>
      <c r="O360" s="483"/>
      <c r="P360" s="483"/>
      <c r="Q360" s="483"/>
      <c r="R360" s="483"/>
      <c r="S360" s="483"/>
      <c r="T360" s="483"/>
      <c r="U360" s="483"/>
      <c r="V360" s="483"/>
      <c r="W360" s="483"/>
      <c r="X360" s="483"/>
      <c r="Y360" s="483"/>
      <c r="Z360" s="483"/>
      <c r="AA360" s="483"/>
      <c r="AB360" s="483"/>
      <c r="AC360" s="483"/>
      <c r="AD360" s="483"/>
    </row>
    <row r="361" spans="3:30">
      <c r="C361" s="483"/>
      <c r="D361" s="483"/>
      <c r="E361" s="483"/>
      <c r="F361" s="483"/>
      <c r="G361" s="483"/>
      <c r="H361" s="483"/>
      <c r="I361" s="483"/>
      <c r="J361" s="483"/>
      <c r="K361" s="483"/>
      <c r="L361" s="483"/>
      <c r="M361" s="483"/>
      <c r="N361" s="483"/>
      <c r="O361" s="483"/>
      <c r="P361" s="483"/>
      <c r="Q361" s="483"/>
      <c r="R361" s="483"/>
      <c r="S361" s="483"/>
      <c r="T361" s="483"/>
      <c r="U361" s="483"/>
      <c r="V361" s="483"/>
      <c r="W361" s="483"/>
      <c r="X361" s="483"/>
      <c r="Y361" s="483"/>
      <c r="Z361" s="483"/>
      <c r="AA361" s="483"/>
      <c r="AB361" s="483"/>
      <c r="AC361" s="483"/>
      <c r="AD361" s="483"/>
    </row>
    <row r="362" spans="3:30">
      <c r="C362" s="483"/>
      <c r="D362" s="483"/>
      <c r="E362" s="483"/>
      <c r="F362" s="483"/>
      <c r="G362" s="483"/>
      <c r="H362" s="483"/>
      <c r="I362" s="483"/>
      <c r="J362" s="483"/>
      <c r="K362" s="483"/>
      <c r="L362" s="483"/>
      <c r="M362" s="483"/>
      <c r="N362" s="483"/>
      <c r="O362" s="483"/>
      <c r="P362" s="483"/>
      <c r="Q362" s="483"/>
      <c r="R362" s="483"/>
      <c r="S362" s="483"/>
      <c r="T362" s="483"/>
      <c r="U362" s="483"/>
      <c r="V362" s="483"/>
      <c r="W362" s="483"/>
      <c r="X362" s="483"/>
      <c r="Y362" s="483"/>
      <c r="Z362" s="483"/>
      <c r="AA362" s="483"/>
      <c r="AB362" s="483"/>
      <c r="AC362" s="483"/>
      <c r="AD362" s="483"/>
    </row>
    <row r="363" spans="3:30">
      <c r="C363" s="483"/>
      <c r="D363" s="483"/>
      <c r="E363" s="483"/>
      <c r="F363" s="483"/>
      <c r="G363" s="483"/>
      <c r="H363" s="483"/>
      <c r="I363" s="483"/>
      <c r="J363" s="483"/>
      <c r="K363" s="483"/>
      <c r="L363" s="483"/>
      <c r="M363" s="483"/>
      <c r="N363" s="483"/>
      <c r="O363" s="483"/>
      <c r="P363" s="483"/>
      <c r="Q363" s="483"/>
      <c r="R363" s="483"/>
      <c r="S363" s="483"/>
      <c r="T363" s="483"/>
      <c r="U363" s="483"/>
      <c r="V363" s="483"/>
      <c r="W363" s="483"/>
      <c r="X363" s="483"/>
      <c r="Y363" s="483"/>
      <c r="Z363" s="483"/>
      <c r="AA363" s="483"/>
      <c r="AB363" s="483"/>
      <c r="AC363" s="483"/>
      <c r="AD363" s="483"/>
    </row>
    <row r="364" spans="3:30">
      <c r="C364" s="483"/>
      <c r="D364" s="483"/>
      <c r="E364" s="483"/>
      <c r="F364" s="483"/>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3"/>
      <c r="AD364" s="483"/>
    </row>
    <row r="365" spans="3:30">
      <c r="C365" s="483"/>
      <c r="D365" s="483"/>
      <c r="E365" s="483"/>
      <c r="F365" s="483"/>
      <c r="G365" s="483"/>
      <c r="H365" s="483"/>
      <c r="I365" s="483"/>
      <c r="J365" s="483"/>
      <c r="K365" s="483"/>
      <c r="L365" s="483"/>
      <c r="M365" s="483"/>
      <c r="N365" s="483"/>
      <c r="O365" s="483"/>
      <c r="P365" s="483"/>
      <c r="Q365" s="483"/>
      <c r="R365" s="483"/>
      <c r="S365" s="483"/>
      <c r="T365" s="483"/>
      <c r="U365" s="483"/>
      <c r="V365" s="483"/>
      <c r="W365" s="483"/>
      <c r="X365" s="483"/>
      <c r="Y365" s="483"/>
      <c r="Z365" s="483"/>
      <c r="AA365" s="483"/>
      <c r="AB365" s="483"/>
      <c r="AC365" s="483"/>
      <c r="AD365" s="483"/>
    </row>
    <row r="366" spans="3:30">
      <c r="C366" s="483"/>
      <c r="D366" s="483"/>
      <c r="E366" s="483"/>
      <c r="F366" s="483"/>
      <c r="G366" s="483"/>
      <c r="H366" s="483"/>
      <c r="I366" s="483"/>
      <c r="J366" s="483"/>
      <c r="K366" s="483"/>
      <c r="L366" s="483"/>
      <c r="M366" s="483"/>
      <c r="N366" s="483"/>
      <c r="O366" s="483"/>
      <c r="P366" s="483"/>
      <c r="Q366" s="483"/>
      <c r="R366" s="483"/>
      <c r="S366" s="483"/>
      <c r="T366" s="483"/>
      <c r="U366" s="483"/>
      <c r="V366" s="483"/>
      <c r="W366" s="483"/>
      <c r="X366" s="483"/>
      <c r="Y366" s="483"/>
      <c r="Z366" s="483"/>
      <c r="AA366" s="483"/>
      <c r="AB366" s="483"/>
      <c r="AC366" s="483"/>
      <c r="AD366" s="483"/>
    </row>
    <row r="367" spans="3:30">
      <c r="C367" s="483"/>
      <c r="D367" s="483"/>
      <c r="E367" s="483"/>
      <c r="F367" s="483"/>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row>
    <row r="368" spans="3:30">
      <c r="C368" s="483"/>
      <c r="D368" s="483"/>
      <c r="E368" s="483"/>
      <c r="F368" s="483"/>
      <c r="G368" s="483"/>
      <c r="H368" s="483"/>
      <c r="I368" s="483"/>
      <c r="J368" s="483"/>
      <c r="K368" s="483"/>
      <c r="L368" s="483"/>
      <c r="M368" s="483"/>
      <c r="N368" s="483"/>
      <c r="O368" s="483"/>
      <c r="P368" s="483"/>
      <c r="Q368" s="483"/>
      <c r="R368" s="483"/>
      <c r="S368" s="483"/>
      <c r="T368" s="483"/>
      <c r="U368" s="483"/>
      <c r="V368" s="483"/>
      <c r="W368" s="483"/>
      <c r="X368" s="483"/>
      <c r="Y368" s="483"/>
      <c r="Z368" s="483"/>
      <c r="AA368" s="483"/>
      <c r="AB368" s="483"/>
      <c r="AC368" s="483"/>
      <c r="AD368" s="483"/>
    </row>
    <row r="369" spans="3:30">
      <c r="C369" s="483"/>
      <c r="D369" s="483"/>
      <c r="E369" s="483"/>
      <c r="F369" s="483"/>
      <c r="G369" s="483"/>
      <c r="H369" s="483"/>
      <c r="I369" s="483"/>
      <c r="J369" s="483"/>
      <c r="K369" s="483"/>
      <c r="L369" s="483"/>
      <c r="M369" s="483"/>
      <c r="N369" s="483"/>
      <c r="O369" s="483"/>
      <c r="P369" s="483"/>
      <c r="Q369" s="483"/>
      <c r="R369" s="483"/>
      <c r="S369" s="483"/>
      <c r="T369" s="483"/>
      <c r="U369" s="483"/>
      <c r="V369" s="483"/>
      <c r="W369" s="483"/>
      <c r="X369" s="483"/>
      <c r="Y369" s="483"/>
      <c r="Z369" s="483"/>
      <c r="AA369" s="483"/>
      <c r="AB369" s="483"/>
      <c r="AC369" s="483"/>
      <c r="AD369" s="483"/>
    </row>
    <row r="370" spans="3:30">
      <c r="C370" s="483"/>
      <c r="D370" s="483"/>
      <c r="E370" s="483"/>
      <c r="F370" s="483"/>
      <c r="G370" s="483"/>
      <c r="H370" s="483"/>
      <c r="I370" s="483"/>
      <c r="J370" s="483"/>
      <c r="K370" s="483"/>
      <c r="L370" s="483"/>
      <c r="M370" s="483"/>
      <c r="N370" s="483"/>
      <c r="O370" s="483"/>
      <c r="P370" s="483"/>
      <c r="Q370" s="483"/>
      <c r="R370" s="483"/>
      <c r="S370" s="483"/>
      <c r="T370" s="483"/>
      <c r="U370" s="483"/>
      <c r="V370" s="483"/>
      <c r="W370" s="483"/>
      <c r="X370" s="483"/>
      <c r="Y370" s="483"/>
      <c r="Z370" s="483"/>
      <c r="AA370" s="483"/>
      <c r="AB370" s="483"/>
      <c r="AC370" s="483"/>
      <c r="AD370" s="483"/>
    </row>
    <row r="371" spans="3:30">
      <c r="C371" s="483"/>
      <c r="D371" s="483"/>
      <c r="E371" s="483"/>
      <c r="F371" s="483"/>
      <c r="G371" s="483"/>
      <c r="H371" s="483"/>
      <c r="I371" s="483"/>
      <c r="J371" s="483"/>
      <c r="K371" s="483"/>
      <c r="L371" s="483"/>
      <c r="M371" s="483"/>
      <c r="N371" s="483"/>
      <c r="O371" s="483"/>
      <c r="P371" s="483"/>
      <c r="Q371" s="483"/>
      <c r="R371" s="483"/>
      <c r="S371" s="483"/>
      <c r="T371" s="483"/>
      <c r="U371" s="483"/>
      <c r="V371" s="483"/>
      <c r="W371" s="483"/>
      <c r="X371" s="483"/>
      <c r="Y371" s="483"/>
      <c r="Z371" s="483"/>
      <c r="AA371" s="483"/>
      <c r="AB371" s="483"/>
      <c r="AC371" s="483"/>
      <c r="AD371" s="483"/>
    </row>
    <row r="372" spans="3:30">
      <c r="C372" s="483"/>
      <c r="D372" s="483"/>
      <c r="E372" s="483"/>
      <c r="F372" s="483"/>
      <c r="G372" s="483"/>
      <c r="H372" s="483"/>
      <c r="I372" s="483"/>
      <c r="J372" s="483"/>
      <c r="K372" s="483"/>
      <c r="L372" s="483"/>
      <c r="M372" s="483"/>
      <c r="N372" s="483"/>
      <c r="O372" s="483"/>
      <c r="P372" s="483"/>
      <c r="Q372" s="483"/>
      <c r="R372" s="483"/>
      <c r="S372" s="483"/>
      <c r="T372" s="483"/>
      <c r="U372" s="483"/>
      <c r="V372" s="483"/>
      <c r="W372" s="483"/>
      <c r="X372" s="483"/>
      <c r="Y372" s="483"/>
      <c r="Z372" s="483"/>
      <c r="AA372" s="483"/>
      <c r="AB372" s="483"/>
      <c r="AC372" s="483"/>
      <c r="AD372" s="483"/>
    </row>
    <row r="373" spans="3:30">
      <c r="C373" s="483"/>
      <c r="D373" s="483"/>
      <c r="E373" s="483"/>
      <c r="F373" s="483"/>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row>
  </sheetData>
  <mergeCells count="12">
    <mergeCell ref="A49:B49"/>
    <mergeCell ref="C7:F7"/>
    <mergeCell ref="G7:J7"/>
    <mergeCell ref="K7:N7"/>
    <mergeCell ref="O7:R7"/>
    <mergeCell ref="W7:Z7"/>
    <mergeCell ref="S7:V7"/>
    <mergeCell ref="A1:AD1"/>
    <mergeCell ref="A2:AD2"/>
    <mergeCell ref="A3:AD3"/>
    <mergeCell ref="A4:AD4"/>
    <mergeCell ref="AA7:AD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9"/>
  <sheetViews>
    <sheetView topLeftCell="A7" workbookViewId="0">
      <pane xSplit="2" ySplit="2" topLeftCell="Q45" activePane="bottomRight" state="frozen"/>
      <selection activeCell="A7" sqref="A7"/>
      <selection pane="topRight" activeCell="C7" sqref="C7"/>
      <selection pane="bottomLeft" activeCell="A9" sqref="A9"/>
      <selection pane="bottomRight" activeCell="F52" sqref="F52:F53"/>
    </sheetView>
  </sheetViews>
  <sheetFormatPr baseColWidth="10" defaultColWidth="11.44140625" defaultRowHeight="11.4"/>
  <cols>
    <col min="1" max="1" width="12.21875" style="378" customWidth="1"/>
    <col min="2" max="2" width="18.5546875" style="378" customWidth="1"/>
    <col min="3" max="9" width="7.21875" style="378" customWidth="1"/>
    <col min="10" max="10" width="8.5546875" style="378" customWidth="1"/>
    <col min="11" max="29" width="7.21875" style="378" customWidth="1"/>
    <col min="30" max="30" width="10" style="378" customWidth="1"/>
    <col min="31" max="34" width="7.21875" style="378" customWidth="1"/>
    <col min="35" max="16384" width="11.44140625" style="378"/>
  </cols>
  <sheetData>
    <row r="1" spans="1:31" ht="12">
      <c r="A1" s="1616" t="s">
        <v>922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row>
    <row r="2" spans="1:31" ht="12">
      <c r="A2" s="1616" t="s">
        <v>939</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row>
    <row r="3" spans="1:31"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row>
    <row r="4" spans="1:31" ht="12">
      <c r="A4" s="1616" t="str">
        <f>+'44'!A4:AD4</f>
        <v>2017 - 2020</v>
      </c>
      <c r="B4" s="1616"/>
      <c r="C4" s="1616"/>
      <c r="D4" s="1616"/>
      <c r="E4" s="1616"/>
      <c r="F4" s="1616"/>
      <c r="G4" s="1616"/>
      <c r="H4" s="1616"/>
      <c r="I4" s="1616"/>
      <c r="J4" s="1616"/>
      <c r="K4" s="1616"/>
      <c r="L4" s="1616"/>
      <c r="M4" s="1616"/>
      <c r="N4" s="1616"/>
      <c r="O4" s="1616"/>
      <c r="P4" s="1616"/>
      <c r="Q4" s="1616"/>
      <c r="R4" s="1616"/>
      <c r="S4" s="1616"/>
      <c r="T4" s="1616"/>
      <c r="U4" s="1616"/>
      <c r="V4" s="1616"/>
      <c r="W4" s="1616"/>
      <c r="X4" s="1616"/>
      <c r="Y4" s="1616"/>
      <c r="Z4" s="1616"/>
      <c r="AA4" s="1616"/>
      <c r="AB4" s="1616"/>
      <c r="AC4" s="1616"/>
      <c r="AD4" s="1616"/>
    </row>
    <row r="7" spans="1:31" s="481" customFormat="1" ht="22.5" customHeight="1">
      <c r="A7" s="1076" t="s">
        <v>536</v>
      </c>
      <c r="B7" s="480" t="s">
        <v>835</v>
      </c>
      <c r="C7" s="1612" t="s">
        <v>924</v>
      </c>
      <c r="D7" s="1612"/>
      <c r="E7" s="1612"/>
      <c r="F7" s="1613"/>
      <c r="G7" s="1612" t="s">
        <v>925</v>
      </c>
      <c r="H7" s="1612"/>
      <c r="I7" s="1612"/>
      <c r="J7" s="1612"/>
      <c r="K7" s="1611" t="s">
        <v>926</v>
      </c>
      <c r="L7" s="1612"/>
      <c r="M7" s="1612"/>
      <c r="N7" s="1613"/>
      <c r="O7" s="1612" t="s">
        <v>927</v>
      </c>
      <c r="P7" s="1612"/>
      <c r="Q7" s="1612"/>
      <c r="R7" s="1612"/>
      <c r="S7" s="1611" t="s">
        <v>928</v>
      </c>
      <c r="T7" s="1612"/>
      <c r="U7" s="1612"/>
      <c r="V7" s="1613"/>
      <c r="W7" s="1630" t="s">
        <v>1430</v>
      </c>
      <c r="X7" s="1612"/>
      <c r="Y7" s="1612"/>
      <c r="Z7" s="1612"/>
      <c r="AA7" s="1611" t="s">
        <v>637</v>
      </c>
      <c r="AB7" s="1612"/>
      <c r="AC7" s="1612"/>
      <c r="AD7" s="1613"/>
    </row>
    <row r="8" spans="1:31" s="481" customFormat="1" ht="22.5" customHeight="1">
      <c r="A8" s="461"/>
      <c r="B8" s="497"/>
      <c r="C8" s="463">
        <f>+'41'!C8</f>
        <v>2017</v>
      </c>
      <c r="D8" s="463">
        <f>+'41'!D8</f>
        <v>2018</v>
      </c>
      <c r="E8" s="463">
        <f>+'41'!E8</f>
        <v>2019</v>
      </c>
      <c r="F8" s="464">
        <f>+'41'!F8</f>
        <v>2020</v>
      </c>
      <c r="G8" s="462">
        <f>+'41'!G8</f>
        <v>2017</v>
      </c>
      <c r="H8" s="463">
        <f>+'41'!H8</f>
        <v>2018</v>
      </c>
      <c r="I8" s="463">
        <f>+'41'!I8</f>
        <v>2019</v>
      </c>
      <c r="J8" s="464">
        <f>+'41'!J8</f>
        <v>2020</v>
      </c>
      <c r="K8" s="463">
        <f>+'41'!K8</f>
        <v>2017</v>
      </c>
      <c r="L8" s="463">
        <f>+'41'!L8</f>
        <v>2018</v>
      </c>
      <c r="M8" s="463">
        <f>+'41'!M8</f>
        <v>2019</v>
      </c>
      <c r="N8" s="463">
        <f>+'41'!N8</f>
        <v>2020</v>
      </c>
      <c r="O8" s="462">
        <f>+'41'!O8</f>
        <v>2017</v>
      </c>
      <c r="P8" s="463">
        <f>+'41'!P8</f>
        <v>2018</v>
      </c>
      <c r="Q8" s="463">
        <f>+'41'!Q8</f>
        <v>2019</v>
      </c>
      <c r="R8" s="464">
        <f>+'41'!R8</f>
        <v>2020</v>
      </c>
      <c r="S8" s="463">
        <f>+'41'!S8</f>
        <v>2017</v>
      </c>
      <c r="T8" s="463">
        <f>+'41'!T8</f>
        <v>2018</v>
      </c>
      <c r="U8" s="463">
        <f>+'41'!U8</f>
        <v>2019</v>
      </c>
      <c r="V8" s="464">
        <f>+'41'!V8</f>
        <v>2020</v>
      </c>
      <c r="W8" s="462">
        <f>+'41'!W8</f>
        <v>2017</v>
      </c>
      <c r="X8" s="463">
        <f>+'41'!X8</f>
        <v>2018</v>
      </c>
      <c r="Y8" s="463">
        <f>+'41'!Y8</f>
        <v>2019</v>
      </c>
      <c r="Z8" s="464">
        <f>+'41'!Z8</f>
        <v>2020</v>
      </c>
      <c r="AA8" s="462">
        <f>+'41'!AA8</f>
        <v>2017</v>
      </c>
      <c r="AB8" s="463">
        <f>+'41'!AB8</f>
        <v>2018</v>
      </c>
      <c r="AC8" s="463">
        <f>+'41'!AC8</f>
        <v>2019</v>
      </c>
      <c r="AD8" s="464">
        <f>+'41'!AD8</f>
        <v>2020</v>
      </c>
    </row>
    <row r="9" spans="1:31" s="481" customFormat="1" ht="22.5" customHeight="1">
      <c r="A9" s="479" t="s">
        <v>929</v>
      </c>
      <c r="B9" s="293" t="s">
        <v>1322</v>
      </c>
      <c r="C9" s="488">
        <v>9657</v>
      </c>
      <c r="D9" s="488">
        <v>11248</v>
      </c>
      <c r="E9" s="488">
        <v>11016</v>
      </c>
      <c r="F9" s="489">
        <v>7741</v>
      </c>
      <c r="G9" s="353">
        <v>1992</v>
      </c>
      <c r="H9" s="353">
        <v>2463</v>
      </c>
      <c r="I9" s="353">
        <v>2199</v>
      </c>
      <c r="J9" s="466">
        <v>672</v>
      </c>
      <c r="K9" s="353">
        <v>42</v>
      </c>
      <c r="L9" s="353">
        <v>187</v>
      </c>
      <c r="M9" s="353">
        <v>282</v>
      </c>
      <c r="N9" s="466">
        <v>98</v>
      </c>
      <c r="O9" s="353">
        <v>1372</v>
      </c>
      <c r="P9" s="353">
        <v>1817</v>
      </c>
      <c r="Q9" s="353">
        <v>1544</v>
      </c>
      <c r="R9" s="466">
        <v>358</v>
      </c>
      <c r="S9" s="353">
        <v>201</v>
      </c>
      <c r="T9" s="353">
        <v>302</v>
      </c>
      <c r="U9" s="353">
        <v>245</v>
      </c>
      <c r="V9" s="466">
        <v>297</v>
      </c>
      <c r="W9" s="353"/>
      <c r="X9" s="353"/>
      <c r="Y9" s="488"/>
      <c r="Z9" s="488"/>
      <c r="AA9" s="490">
        <f t="shared" ref="AA9:AD13" si="0">+W9+S9+O9+K9+G9+C9</f>
        <v>13264</v>
      </c>
      <c r="AB9" s="488">
        <f t="shared" si="0"/>
        <v>16017</v>
      </c>
      <c r="AC9" s="488">
        <f t="shared" si="0"/>
        <v>15286</v>
      </c>
      <c r="AD9" s="466">
        <f t="shared" si="0"/>
        <v>9166</v>
      </c>
      <c r="AE9" s="491"/>
    </row>
    <row r="10" spans="1:31" s="481" customFormat="1" ht="22.5" customHeight="1">
      <c r="A10" s="465"/>
      <c r="B10" s="293" t="s">
        <v>1323</v>
      </c>
      <c r="C10" s="488">
        <v>8850</v>
      </c>
      <c r="D10" s="488">
        <v>8669</v>
      </c>
      <c r="E10" s="488">
        <v>7780</v>
      </c>
      <c r="F10" s="489">
        <v>3282</v>
      </c>
      <c r="G10" s="353">
        <v>1343</v>
      </c>
      <c r="H10" s="353">
        <v>1434</v>
      </c>
      <c r="I10" s="353">
        <v>1490</v>
      </c>
      <c r="J10" s="466">
        <v>394</v>
      </c>
      <c r="K10" s="353">
        <v>2</v>
      </c>
      <c r="L10" s="353">
        <v>6</v>
      </c>
      <c r="M10" s="353">
        <v>11</v>
      </c>
      <c r="N10" s="466">
        <v>6</v>
      </c>
      <c r="O10" s="353">
        <v>1647</v>
      </c>
      <c r="P10" s="353">
        <v>2469</v>
      </c>
      <c r="Q10" s="353">
        <v>2555</v>
      </c>
      <c r="R10" s="466">
        <v>661</v>
      </c>
      <c r="S10" s="353">
        <v>201</v>
      </c>
      <c r="T10" s="353">
        <v>133</v>
      </c>
      <c r="U10" s="353">
        <v>203</v>
      </c>
      <c r="V10" s="466">
        <v>153</v>
      </c>
      <c r="W10" s="353"/>
      <c r="X10" s="353"/>
      <c r="Y10" s="488"/>
      <c r="Z10" s="488">
        <v>79</v>
      </c>
      <c r="AA10" s="490">
        <f t="shared" si="0"/>
        <v>12043</v>
      </c>
      <c r="AB10" s="488">
        <f t="shared" si="0"/>
        <v>12711</v>
      </c>
      <c r="AC10" s="488">
        <f t="shared" si="0"/>
        <v>12039</v>
      </c>
      <c r="AD10" s="466">
        <f t="shared" si="0"/>
        <v>4575</v>
      </c>
      <c r="AE10" s="491"/>
    </row>
    <row r="11" spans="1:31" s="481" customFormat="1" ht="22.5" customHeight="1">
      <c r="A11" s="465"/>
      <c r="B11" s="334" t="s">
        <v>804</v>
      </c>
      <c r="C11" s="353">
        <v>1126</v>
      </c>
      <c r="D11" s="353">
        <v>1190</v>
      </c>
      <c r="E11" s="353">
        <v>1146</v>
      </c>
      <c r="F11" s="466">
        <v>901</v>
      </c>
      <c r="G11" s="353">
        <v>173</v>
      </c>
      <c r="H11" s="353">
        <v>270</v>
      </c>
      <c r="I11" s="353">
        <v>236</v>
      </c>
      <c r="J11" s="466">
        <v>105</v>
      </c>
      <c r="K11" s="353">
        <v>19</v>
      </c>
      <c r="L11" s="353">
        <v>39</v>
      </c>
      <c r="M11" s="353">
        <v>68</v>
      </c>
      <c r="N11" s="466">
        <v>12</v>
      </c>
      <c r="O11" s="353">
        <v>181</v>
      </c>
      <c r="P11" s="353">
        <v>141</v>
      </c>
      <c r="Q11" s="353">
        <v>187</v>
      </c>
      <c r="R11" s="466">
        <v>57</v>
      </c>
      <c r="S11" s="353">
        <v>100</v>
      </c>
      <c r="T11" s="353">
        <v>86</v>
      </c>
      <c r="U11" s="353">
        <v>66</v>
      </c>
      <c r="V11" s="466">
        <v>271</v>
      </c>
      <c r="W11" s="353"/>
      <c r="X11" s="353"/>
      <c r="Y11" s="353"/>
      <c r="Z11" s="353"/>
      <c r="AA11" s="490">
        <f t="shared" si="0"/>
        <v>1599</v>
      </c>
      <c r="AB11" s="488">
        <f t="shared" si="0"/>
        <v>1726</v>
      </c>
      <c r="AC11" s="488">
        <f t="shared" si="0"/>
        <v>1703</v>
      </c>
      <c r="AD11" s="466">
        <f t="shared" si="0"/>
        <v>1346</v>
      </c>
      <c r="AE11" s="491"/>
    </row>
    <row r="12" spans="1:31" s="481" customFormat="1" ht="22.5" customHeight="1">
      <c r="A12" s="465"/>
      <c r="B12" s="293" t="s">
        <v>1577</v>
      </c>
      <c r="C12" s="353"/>
      <c r="D12" s="353">
        <v>110</v>
      </c>
      <c r="E12" s="353">
        <v>510</v>
      </c>
      <c r="F12" s="466"/>
      <c r="G12" s="353"/>
      <c r="H12" s="353"/>
      <c r="I12" s="353">
        <v>314</v>
      </c>
      <c r="J12" s="466">
        <v>19</v>
      </c>
      <c r="K12" s="353"/>
      <c r="L12" s="353"/>
      <c r="M12" s="353"/>
      <c r="N12" s="466"/>
      <c r="O12" s="353"/>
      <c r="P12" s="353"/>
      <c r="Q12" s="353"/>
      <c r="R12" s="466"/>
      <c r="S12" s="353"/>
      <c r="T12" s="353"/>
      <c r="U12" s="353">
        <v>508</v>
      </c>
      <c r="V12" s="466">
        <v>142</v>
      </c>
      <c r="W12" s="353"/>
      <c r="X12" s="353">
        <v>6</v>
      </c>
      <c r="Y12" s="353"/>
      <c r="Z12" s="353"/>
      <c r="AA12" s="490">
        <f t="shared" ref="AA12" si="1">+W12+S12+O12+K12+G12+C12</f>
        <v>0</v>
      </c>
      <c r="AB12" s="488">
        <f t="shared" ref="AB12" si="2">+X12+T12+P12+L12+H12+D12</f>
        <v>116</v>
      </c>
      <c r="AC12" s="488">
        <f t="shared" ref="AC12" si="3">+Y12+U12+Q12+M12+I12+E12</f>
        <v>1332</v>
      </c>
      <c r="AD12" s="466">
        <f t="shared" si="0"/>
        <v>161</v>
      </c>
      <c r="AE12" s="491"/>
    </row>
    <row r="13" spans="1:31" s="481" customFormat="1" ht="22.5" customHeight="1">
      <c r="A13" s="465"/>
      <c r="B13" s="293" t="s">
        <v>1188</v>
      </c>
      <c r="C13" s="353">
        <v>247</v>
      </c>
      <c r="D13" s="353">
        <v>309</v>
      </c>
      <c r="E13" s="353">
        <v>378</v>
      </c>
      <c r="F13" s="466">
        <v>279</v>
      </c>
      <c r="G13" s="353">
        <v>40</v>
      </c>
      <c r="H13" s="353">
        <v>50</v>
      </c>
      <c r="I13" s="353">
        <v>110</v>
      </c>
      <c r="J13" s="466">
        <v>19</v>
      </c>
      <c r="K13" s="353">
        <v>1</v>
      </c>
      <c r="L13" s="353">
        <v>10</v>
      </c>
      <c r="M13" s="353">
        <v>8</v>
      </c>
      <c r="N13" s="466">
        <v>0</v>
      </c>
      <c r="O13" s="353">
        <v>40</v>
      </c>
      <c r="P13" s="353">
        <v>42</v>
      </c>
      <c r="Q13" s="353">
        <v>86</v>
      </c>
      <c r="R13" s="466">
        <v>19</v>
      </c>
      <c r="S13" s="353">
        <v>7</v>
      </c>
      <c r="T13" s="353">
        <v>5</v>
      </c>
      <c r="U13" s="353">
        <v>9</v>
      </c>
      <c r="V13" s="466">
        <v>9</v>
      </c>
      <c r="W13" s="353"/>
      <c r="X13" s="353">
        <v>7</v>
      </c>
      <c r="Y13" s="353"/>
      <c r="Z13" s="353"/>
      <c r="AA13" s="490">
        <f t="shared" si="0"/>
        <v>335</v>
      </c>
      <c r="AB13" s="488">
        <f t="shared" si="0"/>
        <v>423</v>
      </c>
      <c r="AC13" s="488">
        <f t="shared" si="0"/>
        <v>591</v>
      </c>
      <c r="AD13" s="466">
        <f>+Z13+V13+R13+N13+J13+F13</f>
        <v>326</v>
      </c>
      <c r="AE13" s="491"/>
    </row>
    <row r="14" spans="1:31" s="481" customFormat="1" ht="22.5" customHeight="1">
      <c r="A14" s="465"/>
      <c r="B14" s="334" t="s">
        <v>625</v>
      </c>
      <c r="C14" s="353">
        <v>19880</v>
      </c>
      <c r="D14" s="353">
        <v>21526</v>
      </c>
      <c r="E14" s="353">
        <f>SUM(E9:E13)</f>
        <v>20830</v>
      </c>
      <c r="F14" s="466">
        <f>SUM(F9:F13)</f>
        <v>12203</v>
      </c>
      <c r="G14" s="353">
        <v>3548</v>
      </c>
      <c r="H14" s="353">
        <v>4217</v>
      </c>
      <c r="I14" s="353">
        <f t="shared" ref="I14" si="4">SUM(I9:I13)</f>
        <v>4349</v>
      </c>
      <c r="J14" s="466">
        <f t="shared" ref="J14:AD14" si="5">SUM(J9:J13)</f>
        <v>1209</v>
      </c>
      <c r="K14" s="353">
        <v>64</v>
      </c>
      <c r="L14" s="353">
        <v>242</v>
      </c>
      <c r="M14" s="353">
        <f t="shared" ref="M14" si="6">SUM(M9:M13)</f>
        <v>369</v>
      </c>
      <c r="N14" s="466">
        <f t="shared" si="5"/>
        <v>116</v>
      </c>
      <c r="O14" s="353">
        <v>3240</v>
      </c>
      <c r="P14" s="353">
        <v>4469</v>
      </c>
      <c r="Q14" s="353">
        <f t="shared" ref="Q14" si="7">SUM(Q9:Q13)</f>
        <v>4372</v>
      </c>
      <c r="R14" s="466">
        <f t="shared" si="5"/>
        <v>1095</v>
      </c>
      <c r="S14" s="353">
        <v>509</v>
      </c>
      <c r="T14" s="353">
        <v>526</v>
      </c>
      <c r="U14" s="353">
        <f t="shared" ref="U14" si="8">SUM(U9:U13)</f>
        <v>1031</v>
      </c>
      <c r="V14" s="466">
        <f t="shared" si="5"/>
        <v>872</v>
      </c>
      <c r="W14" s="353">
        <v>0</v>
      </c>
      <c r="X14" s="353">
        <v>13</v>
      </c>
      <c r="Y14" s="353">
        <f t="shared" ref="Y14" si="9">SUM(Y9:Y13)</f>
        <v>0</v>
      </c>
      <c r="Z14" s="466">
        <f t="shared" si="5"/>
        <v>79</v>
      </c>
      <c r="AA14" s="352">
        <f t="shared" si="5"/>
        <v>27241</v>
      </c>
      <c r="AB14" s="353">
        <f t="shared" si="5"/>
        <v>30993</v>
      </c>
      <c r="AC14" s="353">
        <f t="shared" si="5"/>
        <v>30951</v>
      </c>
      <c r="AD14" s="466">
        <f t="shared" si="5"/>
        <v>15574</v>
      </c>
      <c r="AE14" s="491"/>
    </row>
    <row r="15" spans="1:31" s="481" customFormat="1" ht="22.5" customHeight="1">
      <c r="A15" s="465" t="s">
        <v>522</v>
      </c>
      <c r="B15" s="334" t="s">
        <v>805</v>
      </c>
      <c r="C15" s="353">
        <v>3532</v>
      </c>
      <c r="D15" s="353">
        <v>3717</v>
      </c>
      <c r="E15" s="353">
        <v>4567</v>
      </c>
      <c r="F15" s="466">
        <v>3600</v>
      </c>
      <c r="G15" s="353">
        <v>495</v>
      </c>
      <c r="H15" s="353">
        <v>1502</v>
      </c>
      <c r="I15" s="353">
        <v>1975</v>
      </c>
      <c r="J15" s="466">
        <v>459</v>
      </c>
      <c r="K15" s="353">
        <v>17</v>
      </c>
      <c r="L15" s="353">
        <v>13</v>
      </c>
      <c r="M15" s="353">
        <v>35</v>
      </c>
      <c r="N15" s="466">
        <v>18</v>
      </c>
      <c r="O15" s="353">
        <v>280</v>
      </c>
      <c r="P15" s="353">
        <v>544</v>
      </c>
      <c r="Q15" s="353">
        <v>657</v>
      </c>
      <c r="R15" s="466">
        <v>84</v>
      </c>
      <c r="S15" s="353">
        <v>830</v>
      </c>
      <c r="T15" s="353">
        <v>925</v>
      </c>
      <c r="U15" s="353">
        <v>725</v>
      </c>
      <c r="V15" s="466">
        <v>1239</v>
      </c>
      <c r="W15" s="353"/>
      <c r="X15" s="353"/>
      <c r="Y15" s="353"/>
      <c r="Z15" s="466"/>
      <c r="AA15" s="490">
        <f>+W15+S15+O15+K15+G15+C15</f>
        <v>5154</v>
      </c>
      <c r="AB15" s="488">
        <f>+X15+T15+P15+L15+H15+D15</f>
        <v>6701</v>
      </c>
      <c r="AC15" s="488">
        <f>+Y15+U15+Q15+M15+I15+E15</f>
        <v>7959</v>
      </c>
      <c r="AD15" s="466">
        <f>+Z15+V15+R15+N15+J15+F15</f>
        <v>5400</v>
      </c>
      <c r="AE15" s="491"/>
    </row>
    <row r="16" spans="1:31" s="481" customFormat="1" ht="22.5" customHeight="1">
      <c r="A16" s="465"/>
      <c r="B16" s="293" t="s">
        <v>1193</v>
      </c>
      <c r="C16" s="353">
        <v>610</v>
      </c>
      <c r="D16" s="353">
        <v>563</v>
      </c>
      <c r="E16" s="353">
        <v>703</v>
      </c>
      <c r="F16" s="466">
        <v>628</v>
      </c>
      <c r="G16" s="353">
        <v>142</v>
      </c>
      <c r="H16" s="353">
        <v>196</v>
      </c>
      <c r="I16" s="353">
        <v>160</v>
      </c>
      <c r="J16" s="466">
        <v>42</v>
      </c>
      <c r="K16" s="353">
        <v>0</v>
      </c>
      <c r="L16" s="353">
        <v>5</v>
      </c>
      <c r="M16" s="353">
        <v>10</v>
      </c>
      <c r="N16" s="466">
        <v>2</v>
      </c>
      <c r="O16" s="353">
        <v>70</v>
      </c>
      <c r="P16" s="353">
        <v>90</v>
      </c>
      <c r="Q16" s="353">
        <v>134</v>
      </c>
      <c r="R16" s="466">
        <v>27</v>
      </c>
      <c r="S16" s="353">
        <v>8</v>
      </c>
      <c r="T16" s="353"/>
      <c r="U16" s="353"/>
      <c r="V16" s="466">
        <v>31</v>
      </c>
      <c r="W16" s="353"/>
      <c r="X16" s="353"/>
      <c r="Y16" s="353"/>
      <c r="Z16" s="466"/>
      <c r="AA16" s="490">
        <f t="shared" ref="AA16:AA17" si="10">+W16+S16+O16+K16+G16+C16</f>
        <v>830</v>
      </c>
      <c r="AB16" s="488">
        <f t="shared" ref="AB16:AD17" si="11">+X16+T16+P16+L16+H16+D16</f>
        <v>854</v>
      </c>
      <c r="AC16" s="488">
        <f t="shared" si="11"/>
        <v>1007</v>
      </c>
      <c r="AD16" s="466">
        <f t="shared" si="11"/>
        <v>730</v>
      </c>
      <c r="AE16" s="491"/>
    </row>
    <row r="17" spans="1:44" s="481" customFormat="1" ht="22.5" customHeight="1">
      <c r="A17" s="465"/>
      <c r="B17" s="293" t="s">
        <v>1190</v>
      </c>
      <c r="C17" s="353">
        <v>677</v>
      </c>
      <c r="D17" s="353">
        <v>643</v>
      </c>
      <c r="E17" s="353">
        <v>761</v>
      </c>
      <c r="F17" s="466">
        <v>606</v>
      </c>
      <c r="G17" s="353">
        <v>168</v>
      </c>
      <c r="H17" s="353">
        <v>229</v>
      </c>
      <c r="I17" s="353">
        <v>220</v>
      </c>
      <c r="J17" s="466">
        <v>36</v>
      </c>
      <c r="K17" s="353">
        <v>2</v>
      </c>
      <c r="L17" s="353">
        <v>4</v>
      </c>
      <c r="M17" s="353">
        <v>4</v>
      </c>
      <c r="N17" s="466">
        <v>3</v>
      </c>
      <c r="O17" s="353">
        <v>80</v>
      </c>
      <c r="P17" s="353">
        <v>119</v>
      </c>
      <c r="Q17" s="353">
        <v>177</v>
      </c>
      <c r="R17" s="466">
        <v>30</v>
      </c>
      <c r="S17" s="353">
        <v>5</v>
      </c>
      <c r="T17" s="353"/>
      <c r="U17" s="353"/>
      <c r="V17" s="466"/>
      <c r="W17" s="353"/>
      <c r="X17" s="353">
        <v>19</v>
      </c>
      <c r="Y17" s="353"/>
      <c r="Z17" s="466"/>
      <c r="AA17" s="490">
        <f t="shared" si="10"/>
        <v>932</v>
      </c>
      <c r="AB17" s="488">
        <f t="shared" si="11"/>
        <v>1014</v>
      </c>
      <c r="AC17" s="488">
        <f t="shared" si="11"/>
        <v>1162</v>
      </c>
      <c r="AD17" s="466">
        <f t="shared" si="11"/>
        <v>675</v>
      </c>
      <c r="AE17" s="491"/>
    </row>
    <row r="18" spans="1:44" s="481" customFormat="1" ht="22.5" customHeight="1">
      <c r="A18" s="465"/>
      <c r="B18" s="334" t="s">
        <v>625</v>
      </c>
      <c r="C18" s="353">
        <v>4819</v>
      </c>
      <c r="D18" s="353">
        <v>4923</v>
      </c>
      <c r="E18" s="353">
        <f>SUM(E15:E17)</f>
        <v>6031</v>
      </c>
      <c r="F18" s="466">
        <f>SUM(F15:F17)</f>
        <v>4834</v>
      </c>
      <c r="G18" s="353">
        <v>805</v>
      </c>
      <c r="H18" s="353">
        <v>1927</v>
      </c>
      <c r="I18" s="353">
        <f t="shared" ref="I18" si="12">SUM(I15:I17)</f>
        <v>2355</v>
      </c>
      <c r="J18" s="466">
        <f t="shared" ref="J18:AD18" si="13">SUM(J15:J17)</f>
        <v>537</v>
      </c>
      <c r="K18" s="353">
        <v>19</v>
      </c>
      <c r="L18" s="353">
        <v>22</v>
      </c>
      <c r="M18" s="353">
        <f t="shared" ref="M18" si="14">SUM(M15:M17)</f>
        <v>49</v>
      </c>
      <c r="N18" s="466">
        <f t="shared" si="13"/>
        <v>23</v>
      </c>
      <c r="O18" s="353">
        <v>430</v>
      </c>
      <c r="P18" s="353">
        <v>753</v>
      </c>
      <c r="Q18" s="353">
        <f t="shared" ref="Q18" si="15">SUM(Q15:Q17)</f>
        <v>968</v>
      </c>
      <c r="R18" s="466">
        <f t="shared" si="13"/>
        <v>141</v>
      </c>
      <c r="S18" s="353">
        <v>843</v>
      </c>
      <c r="T18" s="353">
        <v>925</v>
      </c>
      <c r="U18" s="353">
        <f t="shared" ref="U18" si="16">SUM(U15:U17)</f>
        <v>725</v>
      </c>
      <c r="V18" s="466">
        <f t="shared" si="13"/>
        <v>1270</v>
      </c>
      <c r="W18" s="353">
        <v>0</v>
      </c>
      <c r="X18" s="353">
        <v>19</v>
      </c>
      <c r="Y18" s="353">
        <f t="shared" ref="Y18" si="17">SUM(Y15:Y17)</f>
        <v>0</v>
      </c>
      <c r="Z18" s="466">
        <f t="shared" si="13"/>
        <v>0</v>
      </c>
      <c r="AA18" s="352">
        <f t="shared" si="13"/>
        <v>6916</v>
      </c>
      <c r="AB18" s="353">
        <f t="shared" si="13"/>
        <v>8569</v>
      </c>
      <c r="AC18" s="353">
        <f t="shared" si="13"/>
        <v>10128</v>
      </c>
      <c r="AD18" s="466">
        <f t="shared" si="13"/>
        <v>6805</v>
      </c>
      <c r="AE18" s="491"/>
    </row>
    <row r="19" spans="1:44" s="481" customFormat="1" ht="22.5" customHeight="1">
      <c r="A19" s="465" t="s">
        <v>930</v>
      </c>
      <c r="B19" s="334" t="s">
        <v>807</v>
      </c>
      <c r="C19" s="353">
        <v>3470</v>
      </c>
      <c r="D19" s="353">
        <v>4202</v>
      </c>
      <c r="E19" s="353">
        <v>3655</v>
      </c>
      <c r="F19" s="466">
        <v>2978</v>
      </c>
      <c r="G19" s="353">
        <v>285</v>
      </c>
      <c r="H19" s="353">
        <v>423</v>
      </c>
      <c r="I19" s="353">
        <v>423</v>
      </c>
      <c r="J19" s="466">
        <v>374</v>
      </c>
      <c r="K19" s="353">
        <v>29</v>
      </c>
      <c r="L19" s="353">
        <v>141</v>
      </c>
      <c r="M19" s="353">
        <v>167</v>
      </c>
      <c r="N19" s="466">
        <v>48</v>
      </c>
      <c r="O19" s="353">
        <v>605</v>
      </c>
      <c r="P19" s="353">
        <v>598</v>
      </c>
      <c r="Q19" s="353">
        <v>998</v>
      </c>
      <c r="R19" s="466">
        <v>179</v>
      </c>
      <c r="S19" s="353">
        <v>96</v>
      </c>
      <c r="T19" s="353">
        <v>60</v>
      </c>
      <c r="U19" s="353">
        <v>58</v>
      </c>
      <c r="V19" s="466">
        <v>316</v>
      </c>
      <c r="W19" s="353"/>
      <c r="X19" s="353"/>
      <c r="Y19" s="353"/>
      <c r="Z19" s="466"/>
      <c r="AA19" s="490">
        <f t="shared" ref="AA19:AD20" si="18">+W19+S19+O19+K19+G19+C19</f>
        <v>4485</v>
      </c>
      <c r="AB19" s="488">
        <f t="shared" si="18"/>
        <v>5424</v>
      </c>
      <c r="AC19" s="488">
        <f t="shared" si="18"/>
        <v>5301</v>
      </c>
      <c r="AD19" s="466">
        <f t="shared" si="18"/>
        <v>3895</v>
      </c>
      <c r="AE19" s="491"/>
    </row>
    <row r="20" spans="1:44" s="481" customFormat="1" ht="22.5" customHeight="1">
      <c r="A20" s="465"/>
      <c r="B20" s="293" t="s">
        <v>1192</v>
      </c>
      <c r="C20" s="353">
        <v>422</v>
      </c>
      <c r="D20" s="353">
        <v>542</v>
      </c>
      <c r="E20" s="353">
        <v>466</v>
      </c>
      <c r="F20" s="466">
        <v>269</v>
      </c>
      <c r="G20" s="353">
        <v>32</v>
      </c>
      <c r="H20" s="353">
        <v>65</v>
      </c>
      <c r="I20" s="353">
        <v>50</v>
      </c>
      <c r="J20" s="466">
        <v>6</v>
      </c>
      <c r="K20" s="353">
        <v>4</v>
      </c>
      <c r="L20" s="353">
        <v>19</v>
      </c>
      <c r="M20" s="353">
        <v>11</v>
      </c>
      <c r="N20" s="466">
        <v>2</v>
      </c>
      <c r="O20" s="353">
        <v>100</v>
      </c>
      <c r="P20" s="353">
        <v>88</v>
      </c>
      <c r="Q20" s="353">
        <v>121</v>
      </c>
      <c r="R20" s="466">
        <v>33</v>
      </c>
      <c r="S20" s="353"/>
      <c r="T20" s="353"/>
      <c r="U20" s="353"/>
      <c r="V20" s="466">
        <v>20</v>
      </c>
      <c r="W20" s="353">
        <v>5</v>
      </c>
      <c r="X20" s="353">
        <v>40</v>
      </c>
      <c r="Y20" s="353"/>
      <c r="Z20" s="466"/>
      <c r="AA20" s="488">
        <f t="shared" si="18"/>
        <v>563</v>
      </c>
      <c r="AB20" s="488">
        <f t="shared" si="18"/>
        <v>754</v>
      </c>
      <c r="AC20" s="488">
        <f t="shared" si="18"/>
        <v>648</v>
      </c>
      <c r="AD20" s="466">
        <f t="shared" si="18"/>
        <v>330</v>
      </c>
      <c r="AE20" s="491"/>
    </row>
    <row r="21" spans="1:44" s="481" customFormat="1" ht="22.5" customHeight="1">
      <c r="A21" s="465"/>
      <c r="B21" s="334" t="s">
        <v>625</v>
      </c>
      <c r="C21" s="353">
        <v>3892</v>
      </c>
      <c r="D21" s="353">
        <v>4744</v>
      </c>
      <c r="E21" s="353">
        <f>SUM(E19:E20)</f>
        <v>4121</v>
      </c>
      <c r="F21" s="466">
        <f>SUM(F19:F20)</f>
        <v>3247</v>
      </c>
      <c r="G21" s="353">
        <v>317</v>
      </c>
      <c r="H21" s="353">
        <v>488</v>
      </c>
      <c r="I21" s="353">
        <f t="shared" ref="I21" si="19">SUM(I19:I20)</f>
        <v>473</v>
      </c>
      <c r="J21" s="466">
        <f t="shared" ref="J21:AD21" si="20">SUM(J19:J20)</f>
        <v>380</v>
      </c>
      <c r="K21" s="353">
        <v>33</v>
      </c>
      <c r="L21" s="353">
        <v>160</v>
      </c>
      <c r="M21" s="353">
        <f t="shared" ref="M21" si="21">SUM(M19:M20)</f>
        <v>178</v>
      </c>
      <c r="N21" s="466">
        <f t="shared" si="20"/>
        <v>50</v>
      </c>
      <c r="O21" s="353">
        <v>705</v>
      </c>
      <c r="P21" s="353">
        <v>686</v>
      </c>
      <c r="Q21" s="353">
        <f t="shared" ref="Q21" si="22">SUM(Q19:Q20)</f>
        <v>1119</v>
      </c>
      <c r="R21" s="466">
        <f t="shared" si="20"/>
        <v>212</v>
      </c>
      <c r="S21" s="353">
        <v>96</v>
      </c>
      <c r="T21" s="353">
        <v>60</v>
      </c>
      <c r="U21" s="353">
        <f t="shared" ref="U21" si="23">SUM(U19:U20)</f>
        <v>58</v>
      </c>
      <c r="V21" s="466">
        <f t="shared" si="20"/>
        <v>336</v>
      </c>
      <c r="W21" s="353">
        <v>5</v>
      </c>
      <c r="X21" s="353">
        <v>40</v>
      </c>
      <c r="Y21" s="353">
        <f t="shared" ref="Y21" si="24">SUM(Y19:Y20)</f>
        <v>0</v>
      </c>
      <c r="Z21" s="466">
        <f t="shared" si="20"/>
        <v>0</v>
      </c>
      <c r="AA21" s="352">
        <f t="shared" si="20"/>
        <v>5048</v>
      </c>
      <c r="AB21" s="353">
        <f t="shared" si="20"/>
        <v>6178</v>
      </c>
      <c r="AC21" s="353">
        <f t="shared" si="20"/>
        <v>5949</v>
      </c>
      <c r="AD21" s="466">
        <f t="shared" si="20"/>
        <v>4225</v>
      </c>
      <c r="AE21" s="491"/>
    </row>
    <row r="22" spans="1:44" s="481" customFormat="1" ht="22.5" customHeight="1">
      <c r="A22" s="465" t="s">
        <v>524</v>
      </c>
      <c r="B22" s="334" t="s">
        <v>808</v>
      </c>
      <c r="C22" s="353">
        <v>2747</v>
      </c>
      <c r="D22" s="353">
        <v>2876</v>
      </c>
      <c r="E22" s="353">
        <v>3809</v>
      </c>
      <c r="F22" s="466">
        <v>3389</v>
      </c>
      <c r="G22" s="353">
        <v>585</v>
      </c>
      <c r="H22" s="353">
        <v>935</v>
      </c>
      <c r="I22" s="522">
        <v>1805</v>
      </c>
      <c r="J22" s="507">
        <v>798</v>
      </c>
      <c r="K22" s="353">
        <v>21</v>
      </c>
      <c r="L22" s="353">
        <v>29</v>
      </c>
      <c r="M22" s="353">
        <v>115</v>
      </c>
      <c r="N22" s="466">
        <v>21</v>
      </c>
      <c r="O22" s="353">
        <v>473</v>
      </c>
      <c r="P22" s="353">
        <v>410</v>
      </c>
      <c r="Q22" s="353">
        <v>420</v>
      </c>
      <c r="R22" s="466">
        <v>124</v>
      </c>
      <c r="S22" s="353">
        <v>185</v>
      </c>
      <c r="T22" s="353">
        <v>455</v>
      </c>
      <c r="U22" s="353">
        <v>512</v>
      </c>
      <c r="V22" s="466">
        <v>310</v>
      </c>
      <c r="W22" s="353">
        <v>110</v>
      </c>
      <c r="X22" s="353">
        <v>237</v>
      </c>
      <c r="Y22" s="353"/>
      <c r="Z22" s="466">
        <v>87</v>
      </c>
      <c r="AA22" s="490">
        <f>+W22+S22+O22+K22+G22+C22</f>
        <v>4121</v>
      </c>
      <c r="AB22" s="488">
        <f>+X22+T22+P22+L22+H22+D22</f>
        <v>4942</v>
      </c>
      <c r="AC22" s="488">
        <f>+Y22+U22+Q22+M22+I22+E22</f>
        <v>6661</v>
      </c>
      <c r="AD22" s="466">
        <f>+Z22+V22+R22+N22+J22+F22</f>
        <v>4729</v>
      </c>
      <c r="AE22" s="491"/>
    </row>
    <row r="23" spans="1:44" s="481" customFormat="1" ht="22.5" customHeight="1">
      <c r="A23" s="475" t="s">
        <v>931</v>
      </c>
      <c r="B23" s="954"/>
      <c r="C23" s="473">
        <v>31338</v>
      </c>
      <c r="D23" s="473">
        <v>34069</v>
      </c>
      <c r="E23" s="473">
        <f>+E14+E18+E21+E22</f>
        <v>34791</v>
      </c>
      <c r="F23" s="474">
        <f>+F14+F18+F21+F22</f>
        <v>23673</v>
      </c>
      <c r="G23" s="473">
        <v>5255</v>
      </c>
      <c r="H23" s="473">
        <v>7567</v>
      </c>
      <c r="I23" s="473">
        <f t="shared" ref="I23" si="25">+I14+I18+I21+I22</f>
        <v>8982</v>
      </c>
      <c r="J23" s="474">
        <f t="shared" ref="J23:AD23" si="26">+J14+J18+J21+J22</f>
        <v>2924</v>
      </c>
      <c r="K23" s="473">
        <v>137</v>
      </c>
      <c r="L23" s="473">
        <v>453</v>
      </c>
      <c r="M23" s="473">
        <f t="shared" ref="M23" si="27">+M14+M18+M21+M22</f>
        <v>711</v>
      </c>
      <c r="N23" s="474">
        <f t="shared" si="26"/>
        <v>210</v>
      </c>
      <c r="O23" s="473">
        <v>4848</v>
      </c>
      <c r="P23" s="473">
        <v>6318</v>
      </c>
      <c r="Q23" s="473">
        <f t="shared" ref="Q23" si="28">+Q14+Q18+Q21+Q22</f>
        <v>6879</v>
      </c>
      <c r="R23" s="474">
        <f t="shared" si="26"/>
        <v>1572</v>
      </c>
      <c r="S23" s="473">
        <v>1633</v>
      </c>
      <c r="T23" s="473">
        <v>1966</v>
      </c>
      <c r="U23" s="473">
        <f t="shared" ref="U23" si="29">+U14+U18+U21+U22</f>
        <v>2326</v>
      </c>
      <c r="V23" s="474">
        <f t="shared" si="26"/>
        <v>2788</v>
      </c>
      <c r="W23" s="473">
        <v>115</v>
      </c>
      <c r="X23" s="473">
        <v>309</v>
      </c>
      <c r="Y23" s="473">
        <f t="shared" ref="Y23" si="30">+Y14+Y18+Y21+Y22</f>
        <v>0</v>
      </c>
      <c r="Z23" s="474">
        <f t="shared" si="26"/>
        <v>166</v>
      </c>
      <c r="AA23" s="473">
        <f t="shared" si="26"/>
        <v>43326</v>
      </c>
      <c r="AB23" s="473">
        <f t="shared" si="26"/>
        <v>50682</v>
      </c>
      <c r="AC23" s="473">
        <f t="shared" si="26"/>
        <v>53689</v>
      </c>
      <c r="AD23" s="474">
        <f t="shared" si="26"/>
        <v>31333</v>
      </c>
      <c r="AE23" s="492"/>
      <c r="AF23" s="485"/>
      <c r="AG23" s="485"/>
      <c r="AH23" s="485"/>
      <c r="AI23" s="485"/>
      <c r="AJ23" s="485"/>
      <c r="AK23" s="485"/>
      <c r="AL23" s="485"/>
      <c r="AM23" s="485"/>
      <c r="AN23" s="485"/>
      <c r="AO23" s="485"/>
      <c r="AP23" s="485"/>
      <c r="AQ23" s="485"/>
      <c r="AR23" s="485"/>
    </row>
    <row r="24" spans="1:44" s="481" customFormat="1" ht="22.5" customHeight="1">
      <c r="A24" s="465" t="s">
        <v>932</v>
      </c>
      <c r="B24" s="293" t="s">
        <v>1325</v>
      </c>
      <c r="C24" s="353">
        <v>8744</v>
      </c>
      <c r="D24" s="353">
        <v>9149</v>
      </c>
      <c r="E24" s="353">
        <v>8669</v>
      </c>
      <c r="F24" s="466">
        <v>3761</v>
      </c>
      <c r="G24" s="353">
        <v>1369</v>
      </c>
      <c r="H24" s="353">
        <v>1894</v>
      </c>
      <c r="I24" s="353">
        <v>1415</v>
      </c>
      <c r="J24" s="466">
        <v>486</v>
      </c>
      <c r="K24" s="353">
        <v>57</v>
      </c>
      <c r="L24" s="353">
        <v>50</v>
      </c>
      <c r="M24" s="353">
        <v>194</v>
      </c>
      <c r="N24" s="466">
        <v>38</v>
      </c>
      <c r="O24" s="353">
        <v>1444</v>
      </c>
      <c r="P24" s="353">
        <v>2300</v>
      </c>
      <c r="Q24" s="353">
        <v>2712</v>
      </c>
      <c r="R24" s="466">
        <v>977</v>
      </c>
      <c r="S24" s="353">
        <v>606</v>
      </c>
      <c r="T24" s="353">
        <v>626</v>
      </c>
      <c r="U24" s="353">
        <v>820</v>
      </c>
      <c r="V24" s="466">
        <v>443</v>
      </c>
      <c r="W24" s="353"/>
      <c r="X24" s="353"/>
      <c r="Y24" s="353"/>
      <c r="Z24" s="466"/>
      <c r="AA24" s="490">
        <f t="shared" ref="AA24:AC30" si="31">+W24+S24+O24+K24+G24+C24</f>
        <v>12220</v>
      </c>
      <c r="AB24" s="488">
        <f t="shared" si="31"/>
        <v>14019</v>
      </c>
      <c r="AC24" s="488">
        <f t="shared" si="31"/>
        <v>13810</v>
      </c>
      <c r="AD24" s="466">
        <f>+Z24+V24+R24+N24+J24+F24</f>
        <v>5705</v>
      </c>
      <c r="AE24" s="491"/>
    </row>
    <row r="25" spans="1:44" s="481" customFormat="1" ht="22.5" customHeight="1">
      <c r="A25" s="465"/>
      <c r="B25" s="293" t="s">
        <v>1324</v>
      </c>
      <c r="C25" s="353">
        <v>10434</v>
      </c>
      <c r="D25" s="353">
        <v>10583</v>
      </c>
      <c r="E25" s="353">
        <v>11773</v>
      </c>
      <c r="F25" s="466">
        <v>6122</v>
      </c>
      <c r="G25" s="353">
        <v>846</v>
      </c>
      <c r="H25" s="353">
        <v>1127</v>
      </c>
      <c r="I25" s="353">
        <v>1624</v>
      </c>
      <c r="J25" s="466">
        <v>1020</v>
      </c>
      <c r="K25" s="353">
        <v>83</v>
      </c>
      <c r="L25" s="353">
        <v>105</v>
      </c>
      <c r="M25" s="353">
        <v>191</v>
      </c>
      <c r="N25" s="466">
        <v>30</v>
      </c>
      <c r="O25" s="353">
        <v>1425</v>
      </c>
      <c r="P25" s="353">
        <v>1622</v>
      </c>
      <c r="Q25" s="353">
        <v>1515</v>
      </c>
      <c r="R25" s="466">
        <v>356</v>
      </c>
      <c r="S25" s="353">
        <v>674</v>
      </c>
      <c r="T25" s="353">
        <v>551</v>
      </c>
      <c r="U25" s="353">
        <v>515</v>
      </c>
      <c r="V25" s="466">
        <v>371</v>
      </c>
      <c r="W25" s="353"/>
      <c r="X25" s="353">
        <v>2</v>
      </c>
      <c r="Y25" s="353"/>
      <c r="Z25" s="466">
        <v>1</v>
      </c>
      <c r="AA25" s="490">
        <f t="shared" ref="AA25:AD30" si="32">+W25+S25+O25+K25+G25+C25</f>
        <v>13462</v>
      </c>
      <c r="AB25" s="488">
        <f t="shared" si="32"/>
        <v>13990</v>
      </c>
      <c r="AC25" s="488">
        <f t="shared" si="32"/>
        <v>15618</v>
      </c>
      <c r="AD25" s="466">
        <f>+Z25+V25+R25+N25+J25+F25</f>
        <v>7900</v>
      </c>
      <c r="AE25" s="491"/>
    </row>
    <row r="26" spans="1:44" s="481" customFormat="1" ht="22.5" customHeight="1">
      <c r="A26" s="465"/>
      <c r="B26" s="334" t="s">
        <v>532</v>
      </c>
      <c r="C26" s="353">
        <v>1070</v>
      </c>
      <c r="D26" s="353">
        <v>1086</v>
      </c>
      <c r="E26" s="353">
        <v>1254</v>
      </c>
      <c r="F26" s="466">
        <v>949</v>
      </c>
      <c r="G26" s="353">
        <v>121</v>
      </c>
      <c r="H26" s="353">
        <v>195</v>
      </c>
      <c r="I26" s="353">
        <v>257</v>
      </c>
      <c r="J26" s="466">
        <v>140</v>
      </c>
      <c r="K26" s="353">
        <v>15</v>
      </c>
      <c r="L26" s="353">
        <v>37</v>
      </c>
      <c r="M26" s="353">
        <v>61</v>
      </c>
      <c r="N26" s="466">
        <v>8</v>
      </c>
      <c r="O26" s="353">
        <v>171</v>
      </c>
      <c r="P26" s="353">
        <v>160</v>
      </c>
      <c r="Q26" s="353">
        <v>174</v>
      </c>
      <c r="R26" s="466">
        <v>36</v>
      </c>
      <c r="S26" s="353">
        <v>25</v>
      </c>
      <c r="T26" s="353">
        <v>36</v>
      </c>
      <c r="U26" s="353">
        <v>61</v>
      </c>
      <c r="V26" s="466">
        <v>82</v>
      </c>
      <c r="W26" s="353"/>
      <c r="X26" s="353">
        <v>1</v>
      </c>
      <c r="Y26" s="353"/>
      <c r="Z26" s="466"/>
      <c r="AA26" s="490">
        <f t="shared" si="32"/>
        <v>1402</v>
      </c>
      <c r="AB26" s="488">
        <f t="shared" si="32"/>
        <v>1515</v>
      </c>
      <c r="AC26" s="488">
        <f t="shared" si="32"/>
        <v>1807</v>
      </c>
      <c r="AD26" s="466">
        <f t="shared" si="32"/>
        <v>1215</v>
      </c>
      <c r="AE26" s="491"/>
    </row>
    <row r="27" spans="1:44" s="481" customFormat="1" ht="22.5" customHeight="1">
      <c r="A27" s="465"/>
      <c r="B27" s="293" t="s">
        <v>1500</v>
      </c>
      <c r="C27" s="353">
        <v>6</v>
      </c>
      <c r="D27" s="353">
        <v>44</v>
      </c>
      <c r="E27" s="353"/>
      <c r="F27" s="466">
        <v>1</v>
      </c>
      <c r="G27" s="353"/>
      <c r="H27" s="353"/>
      <c r="I27" s="353"/>
      <c r="J27" s="466"/>
      <c r="K27" s="353"/>
      <c r="L27" s="353"/>
      <c r="M27" s="353"/>
      <c r="N27" s="466"/>
      <c r="O27" s="353"/>
      <c r="P27" s="353"/>
      <c r="Q27" s="353"/>
      <c r="R27" s="466"/>
      <c r="S27" s="353"/>
      <c r="T27" s="353"/>
      <c r="U27" s="353"/>
      <c r="V27" s="466"/>
      <c r="W27" s="353"/>
      <c r="X27" s="353"/>
      <c r="Y27" s="353"/>
      <c r="Z27" s="466"/>
      <c r="AA27" s="490">
        <f t="shared" ref="AA27:AA29" si="33">+W27+S27+O27+K27+G27+C27</f>
        <v>6</v>
      </c>
      <c r="AB27" s="488">
        <f t="shared" ref="AB27:AB29" si="34">+X27+T27+P27+L27+H27+D27</f>
        <v>44</v>
      </c>
      <c r="AC27" s="488">
        <f t="shared" si="31"/>
        <v>0</v>
      </c>
      <c r="AD27" s="466">
        <f t="shared" si="32"/>
        <v>1</v>
      </c>
      <c r="AE27" s="491"/>
    </row>
    <row r="28" spans="1:44" s="481" customFormat="1" ht="22.5" customHeight="1">
      <c r="A28" s="465"/>
      <c r="B28" s="293" t="s">
        <v>1191</v>
      </c>
      <c r="C28" s="353">
        <v>51</v>
      </c>
      <c r="D28" s="353"/>
      <c r="E28" s="353"/>
      <c r="F28" s="466"/>
      <c r="G28" s="353"/>
      <c r="H28" s="353"/>
      <c r="I28" s="353"/>
      <c r="J28" s="466"/>
      <c r="K28" s="353"/>
      <c r="L28" s="353"/>
      <c r="M28" s="353"/>
      <c r="N28" s="466"/>
      <c r="O28" s="353"/>
      <c r="P28" s="353"/>
      <c r="Q28" s="353"/>
      <c r="R28" s="466"/>
      <c r="S28" s="353">
        <v>88</v>
      </c>
      <c r="T28" s="353">
        <v>75</v>
      </c>
      <c r="U28" s="353">
        <v>111</v>
      </c>
      <c r="V28" s="466">
        <v>35</v>
      </c>
      <c r="W28" s="353"/>
      <c r="X28" s="353"/>
      <c r="Y28" s="353"/>
      <c r="Z28" s="466"/>
      <c r="AA28" s="490">
        <f t="shared" si="33"/>
        <v>139</v>
      </c>
      <c r="AB28" s="488">
        <f t="shared" si="34"/>
        <v>75</v>
      </c>
      <c r="AC28" s="488">
        <f t="shared" si="31"/>
        <v>111</v>
      </c>
      <c r="AD28" s="466">
        <f t="shared" si="32"/>
        <v>35</v>
      </c>
      <c r="AE28" s="491"/>
    </row>
    <row r="29" spans="1:44" s="481" customFormat="1" ht="22.5" customHeight="1">
      <c r="A29" s="465"/>
      <c r="B29" s="293" t="s">
        <v>1499</v>
      </c>
      <c r="C29" s="353">
        <v>71</v>
      </c>
      <c r="D29" s="353">
        <v>14</v>
      </c>
      <c r="E29" s="353">
        <v>77</v>
      </c>
      <c r="F29" s="466"/>
      <c r="G29" s="353">
        <v>143</v>
      </c>
      <c r="H29" s="353">
        <v>378</v>
      </c>
      <c r="I29" s="353">
        <v>490</v>
      </c>
      <c r="J29" s="466">
        <v>1997</v>
      </c>
      <c r="K29" s="353"/>
      <c r="L29" s="353"/>
      <c r="M29" s="353"/>
      <c r="N29" s="466"/>
      <c r="O29" s="353"/>
      <c r="P29" s="353"/>
      <c r="Q29" s="353"/>
      <c r="R29" s="466"/>
      <c r="S29" s="353">
        <v>41</v>
      </c>
      <c r="T29" s="353">
        <v>25</v>
      </c>
      <c r="U29" s="353">
        <v>107</v>
      </c>
      <c r="V29" s="466">
        <v>22</v>
      </c>
      <c r="W29" s="353"/>
      <c r="X29" s="353">
        <v>126</v>
      </c>
      <c r="Y29" s="353"/>
      <c r="Z29" s="466"/>
      <c r="AA29" s="490">
        <f t="shared" si="33"/>
        <v>255</v>
      </c>
      <c r="AB29" s="488">
        <f t="shared" si="34"/>
        <v>543</v>
      </c>
      <c r="AC29" s="488">
        <f t="shared" si="31"/>
        <v>674</v>
      </c>
      <c r="AD29" s="466">
        <f t="shared" si="32"/>
        <v>2019</v>
      </c>
      <c r="AE29" s="491"/>
    </row>
    <row r="30" spans="1:44" s="481" customFormat="1" ht="22.5" customHeight="1">
      <c r="A30" s="465"/>
      <c r="B30" s="334" t="s">
        <v>812</v>
      </c>
      <c r="C30" s="353">
        <v>2300</v>
      </c>
      <c r="D30" s="353">
        <v>2680</v>
      </c>
      <c r="E30" s="353">
        <v>2575</v>
      </c>
      <c r="F30" s="466">
        <v>1421</v>
      </c>
      <c r="G30" s="353">
        <v>637</v>
      </c>
      <c r="H30" s="353">
        <v>625</v>
      </c>
      <c r="I30" s="353">
        <v>935</v>
      </c>
      <c r="J30" s="466">
        <v>421</v>
      </c>
      <c r="K30" s="353">
        <v>18</v>
      </c>
      <c r="L30" s="353">
        <v>211</v>
      </c>
      <c r="M30" s="353">
        <v>210</v>
      </c>
      <c r="N30" s="466">
        <v>83</v>
      </c>
      <c r="O30" s="353">
        <v>406</v>
      </c>
      <c r="P30" s="353">
        <v>368</v>
      </c>
      <c r="Q30" s="353">
        <v>425</v>
      </c>
      <c r="R30" s="466">
        <v>96</v>
      </c>
      <c r="S30" s="353">
        <v>74</v>
      </c>
      <c r="T30" s="353">
        <v>140</v>
      </c>
      <c r="U30" s="353">
        <v>108</v>
      </c>
      <c r="V30" s="466">
        <v>39</v>
      </c>
      <c r="W30" s="353"/>
      <c r="X30" s="353">
        <v>1</v>
      </c>
      <c r="Y30" s="353"/>
      <c r="Z30" s="466"/>
      <c r="AA30" s="490">
        <f t="shared" si="31"/>
        <v>3435</v>
      </c>
      <c r="AB30" s="488">
        <f t="shared" si="31"/>
        <v>4025</v>
      </c>
      <c r="AC30" s="488">
        <f t="shared" si="31"/>
        <v>4253</v>
      </c>
      <c r="AD30" s="466">
        <f t="shared" si="32"/>
        <v>2060</v>
      </c>
      <c r="AE30" s="491"/>
    </row>
    <row r="31" spans="1:44" s="481" customFormat="1" ht="22.5" customHeight="1">
      <c r="A31" s="465"/>
      <c r="B31" s="334" t="s">
        <v>625</v>
      </c>
      <c r="C31" s="353">
        <v>22676</v>
      </c>
      <c r="D31" s="353">
        <v>23556</v>
      </c>
      <c r="E31" s="353">
        <f>SUM(E24:E30)</f>
        <v>24348</v>
      </c>
      <c r="F31" s="466">
        <f>SUM(F24:F30)</f>
        <v>12254</v>
      </c>
      <c r="G31" s="353">
        <v>3116</v>
      </c>
      <c r="H31" s="353">
        <v>4219</v>
      </c>
      <c r="I31" s="353">
        <f t="shared" ref="I31" si="35">SUM(I24:I30)</f>
        <v>4721</v>
      </c>
      <c r="J31" s="466">
        <f t="shared" ref="J31:AD31" si="36">SUM(J24:J30)</f>
        <v>4064</v>
      </c>
      <c r="K31" s="353">
        <v>173</v>
      </c>
      <c r="L31" s="353">
        <v>403</v>
      </c>
      <c r="M31" s="353">
        <f t="shared" ref="M31" si="37">SUM(M24:M30)</f>
        <v>656</v>
      </c>
      <c r="N31" s="466">
        <f t="shared" si="36"/>
        <v>159</v>
      </c>
      <c r="O31" s="353">
        <v>3446</v>
      </c>
      <c r="P31" s="353">
        <v>4450</v>
      </c>
      <c r="Q31" s="353">
        <f t="shared" ref="Q31" si="38">SUM(Q24:Q30)</f>
        <v>4826</v>
      </c>
      <c r="R31" s="466">
        <f t="shared" si="36"/>
        <v>1465</v>
      </c>
      <c r="S31" s="353">
        <v>1508</v>
      </c>
      <c r="T31" s="353">
        <v>1453</v>
      </c>
      <c r="U31" s="353">
        <f t="shared" ref="U31" si="39">SUM(U24:U30)</f>
        <v>1722</v>
      </c>
      <c r="V31" s="466">
        <f t="shared" si="36"/>
        <v>992</v>
      </c>
      <c r="W31" s="353">
        <v>0</v>
      </c>
      <c r="X31" s="353">
        <v>130</v>
      </c>
      <c r="Y31" s="353">
        <f t="shared" ref="Y31" si="40">SUM(Y24:Y30)</f>
        <v>0</v>
      </c>
      <c r="Z31" s="466">
        <f t="shared" si="36"/>
        <v>1</v>
      </c>
      <c r="AA31" s="352">
        <f t="shared" si="36"/>
        <v>30919</v>
      </c>
      <c r="AB31" s="353">
        <f t="shared" si="36"/>
        <v>34211</v>
      </c>
      <c r="AC31" s="353">
        <f t="shared" si="36"/>
        <v>36273</v>
      </c>
      <c r="AD31" s="466">
        <f t="shared" si="36"/>
        <v>18935</v>
      </c>
      <c r="AE31" s="491"/>
    </row>
    <row r="32" spans="1:44" s="481" customFormat="1" ht="22.5" customHeight="1">
      <c r="A32" s="465" t="s">
        <v>527</v>
      </c>
      <c r="B32" s="334" t="s">
        <v>813</v>
      </c>
      <c r="C32" s="353">
        <v>5587</v>
      </c>
      <c r="D32" s="353">
        <v>6031</v>
      </c>
      <c r="E32" s="353">
        <v>5942</v>
      </c>
      <c r="F32" s="466">
        <v>3801</v>
      </c>
      <c r="G32" s="353">
        <v>1181</v>
      </c>
      <c r="H32" s="353">
        <v>1329</v>
      </c>
      <c r="I32" s="353">
        <v>1170</v>
      </c>
      <c r="J32" s="466">
        <v>563</v>
      </c>
      <c r="K32" s="353">
        <v>47</v>
      </c>
      <c r="L32" s="353">
        <v>24</v>
      </c>
      <c r="M32" s="353">
        <v>67</v>
      </c>
      <c r="N32" s="466">
        <v>28</v>
      </c>
      <c r="O32" s="353">
        <v>1105</v>
      </c>
      <c r="P32" s="353">
        <v>1376</v>
      </c>
      <c r="Q32" s="353">
        <v>1024</v>
      </c>
      <c r="R32" s="466">
        <v>294</v>
      </c>
      <c r="S32" s="353">
        <v>275</v>
      </c>
      <c r="T32" s="353">
        <v>338</v>
      </c>
      <c r="U32" s="353">
        <v>340</v>
      </c>
      <c r="V32" s="466">
        <v>205</v>
      </c>
      <c r="W32" s="353"/>
      <c r="X32" s="353">
        <v>3</v>
      </c>
      <c r="Y32" s="353"/>
      <c r="Z32" s="466"/>
      <c r="AA32" s="490">
        <f>+W32+S32+O32+K32+G32+C32</f>
        <v>8195</v>
      </c>
      <c r="AB32" s="488">
        <f>+X32+T32+P32+L32+H32+D32</f>
        <v>9101</v>
      </c>
      <c r="AC32" s="488">
        <f>+Y32+U32+Q32+M32+I32+E32</f>
        <v>8543</v>
      </c>
      <c r="AD32" s="466">
        <f>+Z32+V32+R32+N32+J32+F32</f>
        <v>4891</v>
      </c>
      <c r="AE32" s="491"/>
    </row>
    <row r="33" spans="1:31" s="481" customFormat="1" ht="22.5" customHeight="1">
      <c r="A33" s="465"/>
      <c r="B33" s="293" t="s">
        <v>1455</v>
      </c>
      <c r="C33" s="353">
        <v>335</v>
      </c>
      <c r="D33" s="353">
        <v>801</v>
      </c>
      <c r="E33" s="353">
        <v>774</v>
      </c>
      <c r="F33" s="466">
        <v>545</v>
      </c>
      <c r="G33" s="353">
        <v>121</v>
      </c>
      <c r="H33" s="353">
        <v>345</v>
      </c>
      <c r="I33" s="353">
        <v>241</v>
      </c>
      <c r="J33" s="466">
        <v>50</v>
      </c>
      <c r="K33" s="353">
        <v>1</v>
      </c>
      <c r="L33" s="353">
        <v>6</v>
      </c>
      <c r="M33" s="353">
        <v>18</v>
      </c>
      <c r="N33" s="466">
        <v>16</v>
      </c>
      <c r="O33" s="353">
        <v>4</v>
      </c>
      <c r="P33" s="353">
        <v>42</v>
      </c>
      <c r="Q33" s="353">
        <v>57</v>
      </c>
      <c r="R33" s="466">
        <v>18</v>
      </c>
      <c r="S33" s="353">
        <v>6</v>
      </c>
      <c r="T33" s="353">
        <v>12</v>
      </c>
      <c r="U33" s="353">
        <v>70</v>
      </c>
      <c r="V33" s="466">
        <v>35</v>
      </c>
      <c r="W33" s="353"/>
      <c r="X33" s="353">
        <v>1</v>
      </c>
      <c r="Y33" s="353"/>
      <c r="Z33" s="466"/>
      <c r="AA33" s="490">
        <f>+W33+S33+O33+K33+G33+C33</f>
        <v>467</v>
      </c>
      <c r="AB33" s="488">
        <f>+X33+T33+P33+L33+H33+D33</f>
        <v>1207</v>
      </c>
      <c r="AC33" s="488">
        <f t="shared" ref="AB33:AD36" si="41">+Y33+U33+Q33+M33+I33+E33</f>
        <v>1160</v>
      </c>
      <c r="AD33" s="466">
        <f>+Z33+V33+R33+N33+J33+F33</f>
        <v>664</v>
      </c>
      <c r="AE33" s="491"/>
    </row>
    <row r="34" spans="1:31" s="481" customFormat="1" ht="22.5" customHeight="1">
      <c r="A34" s="465"/>
      <c r="B34" s="293" t="s">
        <v>1182</v>
      </c>
      <c r="C34" s="353">
        <v>1380</v>
      </c>
      <c r="D34" s="353">
        <v>1430</v>
      </c>
      <c r="E34" s="353">
        <v>1771</v>
      </c>
      <c r="F34" s="466">
        <v>1135</v>
      </c>
      <c r="G34" s="353">
        <v>265</v>
      </c>
      <c r="H34" s="353">
        <v>240</v>
      </c>
      <c r="I34" s="353">
        <v>528</v>
      </c>
      <c r="J34" s="466">
        <v>299</v>
      </c>
      <c r="K34" s="353">
        <v>23</v>
      </c>
      <c r="L34" s="353">
        <v>11</v>
      </c>
      <c r="M34" s="353">
        <v>22</v>
      </c>
      <c r="N34" s="466">
        <v>5</v>
      </c>
      <c r="O34" s="353">
        <v>262</v>
      </c>
      <c r="P34" s="353">
        <v>260</v>
      </c>
      <c r="Q34" s="353">
        <v>200</v>
      </c>
      <c r="R34" s="466">
        <v>174</v>
      </c>
      <c r="S34" s="353">
        <v>10</v>
      </c>
      <c r="T34" s="353">
        <v>19</v>
      </c>
      <c r="U34" s="353">
        <v>15</v>
      </c>
      <c r="V34" s="466">
        <v>9</v>
      </c>
      <c r="W34" s="353">
        <v>13</v>
      </c>
      <c r="X34" s="353">
        <v>213</v>
      </c>
      <c r="Y34" s="353"/>
      <c r="Z34" s="466"/>
      <c r="AA34" s="490">
        <f t="shared" ref="AA34:AA35" si="42">+W34+S34+O34+K34+G34+C34</f>
        <v>1953</v>
      </c>
      <c r="AB34" s="488">
        <f t="shared" si="41"/>
        <v>2173</v>
      </c>
      <c r="AC34" s="488">
        <f t="shared" si="41"/>
        <v>2536</v>
      </c>
      <c r="AD34" s="466">
        <f t="shared" si="41"/>
        <v>1622</v>
      </c>
      <c r="AE34" s="491"/>
    </row>
    <row r="35" spans="1:31" s="481" customFormat="1" ht="22.5" customHeight="1">
      <c r="A35" s="465"/>
      <c r="B35" s="293" t="s">
        <v>1237</v>
      </c>
      <c r="C35" s="353"/>
      <c r="D35" s="353"/>
      <c r="E35" s="353">
        <v>32</v>
      </c>
      <c r="F35" s="466">
        <v>16</v>
      </c>
      <c r="G35" s="353"/>
      <c r="H35" s="353"/>
      <c r="I35" s="353">
        <v>31</v>
      </c>
      <c r="J35" s="466">
        <v>47</v>
      </c>
      <c r="K35" s="353"/>
      <c r="L35" s="353"/>
      <c r="M35" s="353"/>
      <c r="N35" s="466"/>
      <c r="O35" s="353"/>
      <c r="P35" s="353"/>
      <c r="Q35" s="353"/>
      <c r="R35" s="466"/>
      <c r="S35" s="353">
        <v>383</v>
      </c>
      <c r="T35" s="353">
        <v>337</v>
      </c>
      <c r="U35" s="353">
        <v>330</v>
      </c>
      <c r="V35" s="466">
        <v>471</v>
      </c>
      <c r="W35" s="353"/>
      <c r="X35" s="353"/>
      <c r="Y35" s="353"/>
      <c r="Z35" s="466"/>
      <c r="AA35" s="490">
        <f t="shared" si="42"/>
        <v>383</v>
      </c>
      <c r="AB35" s="488">
        <f t="shared" si="41"/>
        <v>337</v>
      </c>
      <c r="AC35" s="488">
        <f t="shared" si="41"/>
        <v>393</v>
      </c>
      <c r="AD35" s="466">
        <f t="shared" si="41"/>
        <v>534</v>
      </c>
      <c r="AE35" s="491"/>
    </row>
    <row r="36" spans="1:31" s="481" customFormat="1" ht="22.5" customHeight="1">
      <c r="A36" s="465"/>
      <c r="B36" s="334" t="s">
        <v>933</v>
      </c>
      <c r="C36" s="353">
        <v>42</v>
      </c>
      <c r="D36" s="353"/>
      <c r="E36" s="353"/>
      <c r="F36" s="466"/>
      <c r="G36" s="353">
        <v>206</v>
      </c>
      <c r="H36" s="353"/>
      <c r="I36" s="353"/>
      <c r="J36" s="466"/>
      <c r="K36" s="353"/>
      <c r="L36" s="353"/>
      <c r="M36" s="353"/>
      <c r="N36" s="466"/>
      <c r="O36" s="353"/>
      <c r="P36" s="353"/>
      <c r="Q36" s="353"/>
      <c r="R36" s="466"/>
      <c r="S36" s="353">
        <v>37</v>
      </c>
      <c r="T36" s="353"/>
      <c r="U36" s="353"/>
      <c r="V36" s="466"/>
      <c r="W36" s="353"/>
      <c r="X36" s="353"/>
      <c r="Y36" s="353"/>
      <c r="Z36" s="466"/>
      <c r="AA36" s="490">
        <f>+W36+S36+O36+K36+G36+C36</f>
        <v>285</v>
      </c>
      <c r="AB36" s="488">
        <f t="shared" si="41"/>
        <v>0</v>
      </c>
      <c r="AC36" s="488">
        <f t="shared" si="41"/>
        <v>0</v>
      </c>
      <c r="AD36" s="466">
        <f t="shared" si="41"/>
        <v>0</v>
      </c>
      <c r="AE36" s="491"/>
    </row>
    <row r="37" spans="1:31" s="481" customFormat="1" ht="22.5" customHeight="1">
      <c r="A37" s="465"/>
      <c r="B37" s="334" t="s">
        <v>625</v>
      </c>
      <c r="C37" s="353">
        <v>7344</v>
      </c>
      <c r="D37" s="353">
        <v>8262</v>
      </c>
      <c r="E37" s="353">
        <f>SUM(E32:E36)</f>
        <v>8519</v>
      </c>
      <c r="F37" s="466">
        <f>SUM(F32:F36)</f>
        <v>5497</v>
      </c>
      <c r="G37" s="353">
        <v>1773</v>
      </c>
      <c r="H37" s="353">
        <v>1914</v>
      </c>
      <c r="I37" s="353">
        <f t="shared" ref="I37" si="43">SUM(I32:I36)</f>
        <v>1970</v>
      </c>
      <c r="J37" s="466">
        <f t="shared" ref="J37:AD37" si="44">SUM(J32:J36)</f>
        <v>959</v>
      </c>
      <c r="K37" s="353">
        <v>71</v>
      </c>
      <c r="L37" s="353">
        <v>41</v>
      </c>
      <c r="M37" s="353">
        <f t="shared" ref="M37" si="45">SUM(M32:M36)</f>
        <v>107</v>
      </c>
      <c r="N37" s="466">
        <f t="shared" si="44"/>
        <v>49</v>
      </c>
      <c r="O37" s="353">
        <v>1371</v>
      </c>
      <c r="P37" s="353">
        <v>1678</v>
      </c>
      <c r="Q37" s="353">
        <f t="shared" ref="Q37" si="46">SUM(Q32:Q36)</f>
        <v>1281</v>
      </c>
      <c r="R37" s="466">
        <f t="shared" si="44"/>
        <v>486</v>
      </c>
      <c r="S37" s="353">
        <v>711</v>
      </c>
      <c r="T37" s="353">
        <v>706</v>
      </c>
      <c r="U37" s="353">
        <f t="shared" ref="U37" si="47">SUM(U32:U36)</f>
        <v>755</v>
      </c>
      <c r="V37" s="466">
        <f t="shared" si="44"/>
        <v>720</v>
      </c>
      <c r="W37" s="353">
        <v>13</v>
      </c>
      <c r="X37" s="353">
        <v>217</v>
      </c>
      <c r="Y37" s="353">
        <f t="shared" ref="Y37" si="48">SUM(Y32:Y36)</f>
        <v>0</v>
      </c>
      <c r="Z37" s="466">
        <f t="shared" si="44"/>
        <v>0</v>
      </c>
      <c r="AA37" s="352">
        <f t="shared" si="44"/>
        <v>11283</v>
      </c>
      <c r="AB37" s="353">
        <f t="shared" si="44"/>
        <v>12818</v>
      </c>
      <c r="AC37" s="353">
        <f t="shared" si="44"/>
        <v>12632</v>
      </c>
      <c r="AD37" s="466">
        <f t="shared" si="44"/>
        <v>7711</v>
      </c>
      <c r="AE37" s="491"/>
    </row>
    <row r="38" spans="1:31" s="481" customFormat="1" ht="22.5" customHeight="1">
      <c r="A38" s="465" t="s">
        <v>528</v>
      </c>
      <c r="B38" s="334" t="s">
        <v>629</v>
      </c>
      <c r="C38" s="353">
        <v>3695</v>
      </c>
      <c r="D38" s="353">
        <v>4063</v>
      </c>
      <c r="E38" s="353">
        <v>4340</v>
      </c>
      <c r="F38" s="466">
        <v>3108</v>
      </c>
      <c r="G38" s="353">
        <v>711</v>
      </c>
      <c r="H38" s="353">
        <v>1158</v>
      </c>
      <c r="I38" s="353">
        <v>1539</v>
      </c>
      <c r="J38" s="466">
        <v>351</v>
      </c>
      <c r="K38" s="353">
        <v>29</v>
      </c>
      <c r="L38" s="353">
        <v>245</v>
      </c>
      <c r="M38" s="353">
        <v>349</v>
      </c>
      <c r="N38" s="466">
        <v>52</v>
      </c>
      <c r="O38" s="353">
        <v>660</v>
      </c>
      <c r="P38" s="353">
        <v>775</v>
      </c>
      <c r="Q38" s="353">
        <v>1023</v>
      </c>
      <c r="R38" s="466">
        <v>185</v>
      </c>
      <c r="S38" s="353">
        <v>32</v>
      </c>
      <c r="T38" s="353">
        <v>44</v>
      </c>
      <c r="U38" s="353">
        <v>57</v>
      </c>
      <c r="V38" s="466">
        <v>61</v>
      </c>
      <c r="W38" s="353"/>
      <c r="X38" s="353">
        <v>24</v>
      </c>
      <c r="Y38" s="353">
        <v>6</v>
      </c>
      <c r="Z38" s="466"/>
      <c r="AA38" s="490">
        <f t="shared" ref="AA38:AC46" si="49">+W38+S38+O38+K38+G38+C38</f>
        <v>5127</v>
      </c>
      <c r="AB38" s="488">
        <f t="shared" si="49"/>
        <v>6309</v>
      </c>
      <c r="AC38" s="488">
        <f t="shared" si="49"/>
        <v>7314</v>
      </c>
      <c r="AD38" s="466">
        <f>+Z38+V38+R38+N38+J38+F38</f>
        <v>3757</v>
      </c>
      <c r="AE38" s="491"/>
    </row>
    <row r="39" spans="1:31" s="481" customFormat="1" ht="22.5" customHeight="1">
      <c r="A39" s="465"/>
      <c r="B39" s="334" t="s">
        <v>815</v>
      </c>
      <c r="C39" s="353">
        <v>732</v>
      </c>
      <c r="D39" s="353">
        <v>973</v>
      </c>
      <c r="E39" s="353">
        <v>1056</v>
      </c>
      <c r="F39" s="466">
        <v>373</v>
      </c>
      <c r="G39" s="353">
        <v>40</v>
      </c>
      <c r="H39" s="353">
        <v>176</v>
      </c>
      <c r="I39" s="353">
        <v>184</v>
      </c>
      <c r="J39" s="466">
        <v>74</v>
      </c>
      <c r="K39" s="353">
        <v>2</v>
      </c>
      <c r="L39" s="353">
        <v>85</v>
      </c>
      <c r="M39" s="353">
        <v>202</v>
      </c>
      <c r="N39" s="466">
        <v>69</v>
      </c>
      <c r="O39" s="353">
        <v>94</v>
      </c>
      <c r="P39" s="353">
        <v>108</v>
      </c>
      <c r="Q39" s="353">
        <v>134</v>
      </c>
      <c r="R39" s="466">
        <v>30</v>
      </c>
      <c r="S39" s="353">
        <v>11</v>
      </c>
      <c r="T39" s="353">
        <v>9</v>
      </c>
      <c r="U39" s="353">
        <v>13</v>
      </c>
      <c r="V39" s="466">
        <v>6</v>
      </c>
      <c r="W39" s="353"/>
      <c r="X39" s="353">
        <v>12</v>
      </c>
      <c r="Y39" s="353"/>
      <c r="Z39" s="466"/>
      <c r="AA39" s="490">
        <f t="shared" ref="AA39:AC40" si="50">+W39+S39+O39+K39+G39+C39</f>
        <v>879</v>
      </c>
      <c r="AB39" s="488">
        <f t="shared" si="50"/>
        <v>1363</v>
      </c>
      <c r="AC39" s="488">
        <f t="shared" si="50"/>
        <v>1589</v>
      </c>
      <c r="AD39" s="466">
        <f>+Z39+V39+R39+N39+J39+F39</f>
        <v>552</v>
      </c>
      <c r="AE39" s="491"/>
    </row>
    <row r="40" spans="1:31" s="481" customFormat="1" ht="22.5" customHeight="1">
      <c r="A40" s="465"/>
      <c r="B40" s="293" t="s">
        <v>1183</v>
      </c>
      <c r="C40" s="353">
        <v>369</v>
      </c>
      <c r="D40" s="353">
        <v>476</v>
      </c>
      <c r="E40" s="353">
        <v>472</v>
      </c>
      <c r="F40" s="466">
        <v>509</v>
      </c>
      <c r="G40" s="353">
        <v>40</v>
      </c>
      <c r="H40" s="353">
        <v>83</v>
      </c>
      <c r="I40" s="353">
        <v>85</v>
      </c>
      <c r="J40" s="466">
        <v>24</v>
      </c>
      <c r="K40" s="353">
        <v>0</v>
      </c>
      <c r="L40" s="353">
        <v>33</v>
      </c>
      <c r="M40" s="353">
        <v>58</v>
      </c>
      <c r="N40" s="466">
        <v>19</v>
      </c>
      <c r="O40" s="353">
        <v>37</v>
      </c>
      <c r="P40" s="353">
        <v>51</v>
      </c>
      <c r="Q40" s="353">
        <v>55</v>
      </c>
      <c r="R40" s="466">
        <v>14</v>
      </c>
      <c r="S40" s="353">
        <v>2</v>
      </c>
      <c r="T40" s="353">
        <v>1</v>
      </c>
      <c r="U40" s="353">
        <v>2</v>
      </c>
      <c r="V40" s="466">
        <v>3</v>
      </c>
      <c r="W40" s="353"/>
      <c r="X40" s="353"/>
      <c r="Y40" s="353"/>
      <c r="Z40" s="466"/>
      <c r="AA40" s="490">
        <f t="shared" si="50"/>
        <v>448</v>
      </c>
      <c r="AB40" s="488">
        <f t="shared" si="50"/>
        <v>644</v>
      </c>
      <c r="AC40" s="488">
        <f t="shared" si="50"/>
        <v>672</v>
      </c>
      <c r="AD40" s="466">
        <f>+Z40+V40+R40+N40+J40+F40</f>
        <v>569</v>
      </c>
      <c r="AE40" s="491"/>
    </row>
    <row r="41" spans="1:31" s="481" customFormat="1" ht="22.5" customHeight="1">
      <c r="A41" s="465"/>
      <c r="B41" s="334" t="s">
        <v>625</v>
      </c>
      <c r="C41" s="353">
        <v>4796</v>
      </c>
      <c r="D41" s="353">
        <v>5512</v>
      </c>
      <c r="E41" s="353">
        <f t="shared" ref="E41" si="51">SUM(E38:E40)</f>
        <v>5868</v>
      </c>
      <c r="F41" s="466">
        <f t="shared" ref="F41:AD41" si="52">SUM(F38:F40)</f>
        <v>3990</v>
      </c>
      <c r="G41" s="353">
        <v>791</v>
      </c>
      <c r="H41" s="353">
        <v>1417</v>
      </c>
      <c r="I41" s="353">
        <f t="shared" ref="I41" si="53">SUM(I38:I40)</f>
        <v>1808</v>
      </c>
      <c r="J41" s="466">
        <f t="shared" si="52"/>
        <v>449</v>
      </c>
      <c r="K41" s="353">
        <v>31</v>
      </c>
      <c r="L41" s="353">
        <v>363</v>
      </c>
      <c r="M41" s="353">
        <f t="shared" ref="M41" si="54">SUM(M38:M40)</f>
        <v>609</v>
      </c>
      <c r="N41" s="466">
        <f t="shared" si="52"/>
        <v>140</v>
      </c>
      <c r="O41" s="353">
        <v>791</v>
      </c>
      <c r="P41" s="353">
        <v>934</v>
      </c>
      <c r="Q41" s="353">
        <f t="shared" ref="Q41" si="55">SUM(Q38:Q40)</f>
        <v>1212</v>
      </c>
      <c r="R41" s="466">
        <f t="shared" si="52"/>
        <v>229</v>
      </c>
      <c r="S41" s="353">
        <v>45</v>
      </c>
      <c r="T41" s="353">
        <v>54</v>
      </c>
      <c r="U41" s="353">
        <f t="shared" ref="U41" si="56">SUM(U38:U40)</f>
        <v>72</v>
      </c>
      <c r="V41" s="466">
        <f t="shared" si="52"/>
        <v>70</v>
      </c>
      <c r="W41" s="353">
        <v>0</v>
      </c>
      <c r="X41" s="353">
        <v>36</v>
      </c>
      <c r="Y41" s="353">
        <f t="shared" ref="Y41" si="57">SUM(Y38:Y40)</f>
        <v>6</v>
      </c>
      <c r="Z41" s="353">
        <f t="shared" si="52"/>
        <v>0</v>
      </c>
      <c r="AA41" s="352">
        <f t="shared" si="52"/>
        <v>6454</v>
      </c>
      <c r="AB41" s="353">
        <f t="shared" si="52"/>
        <v>8316</v>
      </c>
      <c r="AC41" s="353">
        <f t="shared" si="52"/>
        <v>9575</v>
      </c>
      <c r="AD41" s="466">
        <f t="shared" si="52"/>
        <v>4878</v>
      </c>
      <c r="AE41" s="337"/>
    </row>
    <row r="42" spans="1:31" s="481" customFormat="1" ht="22.5" customHeight="1">
      <c r="A42" s="465" t="s">
        <v>529</v>
      </c>
      <c r="B42" s="334" t="s">
        <v>816</v>
      </c>
      <c r="C42" s="353">
        <v>3095</v>
      </c>
      <c r="D42" s="353">
        <v>3125</v>
      </c>
      <c r="E42" s="353">
        <v>3296</v>
      </c>
      <c r="F42" s="466">
        <v>2448</v>
      </c>
      <c r="G42" s="353">
        <v>243</v>
      </c>
      <c r="H42" s="353">
        <v>256</v>
      </c>
      <c r="I42" s="353">
        <v>505</v>
      </c>
      <c r="J42" s="466">
        <v>337</v>
      </c>
      <c r="K42" s="353">
        <v>39</v>
      </c>
      <c r="L42" s="353">
        <v>244</v>
      </c>
      <c r="M42" s="353">
        <v>369</v>
      </c>
      <c r="N42" s="466">
        <v>26</v>
      </c>
      <c r="O42" s="353">
        <v>435</v>
      </c>
      <c r="P42" s="353">
        <v>491</v>
      </c>
      <c r="Q42" s="353">
        <v>734</v>
      </c>
      <c r="R42" s="466">
        <v>205</v>
      </c>
      <c r="S42" s="353">
        <v>143</v>
      </c>
      <c r="T42" s="353">
        <v>224</v>
      </c>
      <c r="U42" s="353">
        <v>128</v>
      </c>
      <c r="V42" s="466">
        <v>138</v>
      </c>
      <c r="W42" s="353"/>
      <c r="X42" s="353"/>
      <c r="Y42" s="353"/>
      <c r="Z42" s="466"/>
      <c r="AA42" s="490">
        <f t="shared" si="49"/>
        <v>3955</v>
      </c>
      <c r="AB42" s="488">
        <f t="shared" si="49"/>
        <v>4340</v>
      </c>
      <c r="AC42" s="488">
        <f t="shared" si="49"/>
        <v>5032</v>
      </c>
      <c r="AD42" s="466">
        <f>+Z42+V42+R42+N42+J42+F42</f>
        <v>3154</v>
      </c>
      <c r="AE42" s="491"/>
    </row>
    <row r="43" spans="1:31" s="481" customFormat="1" ht="22.5" customHeight="1">
      <c r="A43" s="465" t="s">
        <v>934</v>
      </c>
      <c r="B43" s="334" t="s">
        <v>817</v>
      </c>
      <c r="C43" s="353">
        <v>8750</v>
      </c>
      <c r="D43" s="353">
        <v>8618</v>
      </c>
      <c r="E43" s="353">
        <v>8490</v>
      </c>
      <c r="F43" s="466">
        <v>4782</v>
      </c>
      <c r="G43" s="353">
        <v>1169</v>
      </c>
      <c r="H43" s="353">
        <v>1522</v>
      </c>
      <c r="I43" s="353">
        <v>1799</v>
      </c>
      <c r="J43" s="466">
        <v>676</v>
      </c>
      <c r="K43" s="353">
        <v>1</v>
      </c>
      <c r="L43" s="353">
        <v>15</v>
      </c>
      <c r="M43" s="353">
        <v>3</v>
      </c>
      <c r="N43" s="466">
        <v>0</v>
      </c>
      <c r="O43" s="353">
        <v>1449</v>
      </c>
      <c r="P43" s="353">
        <v>1580</v>
      </c>
      <c r="Q43" s="353">
        <v>1542</v>
      </c>
      <c r="R43" s="466">
        <v>408</v>
      </c>
      <c r="S43" s="353">
        <v>110</v>
      </c>
      <c r="T43" s="353">
        <v>112</v>
      </c>
      <c r="U43" s="353">
        <v>123</v>
      </c>
      <c r="V43" s="466">
        <v>87</v>
      </c>
      <c r="W43" s="353"/>
      <c r="X43" s="353"/>
      <c r="Y43" s="353"/>
      <c r="Z43" s="466"/>
      <c r="AA43" s="490">
        <f t="shared" si="49"/>
        <v>11479</v>
      </c>
      <c r="AB43" s="488">
        <f t="shared" si="49"/>
        <v>11847</v>
      </c>
      <c r="AC43" s="488">
        <f t="shared" si="49"/>
        <v>11957</v>
      </c>
      <c r="AD43" s="466">
        <f>+Z43+V43+R43+N43+J43+F43</f>
        <v>5953</v>
      </c>
      <c r="AE43" s="491"/>
    </row>
    <row r="44" spans="1:31" s="481" customFormat="1" ht="22.5" customHeight="1">
      <c r="A44" s="465"/>
      <c r="B44" s="293" t="s">
        <v>967</v>
      </c>
      <c r="C44" s="353">
        <v>213</v>
      </c>
      <c r="D44" s="353">
        <v>341</v>
      </c>
      <c r="E44" s="353">
        <v>362</v>
      </c>
      <c r="F44" s="466">
        <v>217</v>
      </c>
      <c r="G44" s="353">
        <v>189</v>
      </c>
      <c r="H44" s="353">
        <v>174</v>
      </c>
      <c r="I44" s="353">
        <v>131</v>
      </c>
      <c r="J44" s="466">
        <v>426</v>
      </c>
      <c r="K44" s="353"/>
      <c r="L44" s="353"/>
      <c r="M44" s="353"/>
      <c r="N44" s="466"/>
      <c r="O44" s="353"/>
      <c r="P44" s="353"/>
      <c r="Q44" s="353"/>
      <c r="R44" s="466"/>
      <c r="S44" s="353">
        <v>394</v>
      </c>
      <c r="T44" s="353">
        <v>398</v>
      </c>
      <c r="U44" s="353">
        <v>337</v>
      </c>
      <c r="V44" s="466">
        <v>378</v>
      </c>
      <c r="W44" s="353"/>
      <c r="X44" s="353"/>
      <c r="Y44" s="353"/>
      <c r="Z44" s="466"/>
      <c r="AA44" s="490">
        <f t="shared" si="49"/>
        <v>796</v>
      </c>
      <c r="AB44" s="488">
        <f t="shared" si="49"/>
        <v>913</v>
      </c>
      <c r="AC44" s="488">
        <f t="shared" si="49"/>
        <v>830</v>
      </c>
      <c r="AD44" s="466">
        <f>+Z44+V44+R44+N44+J44+F44</f>
        <v>1021</v>
      </c>
      <c r="AE44" s="491"/>
    </row>
    <row r="45" spans="1:31" s="481" customFormat="1" ht="22.5" customHeight="1">
      <c r="A45" s="465" t="s">
        <v>531</v>
      </c>
      <c r="B45" s="334" t="s">
        <v>818</v>
      </c>
      <c r="C45" s="353">
        <v>4840</v>
      </c>
      <c r="D45" s="353">
        <v>5506</v>
      </c>
      <c r="E45" s="353">
        <v>6283</v>
      </c>
      <c r="F45" s="466">
        <v>4768</v>
      </c>
      <c r="G45" s="353">
        <v>742</v>
      </c>
      <c r="H45" s="353">
        <v>1299</v>
      </c>
      <c r="I45" s="353">
        <v>1427</v>
      </c>
      <c r="J45" s="466">
        <v>451</v>
      </c>
      <c r="K45" s="353">
        <v>38</v>
      </c>
      <c r="L45" s="353">
        <v>11</v>
      </c>
      <c r="M45" s="353">
        <v>10</v>
      </c>
      <c r="N45" s="466">
        <v>6</v>
      </c>
      <c r="O45" s="353">
        <v>603</v>
      </c>
      <c r="P45" s="353">
        <v>815</v>
      </c>
      <c r="Q45" s="353">
        <v>1148</v>
      </c>
      <c r="R45" s="466">
        <v>403</v>
      </c>
      <c r="S45" s="353">
        <v>172</v>
      </c>
      <c r="T45" s="353">
        <v>376</v>
      </c>
      <c r="U45" s="353">
        <v>538</v>
      </c>
      <c r="V45" s="466">
        <v>419</v>
      </c>
      <c r="W45" s="353">
        <v>37</v>
      </c>
      <c r="X45" s="353"/>
      <c r="Y45" s="353"/>
      <c r="Z45" s="466"/>
      <c r="AA45" s="490">
        <f t="shared" si="49"/>
        <v>6432</v>
      </c>
      <c r="AB45" s="488">
        <f t="shared" si="49"/>
        <v>8007</v>
      </c>
      <c r="AC45" s="488">
        <f t="shared" si="49"/>
        <v>9406</v>
      </c>
      <c r="AD45" s="466">
        <f>+Z45+V45+R45+N45+J45+F45</f>
        <v>6047</v>
      </c>
      <c r="AE45" s="491"/>
    </row>
    <row r="46" spans="1:31" s="481" customFormat="1" ht="22.5" customHeight="1">
      <c r="A46" s="465"/>
      <c r="B46" s="293" t="s">
        <v>1177</v>
      </c>
      <c r="C46" s="353">
        <v>521</v>
      </c>
      <c r="D46" s="353">
        <v>767</v>
      </c>
      <c r="E46" s="353">
        <v>640</v>
      </c>
      <c r="F46" s="466">
        <v>478</v>
      </c>
      <c r="G46" s="353">
        <v>87</v>
      </c>
      <c r="H46" s="353">
        <v>192</v>
      </c>
      <c r="I46" s="353">
        <v>227</v>
      </c>
      <c r="J46" s="466">
        <v>79</v>
      </c>
      <c r="K46" s="353">
        <v>1</v>
      </c>
      <c r="L46" s="353">
        <v>4</v>
      </c>
      <c r="M46" s="353">
        <v>10</v>
      </c>
      <c r="N46" s="466">
        <v>0</v>
      </c>
      <c r="O46" s="353">
        <v>75</v>
      </c>
      <c r="P46" s="353">
        <v>125</v>
      </c>
      <c r="Q46" s="353">
        <v>157</v>
      </c>
      <c r="R46" s="466">
        <v>81</v>
      </c>
      <c r="S46" s="353">
        <v>18</v>
      </c>
      <c r="T46" s="353">
        <v>50</v>
      </c>
      <c r="U46" s="353">
        <v>54</v>
      </c>
      <c r="V46" s="466">
        <v>54</v>
      </c>
      <c r="W46" s="353"/>
      <c r="X46" s="353"/>
      <c r="Y46" s="353"/>
      <c r="Z46" s="466"/>
      <c r="AA46" s="490">
        <f t="shared" si="49"/>
        <v>702</v>
      </c>
      <c r="AB46" s="488">
        <f t="shared" si="49"/>
        <v>1138</v>
      </c>
      <c r="AC46" s="488">
        <f t="shared" si="49"/>
        <v>1088</v>
      </c>
      <c r="AD46" s="466">
        <f>+Z46+V46+R46+N46+J46+F46</f>
        <v>692</v>
      </c>
      <c r="AE46" s="491"/>
    </row>
    <row r="47" spans="1:31" s="481" customFormat="1" ht="22.5" customHeight="1">
      <c r="A47" s="465"/>
      <c r="B47" s="334" t="s">
        <v>625</v>
      </c>
      <c r="C47" s="353">
        <v>4979</v>
      </c>
      <c r="D47" s="353">
        <v>5361</v>
      </c>
      <c r="E47" s="353">
        <f>SUM(E45:E46)</f>
        <v>6923</v>
      </c>
      <c r="F47" s="466">
        <f>SUM(F45:F46)</f>
        <v>5246</v>
      </c>
      <c r="G47" s="353">
        <v>1166</v>
      </c>
      <c r="H47" s="353">
        <v>829</v>
      </c>
      <c r="I47" s="353">
        <f t="shared" ref="I47" si="58">SUM(I45:I46)</f>
        <v>1654</v>
      </c>
      <c r="J47" s="466">
        <f t="shared" ref="J47:AD47" si="59">SUM(J45:J46)</f>
        <v>530</v>
      </c>
      <c r="K47" s="353">
        <v>63</v>
      </c>
      <c r="L47" s="353">
        <v>39</v>
      </c>
      <c r="M47" s="353">
        <f t="shared" ref="M47" si="60">SUM(M45:M46)</f>
        <v>20</v>
      </c>
      <c r="N47" s="466">
        <f t="shared" si="59"/>
        <v>6</v>
      </c>
      <c r="O47" s="353">
        <v>770</v>
      </c>
      <c r="P47" s="353">
        <v>678</v>
      </c>
      <c r="Q47" s="353">
        <f t="shared" ref="Q47" si="61">SUM(Q45:Q46)</f>
        <v>1305</v>
      </c>
      <c r="R47" s="466">
        <f t="shared" si="59"/>
        <v>484</v>
      </c>
      <c r="S47" s="353">
        <v>193</v>
      </c>
      <c r="T47" s="353">
        <v>190</v>
      </c>
      <c r="U47" s="353">
        <f t="shared" ref="U47" si="62">SUM(U45:U46)</f>
        <v>592</v>
      </c>
      <c r="V47" s="466">
        <f t="shared" si="59"/>
        <v>473</v>
      </c>
      <c r="W47" s="353">
        <v>43</v>
      </c>
      <c r="X47" s="353">
        <v>37</v>
      </c>
      <c r="Y47" s="353">
        <f t="shared" ref="Y47" si="63">SUM(Y45:Y46)</f>
        <v>0</v>
      </c>
      <c r="Z47" s="466">
        <f t="shared" si="59"/>
        <v>0</v>
      </c>
      <c r="AA47" s="352">
        <f t="shared" si="59"/>
        <v>7134</v>
      </c>
      <c r="AB47" s="353">
        <f t="shared" si="59"/>
        <v>9145</v>
      </c>
      <c r="AC47" s="353">
        <f t="shared" si="59"/>
        <v>10494</v>
      </c>
      <c r="AD47" s="466">
        <f t="shared" si="59"/>
        <v>6739</v>
      </c>
      <c r="AE47" s="491"/>
    </row>
    <row r="48" spans="1:31" s="6" customFormat="1" ht="22.5" customHeight="1">
      <c r="A48" s="475" t="s">
        <v>935</v>
      </c>
      <c r="B48" s="954"/>
      <c r="C48" s="473">
        <f t="shared" ref="C48" si="64">+C31+C37+C41+C42+C43+C47+C44</f>
        <v>51853</v>
      </c>
      <c r="D48" s="473">
        <f>+D31+D37+D41+D42+D43+D47+D44</f>
        <v>54775</v>
      </c>
      <c r="E48" s="473">
        <f>+E31+E37+E41+E42+E43+E47+E44</f>
        <v>57806</v>
      </c>
      <c r="F48" s="474">
        <f>+F31+F37+F41+F42+F43+F47+F44</f>
        <v>34434</v>
      </c>
      <c r="G48" s="473">
        <f t="shared" ref="G48:K48" si="65">+G31+G37+G41+G42+G43+G47+G44</f>
        <v>8447</v>
      </c>
      <c r="H48" s="473">
        <f t="shared" si="65"/>
        <v>10331</v>
      </c>
      <c r="I48" s="473">
        <f t="shared" si="65"/>
        <v>12588</v>
      </c>
      <c r="J48" s="474">
        <f t="shared" si="65"/>
        <v>7441</v>
      </c>
      <c r="K48" s="473">
        <f t="shared" si="65"/>
        <v>378</v>
      </c>
      <c r="L48" s="473">
        <f>+L31+L37+L41+L42+L43+L47+L44</f>
        <v>1105</v>
      </c>
      <c r="M48" s="473">
        <f t="shared" ref="M48:AD48" si="66">+M31+M37+M41+M42+M43+M47+M44</f>
        <v>1764</v>
      </c>
      <c r="N48" s="474">
        <f t="shared" si="66"/>
        <v>380</v>
      </c>
      <c r="O48" s="473">
        <f t="shared" si="66"/>
        <v>8262</v>
      </c>
      <c r="P48" s="473">
        <f t="shared" si="66"/>
        <v>9811</v>
      </c>
      <c r="Q48" s="473">
        <f t="shared" si="66"/>
        <v>10900</v>
      </c>
      <c r="R48" s="474">
        <f t="shared" si="66"/>
        <v>3277</v>
      </c>
      <c r="S48" s="473">
        <f t="shared" si="66"/>
        <v>3104</v>
      </c>
      <c r="T48" s="473">
        <f t="shared" si="66"/>
        <v>3137</v>
      </c>
      <c r="U48" s="473">
        <f t="shared" si="66"/>
        <v>3729</v>
      </c>
      <c r="V48" s="474">
        <f t="shared" si="66"/>
        <v>2858</v>
      </c>
      <c r="W48" s="473">
        <f t="shared" si="66"/>
        <v>56</v>
      </c>
      <c r="X48" s="473">
        <f t="shared" si="66"/>
        <v>420</v>
      </c>
      <c r="Y48" s="473">
        <f t="shared" si="66"/>
        <v>6</v>
      </c>
      <c r="Z48" s="474">
        <f t="shared" si="66"/>
        <v>1</v>
      </c>
      <c r="AA48" s="473">
        <f t="shared" si="66"/>
        <v>72020</v>
      </c>
      <c r="AB48" s="473">
        <f t="shared" si="66"/>
        <v>81590</v>
      </c>
      <c r="AC48" s="473">
        <f t="shared" si="66"/>
        <v>86793</v>
      </c>
      <c r="AD48" s="474">
        <f t="shared" si="66"/>
        <v>48391</v>
      </c>
      <c r="AE48" s="337"/>
    </row>
    <row r="49" spans="1:53" s="481" customFormat="1" ht="22.5" customHeight="1">
      <c r="A49" s="1631" t="s">
        <v>637</v>
      </c>
      <c r="B49" s="1633"/>
      <c r="C49" s="494">
        <f t="shared" ref="C49:AD49" si="67">+C23+C48</f>
        <v>83191</v>
      </c>
      <c r="D49" s="494">
        <f t="shared" si="67"/>
        <v>88844</v>
      </c>
      <c r="E49" s="494">
        <f t="shared" si="67"/>
        <v>92597</v>
      </c>
      <c r="F49" s="478">
        <f t="shared" si="67"/>
        <v>58107</v>
      </c>
      <c r="G49" s="493">
        <f t="shared" si="67"/>
        <v>13702</v>
      </c>
      <c r="H49" s="494">
        <f t="shared" si="67"/>
        <v>17898</v>
      </c>
      <c r="I49" s="494">
        <f t="shared" si="67"/>
        <v>21570</v>
      </c>
      <c r="J49" s="478">
        <f t="shared" si="67"/>
        <v>10365</v>
      </c>
      <c r="K49" s="494">
        <f t="shared" si="67"/>
        <v>515</v>
      </c>
      <c r="L49" s="494">
        <f t="shared" si="67"/>
        <v>1558</v>
      </c>
      <c r="M49" s="494">
        <f t="shared" si="67"/>
        <v>2475</v>
      </c>
      <c r="N49" s="478">
        <f t="shared" si="67"/>
        <v>590</v>
      </c>
      <c r="O49" s="493">
        <f t="shared" si="67"/>
        <v>13110</v>
      </c>
      <c r="P49" s="494">
        <f t="shared" si="67"/>
        <v>16129</v>
      </c>
      <c r="Q49" s="494">
        <f t="shared" si="67"/>
        <v>17779</v>
      </c>
      <c r="R49" s="478">
        <f t="shared" si="67"/>
        <v>4849</v>
      </c>
      <c r="S49" s="494">
        <f t="shared" si="67"/>
        <v>4737</v>
      </c>
      <c r="T49" s="494">
        <f t="shared" si="67"/>
        <v>5103</v>
      </c>
      <c r="U49" s="494">
        <f t="shared" si="67"/>
        <v>6055</v>
      </c>
      <c r="V49" s="478">
        <f t="shared" si="67"/>
        <v>5646</v>
      </c>
      <c r="W49" s="494">
        <f t="shared" si="67"/>
        <v>171</v>
      </c>
      <c r="X49" s="494">
        <f t="shared" si="67"/>
        <v>729</v>
      </c>
      <c r="Y49" s="494">
        <f t="shared" si="67"/>
        <v>6</v>
      </c>
      <c r="Z49" s="478">
        <f t="shared" si="67"/>
        <v>167</v>
      </c>
      <c r="AA49" s="493">
        <f t="shared" si="67"/>
        <v>115346</v>
      </c>
      <c r="AB49" s="494">
        <f t="shared" si="67"/>
        <v>132272</v>
      </c>
      <c r="AC49" s="494">
        <f t="shared" si="67"/>
        <v>140482</v>
      </c>
      <c r="AD49" s="478">
        <f t="shared" si="67"/>
        <v>79724</v>
      </c>
      <c r="AE49" s="492"/>
      <c r="AF49" s="485"/>
      <c r="AG49" s="485"/>
      <c r="AH49" s="485"/>
      <c r="AI49" s="485"/>
      <c r="AJ49" s="485"/>
      <c r="AK49" s="485"/>
      <c r="AL49" s="485"/>
      <c r="AM49" s="485"/>
      <c r="AN49" s="485"/>
      <c r="AO49" s="485"/>
      <c r="AP49" s="485"/>
      <c r="AQ49" s="485"/>
      <c r="AR49" s="485"/>
      <c r="AS49" s="485"/>
      <c r="AT49" s="485"/>
      <c r="AU49" s="485"/>
      <c r="AV49" s="485"/>
      <c r="AW49" s="485"/>
      <c r="AX49" s="485"/>
      <c r="AY49" s="485"/>
      <c r="AZ49" s="485"/>
      <c r="BA49" s="485"/>
    </row>
    <row r="50" spans="1:53">
      <c r="C50" s="495"/>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c r="AD50" s="495"/>
      <c r="AE50" s="495"/>
    </row>
    <row r="51" spans="1:53">
      <c r="C51" s="495"/>
      <c r="D51" s="495"/>
      <c r="E51" s="495"/>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95"/>
    </row>
    <row r="52" spans="1:53">
      <c r="C52" s="495"/>
      <c r="D52" s="495"/>
      <c r="E52" s="495"/>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95"/>
    </row>
    <row r="53" spans="1:53">
      <c r="C53" s="495"/>
      <c r="D53" s="495"/>
      <c r="E53" s="495"/>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c r="AE53" s="495"/>
    </row>
    <row r="54" spans="1:53">
      <c r="C54" s="495"/>
      <c r="D54" s="495"/>
      <c r="E54" s="495"/>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c r="AE54" s="495"/>
    </row>
    <row r="55" spans="1:53">
      <c r="C55" s="495"/>
      <c r="D55" s="495"/>
      <c r="E55" s="495"/>
      <c r="F55" s="495"/>
      <c r="G55" s="495"/>
      <c r="H55" s="495"/>
      <c r="I55" s="495"/>
      <c r="J55" s="1468"/>
      <c r="K55" s="495"/>
      <c r="L55" s="495"/>
      <c r="M55" s="495"/>
      <c r="N55" s="1468"/>
      <c r="O55" s="495"/>
      <c r="P55" s="495"/>
      <c r="Q55" s="495"/>
      <c r="R55" s="1468"/>
      <c r="S55" s="495"/>
      <c r="T55" s="495"/>
      <c r="U55" s="495"/>
      <c r="V55" s="495"/>
      <c r="W55" s="495"/>
      <c r="X55" s="495"/>
      <c r="Y55" s="495"/>
      <c r="Z55" s="495"/>
      <c r="AA55" s="495"/>
      <c r="AB55" s="495"/>
      <c r="AC55" s="495"/>
      <c r="AD55" s="495"/>
      <c r="AE55" s="495"/>
    </row>
    <row r="56" spans="1:53">
      <c r="C56" s="495"/>
      <c r="D56" s="495"/>
      <c r="E56" s="495"/>
      <c r="F56" s="495"/>
      <c r="G56" s="495"/>
      <c r="H56" s="495"/>
      <c r="I56" s="495"/>
      <c r="J56" s="495"/>
      <c r="K56" s="495"/>
      <c r="L56" s="495"/>
      <c r="M56" s="495"/>
      <c r="N56" s="495"/>
      <c r="O56" s="495"/>
      <c r="P56" s="495"/>
      <c r="Q56" s="495"/>
      <c r="R56" s="495"/>
      <c r="S56" s="495"/>
      <c r="T56" s="495"/>
      <c r="U56" s="495"/>
      <c r="V56" s="495"/>
      <c r="W56" s="495"/>
      <c r="X56" s="495"/>
      <c r="Y56" s="495"/>
      <c r="Z56" s="495"/>
      <c r="AA56" s="495"/>
      <c r="AB56" s="495"/>
      <c r="AC56" s="495"/>
      <c r="AD56" s="495"/>
      <c r="AE56" s="495"/>
    </row>
    <row r="57" spans="1:53">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row>
    <row r="58" spans="1:53">
      <c r="C58" s="495"/>
      <c r="D58" s="495"/>
      <c r="E58" s="495"/>
      <c r="F58" s="495"/>
      <c r="G58" s="495"/>
      <c r="H58" s="495"/>
      <c r="I58" s="495"/>
      <c r="J58" s="495"/>
      <c r="K58" s="495"/>
      <c r="L58" s="495"/>
      <c r="M58" s="495"/>
      <c r="N58" s="495"/>
      <c r="O58" s="495"/>
      <c r="P58" s="495"/>
      <c r="Q58" s="495"/>
      <c r="R58" s="495"/>
      <c r="S58" s="495"/>
      <c r="T58" s="495"/>
      <c r="U58" s="495"/>
      <c r="V58" s="495"/>
      <c r="W58" s="495"/>
      <c r="X58" s="495"/>
      <c r="Y58" s="495"/>
      <c r="Z58" s="486"/>
      <c r="AA58" s="495"/>
      <c r="AB58" s="495"/>
      <c r="AC58" s="495"/>
      <c r="AD58" s="495"/>
      <c r="AE58" s="495"/>
    </row>
    <row r="59" spans="1:53">
      <c r="C59" s="495"/>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495"/>
      <c r="AE59" s="495"/>
    </row>
  </sheetData>
  <mergeCells count="12">
    <mergeCell ref="S7:V7"/>
    <mergeCell ref="W7:Z7"/>
    <mergeCell ref="AA7:AD7"/>
    <mergeCell ref="A1:AD1"/>
    <mergeCell ref="A2:AD2"/>
    <mergeCell ref="A3:AD3"/>
    <mergeCell ref="A4:AD4"/>
    <mergeCell ref="A49:B49"/>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3"/>
  <sheetViews>
    <sheetView topLeftCell="S47" workbookViewId="0">
      <selection activeCell="F34" sqref="F34"/>
    </sheetView>
  </sheetViews>
  <sheetFormatPr baseColWidth="10" defaultColWidth="11.44140625" defaultRowHeight="11.4"/>
  <cols>
    <col min="1" max="1" width="12.77734375" style="378" customWidth="1"/>
    <col min="2" max="2" width="18.44140625" style="378" customWidth="1"/>
    <col min="3" max="5" width="7.21875" style="378" customWidth="1"/>
    <col min="6" max="6" width="8.44140625" style="378" customWidth="1"/>
    <col min="7" max="29" width="7.21875" style="378" customWidth="1"/>
    <col min="30" max="30" width="8.77734375" style="378" customWidth="1"/>
    <col min="31" max="68" width="7.21875" style="378" customWidth="1"/>
    <col min="69" max="16384" width="11.44140625" style="378"/>
  </cols>
  <sheetData>
    <row r="1" spans="1:73" ht="12">
      <c r="A1" s="1616" t="s">
        <v>922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row>
    <row r="2" spans="1:73" ht="12">
      <c r="A2" s="1616" t="s">
        <v>940</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row>
    <row r="3" spans="1:73"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row>
    <row r="4" spans="1:73" ht="12">
      <c r="A4" s="1616" t="str">
        <f>+'45'!A4:AD4</f>
        <v>2017 - 2020</v>
      </c>
      <c r="B4" s="1616"/>
      <c r="C4" s="1616"/>
      <c r="D4" s="1616"/>
      <c r="E4" s="1616"/>
      <c r="F4" s="1616"/>
      <c r="G4" s="1616"/>
      <c r="H4" s="1616"/>
      <c r="I4" s="1616"/>
      <c r="J4" s="1616"/>
      <c r="K4" s="1616"/>
      <c r="L4" s="1616"/>
      <c r="M4" s="1616"/>
      <c r="N4" s="1616"/>
      <c r="O4" s="1616"/>
      <c r="P4" s="1616"/>
      <c r="Q4" s="1616"/>
      <c r="R4" s="1616"/>
      <c r="S4" s="1616"/>
      <c r="T4" s="1616"/>
      <c r="U4" s="1616"/>
      <c r="V4" s="1616"/>
      <c r="W4" s="1616"/>
      <c r="X4" s="1616"/>
      <c r="Y4" s="1616"/>
      <c r="Z4" s="1616"/>
      <c r="AA4" s="1616"/>
      <c r="AB4" s="1616"/>
      <c r="AC4" s="1616"/>
      <c r="AD4" s="1616"/>
    </row>
    <row r="5" spans="1:73">
      <c r="S5" s="1032"/>
    </row>
    <row r="7" spans="1:73" ht="22.5" customHeight="1">
      <c r="A7" s="496" t="s">
        <v>536</v>
      </c>
      <c r="B7" s="480" t="s">
        <v>835</v>
      </c>
      <c r="C7" s="1611" t="s">
        <v>924</v>
      </c>
      <c r="D7" s="1612"/>
      <c r="E7" s="1612"/>
      <c r="F7" s="1613"/>
      <c r="G7" s="1611" t="s">
        <v>925</v>
      </c>
      <c r="H7" s="1612"/>
      <c r="I7" s="1612"/>
      <c r="J7" s="1613"/>
      <c r="K7" s="1612" t="s">
        <v>926</v>
      </c>
      <c r="L7" s="1612"/>
      <c r="M7" s="1612"/>
      <c r="N7" s="1612"/>
      <c r="O7" s="1611" t="s">
        <v>927</v>
      </c>
      <c r="P7" s="1612"/>
      <c r="Q7" s="1612"/>
      <c r="R7" s="1613"/>
      <c r="S7" s="1612" t="s">
        <v>928</v>
      </c>
      <c r="T7" s="1612"/>
      <c r="U7" s="1612"/>
      <c r="V7" s="1612"/>
      <c r="W7" s="1630" t="s">
        <v>1430</v>
      </c>
      <c r="X7" s="1612"/>
      <c r="Y7" s="1612"/>
      <c r="Z7" s="1612"/>
      <c r="AA7" s="1612" t="s">
        <v>637</v>
      </c>
      <c r="AB7" s="1612"/>
      <c r="AC7" s="1612"/>
      <c r="AD7" s="1613"/>
    </row>
    <row r="8" spans="1:73" ht="22.5" customHeight="1">
      <c r="A8" s="394"/>
      <c r="B8" s="497"/>
      <c r="C8" s="462">
        <f>+'41'!C8</f>
        <v>2017</v>
      </c>
      <c r="D8" s="463">
        <f>+'41'!D8</f>
        <v>2018</v>
      </c>
      <c r="E8" s="463">
        <f>+'41'!E8</f>
        <v>2019</v>
      </c>
      <c r="F8" s="464">
        <f>+'41'!F8</f>
        <v>2020</v>
      </c>
      <c r="G8" s="462">
        <f>+'41'!G8</f>
        <v>2017</v>
      </c>
      <c r="H8" s="463">
        <f>+'41'!H8</f>
        <v>2018</v>
      </c>
      <c r="I8" s="463">
        <f>+'41'!I8</f>
        <v>2019</v>
      </c>
      <c r="J8" s="464">
        <f>+'41'!J8</f>
        <v>2020</v>
      </c>
      <c r="K8" s="462">
        <f>+'41'!K8</f>
        <v>2017</v>
      </c>
      <c r="L8" s="463">
        <f>+'41'!L8</f>
        <v>2018</v>
      </c>
      <c r="M8" s="463">
        <f>+'41'!M8</f>
        <v>2019</v>
      </c>
      <c r="N8" s="464">
        <f>+'41'!N8</f>
        <v>2020</v>
      </c>
      <c r="O8" s="462">
        <f>+'41'!O8</f>
        <v>2017</v>
      </c>
      <c r="P8" s="463">
        <f>+'41'!P8</f>
        <v>2018</v>
      </c>
      <c r="Q8" s="463">
        <f>+'41'!Q8</f>
        <v>2019</v>
      </c>
      <c r="R8" s="464">
        <f>+'41'!R8</f>
        <v>2020</v>
      </c>
      <c r="S8" s="462">
        <f>+'41'!S8</f>
        <v>2017</v>
      </c>
      <c r="T8" s="463">
        <f>+'41'!T8</f>
        <v>2018</v>
      </c>
      <c r="U8" s="463">
        <f>+'41'!U8</f>
        <v>2019</v>
      </c>
      <c r="V8" s="464">
        <f>+'41'!V8</f>
        <v>2020</v>
      </c>
      <c r="W8" s="462">
        <f>+'41'!W8</f>
        <v>2017</v>
      </c>
      <c r="X8" s="463">
        <f>+'41'!X8</f>
        <v>2018</v>
      </c>
      <c r="Y8" s="463">
        <f>+'41'!Y8</f>
        <v>2019</v>
      </c>
      <c r="Z8" s="464">
        <f>+'41'!Z8</f>
        <v>2020</v>
      </c>
      <c r="AA8" s="463">
        <f>+'41'!AA8</f>
        <v>2017</v>
      </c>
      <c r="AB8" s="463">
        <f>+'41'!AB8</f>
        <v>2018</v>
      </c>
      <c r="AC8" s="463">
        <f>+'41'!AC8</f>
        <v>2019</v>
      </c>
      <c r="AD8" s="464">
        <f>+'41'!AD8</f>
        <v>2020</v>
      </c>
      <c r="AE8" s="483"/>
      <c r="AF8" s="483"/>
      <c r="AG8" s="483"/>
      <c r="AH8" s="483"/>
      <c r="AI8" s="483"/>
      <c r="AJ8" s="483"/>
      <c r="AK8" s="483"/>
      <c r="AL8" s="483"/>
      <c r="AM8" s="483"/>
      <c r="AN8" s="483"/>
      <c r="AO8" s="483"/>
      <c r="AP8" s="483"/>
      <c r="AQ8" s="483"/>
    </row>
    <row r="9" spans="1:73" s="481" customFormat="1" ht="22.5" customHeight="1">
      <c r="A9" s="465" t="s">
        <v>929</v>
      </c>
      <c r="B9" s="293" t="s">
        <v>1322</v>
      </c>
      <c r="C9" s="352">
        <f>+'45'!C9+'44'!C9+'43'!C9+'42'!C9+'41'!C9</f>
        <v>30115</v>
      </c>
      <c r="D9" s="353">
        <f>+'45'!D9+'44'!D9+'43'!D9+'42'!D9+'41'!D9</f>
        <v>33173</v>
      </c>
      <c r="E9" s="353">
        <f>+'45'!E9+'44'!E9+'43'!E9+'42'!E9+'41'!E9</f>
        <v>30880</v>
      </c>
      <c r="F9" s="353">
        <f>+'45'!F9+'44'!F9+'43'!F9+'42'!F9+'41'!F9</f>
        <v>21189</v>
      </c>
      <c r="G9" s="352">
        <f>+'45'!G9+'44'!G9+'43'!G9+'42'!G9+'41'!G9</f>
        <v>8420</v>
      </c>
      <c r="H9" s="353">
        <f>+'45'!H9+'44'!H9+'43'!H9+'42'!H9+'41'!H9</f>
        <v>7065</v>
      </c>
      <c r="I9" s="353">
        <f>+'45'!I9+'44'!I9+'43'!I9+'42'!I9+'41'!I9</f>
        <v>5870</v>
      </c>
      <c r="J9" s="353">
        <f>+'45'!J9+'44'!J9+'43'!J9+'42'!J9+'41'!J9</f>
        <v>1631</v>
      </c>
      <c r="K9" s="352">
        <f>+'45'!K9+'44'!K9+'43'!K9+'42'!K9+'41'!K9</f>
        <v>8040</v>
      </c>
      <c r="L9" s="353">
        <f>+'45'!L9+'44'!L9+'43'!L9+'42'!L9+'41'!L9</f>
        <v>7446</v>
      </c>
      <c r="M9" s="353">
        <f>+'45'!M9+'44'!M9+'43'!M9+'42'!M9+'41'!M9</f>
        <v>8104</v>
      </c>
      <c r="N9" s="353">
        <f>+'45'!N9+'44'!N9+'43'!N9+'42'!N9+'41'!N9</f>
        <v>3971</v>
      </c>
      <c r="O9" s="352">
        <f>+'45'!O9+'44'!O9+'43'!O9+'42'!O9+'41'!O9</f>
        <v>4882</v>
      </c>
      <c r="P9" s="353">
        <f>+'45'!P9+'44'!P9+'43'!P9+'42'!P9+'41'!P9</f>
        <v>4616</v>
      </c>
      <c r="Q9" s="353">
        <f>+'45'!Q9+'44'!Q9+'43'!Q9+'42'!Q9+'41'!Q9</f>
        <v>4067</v>
      </c>
      <c r="R9" s="353">
        <f>+'45'!R9+'44'!R9+'43'!R9+'42'!R9+'41'!R9</f>
        <v>1277</v>
      </c>
      <c r="S9" s="352">
        <f>+'45'!S9+'44'!S9+'43'!S9+'42'!S9+'41'!S9</f>
        <v>732</v>
      </c>
      <c r="T9" s="353">
        <f>+'45'!T9+'44'!T9+'43'!T9+'42'!T9+'41'!T9</f>
        <v>1091</v>
      </c>
      <c r="U9" s="353">
        <f>+'45'!U9+'44'!U9+'43'!U9+'42'!U9+'41'!U9</f>
        <v>1049</v>
      </c>
      <c r="V9" s="353">
        <f>+'45'!V9+'44'!V9+'43'!V9+'42'!V9+'41'!V9</f>
        <v>744</v>
      </c>
      <c r="W9" s="352">
        <f>+'45'!W9+'44'!W9+'43'!W9+'42'!W9+'41'!W9</f>
        <v>0</v>
      </c>
      <c r="X9" s="353">
        <f>+'45'!X9+'44'!X9+'43'!X9+'42'!X9+'41'!X9</f>
        <v>0</v>
      </c>
      <c r="Y9" s="353">
        <f>+'45'!Y9+'44'!Y9+'43'!Y9+'42'!Y9+'41'!Y9</f>
        <v>0</v>
      </c>
      <c r="Z9" s="467">
        <f>+'45'!Z9+'44'!Z9+'43'!Z9+'42'!Z9+'41'!Z9</f>
        <v>0</v>
      </c>
      <c r="AA9" s="353">
        <f t="shared" ref="AA9:AD12" si="0">+W9+S9+O9+K9+G9+C9</f>
        <v>52189</v>
      </c>
      <c r="AB9" s="353">
        <f t="shared" si="0"/>
        <v>53391</v>
      </c>
      <c r="AC9" s="353">
        <f t="shared" si="0"/>
        <v>49970</v>
      </c>
      <c r="AD9" s="466">
        <f>+Z9+V9+R9+N9+J9+F9</f>
        <v>28812</v>
      </c>
      <c r="AE9" s="498"/>
      <c r="AF9" s="498"/>
      <c r="AG9" s="498"/>
      <c r="AH9" s="498"/>
      <c r="AI9" s="498"/>
      <c r="AJ9" s="498"/>
      <c r="AK9" s="498"/>
      <c r="AL9" s="498"/>
      <c r="AM9" s="498"/>
      <c r="AN9" s="498"/>
      <c r="AO9" s="498"/>
      <c r="AP9" s="498"/>
      <c r="AQ9" s="498"/>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row>
    <row r="10" spans="1:73" s="481" customFormat="1" ht="22.5" customHeight="1">
      <c r="A10" s="465"/>
      <c r="B10" s="293" t="s">
        <v>1323</v>
      </c>
      <c r="C10" s="352">
        <f>+'45'!C10+'44'!C10+'43'!C10+'42'!C10+'41'!C10</f>
        <v>32807</v>
      </c>
      <c r="D10" s="353">
        <f>+'45'!D10+'44'!D10+'43'!D10+'42'!D10+'41'!D10</f>
        <v>31256</v>
      </c>
      <c r="E10" s="353">
        <f>+'45'!E10+'44'!E10+'43'!E10+'42'!E10+'41'!E10</f>
        <v>30235</v>
      </c>
      <c r="F10" s="353">
        <f>+'45'!F10+'44'!F10+'43'!F10+'42'!F10+'41'!F10</f>
        <v>15653</v>
      </c>
      <c r="G10" s="352">
        <f>+'45'!G10+'44'!G10+'43'!G10+'42'!G10+'41'!G10</f>
        <v>6583</v>
      </c>
      <c r="H10" s="353">
        <f>+'45'!H10+'44'!H10+'43'!H10+'42'!H10+'41'!H10</f>
        <v>5873</v>
      </c>
      <c r="I10" s="353">
        <f>+'45'!I10+'44'!I10+'43'!I10+'42'!I10+'41'!I10</f>
        <v>5999</v>
      </c>
      <c r="J10" s="353">
        <f>+'45'!J10+'44'!J10+'43'!J10+'42'!J10+'41'!J10</f>
        <v>1985</v>
      </c>
      <c r="K10" s="352">
        <f>+'45'!K10+'44'!K10+'43'!K10+'42'!K10+'41'!K10</f>
        <v>9823</v>
      </c>
      <c r="L10" s="353">
        <f>+'45'!L10+'44'!L10+'43'!L10+'42'!L10+'41'!L10</f>
        <v>9173</v>
      </c>
      <c r="M10" s="353">
        <f>+'45'!M10+'44'!M10+'43'!M10+'42'!M10+'41'!M10</f>
        <v>10931</v>
      </c>
      <c r="N10" s="522">
        <f>+'45'!N10+'44'!N10+'43'!N10+'42'!N10+'41'!N10</f>
        <v>6054</v>
      </c>
      <c r="O10" s="352">
        <f>+'45'!O10+'44'!O10+'43'!O10+'42'!O10+'41'!O10</f>
        <v>8192</v>
      </c>
      <c r="P10" s="353">
        <f>+'45'!P10+'44'!P10+'43'!P10+'42'!P10+'41'!P10</f>
        <v>7642</v>
      </c>
      <c r="Q10" s="353">
        <f>+'45'!Q10+'44'!Q10+'43'!Q10+'42'!Q10+'41'!Q10</f>
        <v>6882</v>
      </c>
      <c r="R10" s="522">
        <f>+'45'!R10+'44'!R10+'43'!R10+'42'!R10+'41'!R10</f>
        <v>1581</v>
      </c>
      <c r="S10" s="352">
        <f>+'45'!S10+'44'!S10+'43'!S10+'42'!S10+'41'!S10</f>
        <v>1200</v>
      </c>
      <c r="T10" s="353">
        <f>+'45'!T10+'44'!T10+'43'!T10+'42'!T10+'41'!T10</f>
        <v>1156</v>
      </c>
      <c r="U10" s="353">
        <f>+'45'!U10+'44'!U10+'43'!U10+'42'!U10+'41'!U10</f>
        <v>1059</v>
      </c>
      <c r="V10" s="353">
        <f>+'45'!V10+'44'!V10+'43'!V10+'42'!V10+'41'!V10</f>
        <v>684</v>
      </c>
      <c r="W10" s="352">
        <f>+'45'!W10+'44'!W10+'43'!W10+'42'!W10+'41'!W10</f>
        <v>1</v>
      </c>
      <c r="X10" s="353">
        <f>+'45'!X10+'44'!X10+'43'!X10+'42'!X10+'41'!X10</f>
        <v>47</v>
      </c>
      <c r="Y10" s="353">
        <f>+'45'!Y10+'44'!Y10+'43'!Y10+'42'!Y10+'41'!Y10</f>
        <v>0</v>
      </c>
      <c r="Z10" s="466">
        <f>+'45'!Z10+'44'!Z10+'43'!Z10+'42'!Z10+'41'!Z10</f>
        <v>155</v>
      </c>
      <c r="AA10" s="353">
        <f t="shared" si="0"/>
        <v>58606</v>
      </c>
      <c r="AB10" s="353">
        <f t="shared" si="0"/>
        <v>55147</v>
      </c>
      <c r="AC10" s="353">
        <f t="shared" si="0"/>
        <v>55106</v>
      </c>
      <c r="AD10" s="466">
        <f t="shared" si="0"/>
        <v>26112</v>
      </c>
      <c r="AE10" s="498"/>
      <c r="AF10" s="498"/>
      <c r="AG10" s="498"/>
      <c r="AH10" s="498"/>
      <c r="AI10" s="498"/>
      <c r="AJ10" s="498"/>
      <c r="AK10" s="498"/>
      <c r="AL10" s="498"/>
      <c r="AM10" s="498"/>
      <c r="AN10" s="498"/>
      <c r="AO10" s="498"/>
      <c r="AP10" s="498"/>
      <c r="AQ10" s="498"/>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row>
    <row r="11" spans="1:73" s="481" customFormat="1" ht="22.5" customHeight="1">
      <c r="A11" s="465"/>
      <c r="B11" s="334" t="s">
        <v>804</v>
      </c>
      <c r="C11" s="352">
        <f>+'45'!C11+'44'!C11+'43'!C11+'42'!C11+'41'!C11</f>
        <v>4899</v>
      </c>
      <c r="D11" s="353">
        <f>+'45'!D11+'44'!D11+'43'!D11+'42'!D11+'41'!D11</f>
        <v>4934</v>
      </c>
      <c r="E11" s="353">
        <f>+'45'!E11+'44'!E11+'43'!E11+'42'!E11+'41'!E11</f>
        <v>4615</v>
      </c>
      <c r="F11" s="353">
        <f>+'45'!F11+'44'!F11+'43'!F11+'42'!F11+'41'!F11</f>
        <v>3025</v>
      </c>
      <c r="G11" s="352">
        <f>+'45'!G11+'44'!G11+'43'!G11+'42'!G11+'41'!G11</f>
        <v>1145</v>
      </c>
      <c r="H11" s="353">
        <f>+'45'!H11+'44'!H11+'43'!H11+'42'!H11+'41'!H11</f>
        <v>1078</v>
      </c>
      <c r="I11" s="353">
        <f>+'45'!I11+'44'!I11+'43'!I11+'42'!I11+'41'!I11</f>
        <v>981</v>
      </c>
      <c r="J11" s="353">
        <f>+'45'!J11+'44'!J11+'43'!J11+'42'!J11+'41'!J11</f>
        <v>303</v>
      </c>
      <c r="K11" s="352">
        <f>+'45'!K11+'44'!K11+'43'!K11+'42'!K11+'41'!K11</f>
        <v>1368</v>
      </c>
      <c r="L11" s="353">
        <f>+'45'!L11+'44'!L11+'43'!L11+'42'!L11+'41'!L11</f>
        <v>1189</v>
      </c>
      <c r="M11" s="353">
        <f>+'45'!M11+'44'!M11+'43'!M11+'42'!M11+'41'!M11</f>
        <v>1157</v>
      </c>
      <c r="N11" s="353">
        <f>+'45'!N11+'44'!N11+'43'!N11+'42'!N11+'41'!N11</f>
        <v>664</v>
      </c>
      <c r="O11" s="352">
        <f>+'45'!O11+'44'!O11+'43'!O11+'42'!O11+'41'!O11</f>
        <v>879</v>
      </c>
      <c r="P11" s="353">
        <f>+'45'!P11+'44'!P11+'43'!P11+'42'!P11+'41'!P11</f>
        <v>672</v>
      </c>
      <c r="Q11" s="353">
        <f>+'45'!Q11+'44'!Q11+'43'!Q11+'42'!Q11+'41'!Q11</f>
        <v>993</v>
      </c>
      <c r="R11" s="353">
        <f>+'45'!R11+'44'!R11+'43'!R11+'42'!R11+'41'!R11</f>
        <v>203</v>
      </c>
      <c r="S11" s="352">
        <f>+'45'!S11+'44'!S11+'43'!S11+'42'!S11+'41'!S11</f>
        <v>622</v>
      </c>
      <c r="T11" s="353">
        <f>+'45'!T11+'44'!T11+'43'!T11+'42'!T11+'41'!T11</f>
        <v>475</v>
      </c>
      <c r="U11" s="353">
        <f>+'45'!U11+'44'!U11+'43'!U11+'42'!U11+'41'!U11</f>
        <v>477</v>
      </c>
      <c r="V11" s="353">
        <f>+'45'!V11+'44'!V11+'43'!V11+'42'!V11+'41'!V11</f>
        <v>813</v>
      </c>
      <c r="W11" s="352">
        <f>+'45'!W11+'44'!W11+'43'!W11+'42'!W11+'41'!W11</f>
        <v>0</v>
      </c>
      <c r="X11" s="353">
        <f>+'45'!X11+'44'!X11+'43'!X11+'42'!X11+'41'!X11</f>
        <v>0</v>
      </c>
      <c r="Y11" s="353">
        <f>+'45'!Y11+'44'!Y11+'43'!Y11+'42'!Y11+'41'!Y11</f>
        <v>0</v>
      </c>
      <c r="Z11" s="466">
        <f>+'45'!Z11+'44'!Z11+'43'!Z11+'42'!Z11+'41'!Z11</f>
        <v>0</v>
      </c>
      <c r="AA11" s="353">
        <f t="shared" ref="AA11:AC13" si="1">+W11+S11+O11+K11+G11+C11</f>
        <v>8913</v>
      </c>
      <c r="AB11" s="353">
        <f t="shared" si="1"/>
        <v>8348</v>
      </c>
      <c r="AC11" s="353">
        <f t="shared" si="1"/>
        <v>8223</v>
      </c>
      <c r="AD11" s="466">
        <f t="shared" si="0"/>
        <v>5008</v>
      </c>
      <c r="AE11" s="498"/>
      <c r="AF11" s="498"/>
      <c r="AG11" s="498"/>
      <c r="AH11" s="498"/>
      <c r="AI11" s="498"/>
      <c r="AJ11" s="498"/>
      <c r="AK11" s="498"/>
      <c r="AL11" s="498"/>
      <c r="AM11" s="498"/>
      <c r="AN11" s="498"/>
      <c r="AO11" s="498"/>
      <c r="AP11" s="498"/>
      <c r="AQ11" s="498"/>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row>
    <row r="12" spans="1:73" s="481" customFormat="1" ht="22.5" customHeight="1">
      <c r="A12" s="465"/>
      <c r="B12" s="293" t="s">
        <v>1577</v>
      </c>
      <c r="C12" s="352">
        <f>+'45'!C12+'44'!C12+'43'!C12+'42'!C12+'41'!C12</f>
        <v>0</v>
      </c>
      <c r="D12" s="353">
        <f>+'45'!D12+'44'!D12+'43'!D12+'42'!D12+'41'!D12</f>
        <v>373</v>
      </c>
      <c r="E12" s="353">
        <f>+'45'!E12+'44'!E12+'43'!E12+'42'!E12+'41'!E12</f>
        <v>1263</v>
      </c>
      <c r="F12" s="353">
        <f>+'45'!F12+'44'!F12+'43'!F12+'42'!F12+'41'!F12</f>
        <v>0</v>
      </c>
      <c r="G12" s="352">
        <f>+'45'!G12+'44'!G12+'43'!G12+'42'!G12+'41'!G12</f>
        <v>0</v>
      </c>
      <c r="H12" s="353">
        <f>+'45'!H12+'44'!H12+'43'!H12+'42'!H12+'41'!H12</f>
        <v>0</v>
      </c>
      <c r="I12" s="353">
        <f>+'45'!I12+'44'!I12+'43'!I12+'42'!I12+'41'!I12</f>
        <v>3004</v>
      </c>
      <c r="J12" s="353">
        <f>+'45'!J12+'44'!J12+'43'!J12+'42'!J12+'41'!J12</f>
        <v>1335</v>
      </c>
      <c r="K12" s="352">
        <f>+'45'!K12+'44'!K12+'43'!K12+'42'!K12+'41'!K12</f>
        <v>0</v>
      </c>
      <c r="L12" s="353">
        <f>+'45'!L12+'44'!L12+'43'!L12+'42'!L12+'41'!L12</f>
        <v>0</v>
      </c>
      <c r="M12" s="353">
        <f>+'45'!M12+'44'!M12+'43'!M12+'42'!M12+'41'!M12</f>
        <v>0</v>
      </c>
      <c r="N12" s="353">
        <f>+'45'!N12+'44'!N12+'43'!N12+'42'!N12+'41'!N12</f>
        <v>0</v>
      </c>
      <c r="O12" s="352">
        <f>+'45'!O12+'44'!O12+'43'!O12+'42'!O12+'41'!O12</f>
        <v>0</v>
      </c>
      <c r="P12" s="353">
        <f>+'45'!P12+'44'!P12+'43'!P12+'42'!P12+'41'!P12</f>
        <v>0</v>
      </c>
      <c r="Q12" s="353">
        <f>+'45'!Q12+'44'!Q12+'43'!Q12+'42'!Q12+'41'!Q12</f>
        <v>0</v>
      </c>
      <c r="R12" s="353">
        <f>+'45'!R12+'44'!R12+'43'!R12+'42'!R12+'41'!R12</f>
        <v>0</v>
      </c>
      <c r="S12" s="352">
        <f>+'45'!S12+'44'!S12+'43'!S12+'42'!S12+'41'!S12</f>
        <v>0</v>
      </c>
      <c r="T12" s="353">
        <f>+'45'!T12+'44'!T12+'43'!T12+'42'!T12+'41'!T12</f>
        <v>0</v>
      </c>
      <c r="U12" s="353">
        <f>+'45'!U12+'44'!U12+'43'!U12+'42'!U12+'41'!U12</f>
        <v>3031</v>
      </c>
      <c r="V12" s="353">
        <f>+'45'!V12+'44'!V12+'43'!V12+'42'!V12+'41'!V12</f>
        <v>583</v>
      </c>
      <c r="W12" s="352">
        <f>+'45'!W12+'44'!W12+'43'!W12+'42'!W12+'41'!W12</f>
        <v>0</v>
      </c>
      <c r="X12" s="353">
        <f>+'45'!X12+'44'!X12+'43'!X12+'42'!X12+'41'!X12</f>
        <v>268</v>
      </c>
      <c r="Y12" s="353">
        <f>+'45'!Y12+'44'!Y12+'43'!Y12+'42'!Y12+'41'!Y12</f>
        <v>0</v>
      </c>
      <c r="Z12" s="466">
        <f>+'45'!Z12+'44'!Z12+'43'!Z12+'42'!Z12+'41'!Z12</f>
        <v>0</v>
      </c>
      <c r="AA12" s="353">
        <f t="shared" ref="AA12" si="2">+W12+S12+O12+K12+G12+C12</f>
        <v>0</v>
      </c>
      <c r="AB12" s="353">
        <f t="shared" ref="AB12" si="3">+X12+T12+P12+L12+H12+D12</f>
        <v>641</v>
      </c>
      <c r="AC12" s="353">
        <f t="shared" ref="AC12" si="4">+Y12+U12+Q12+M12+I12+E12</f>
        <v>7298</v>
      </c>
      <c r="AD12" s="466">
        <f t="shared" si="0"/>
        <v>1918</v>
      </c>
      <c r="AE12" s="498"/>
      <c r="AF12" s="498"/>
      <c r="AG12" s="498"/>
      <c r="AH12" s="498"/>
      <c r="AI12" s="498"/>
      <c r="AJ12" s="498"/>
      <c r="AK12" s="498"/>
      <c r="AL12" s="498"/>
      <c r="AM12" s="498"/>
      <c r="AN12" s="498"/>
      <c r="AO12" s="498"/>
      <c r="AP12" s="498"/>
      <c r="AQ12" s="498"/>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row>
    <row r="13" spans="1:73" s="481" customFormat="1" ht="22.5" customHeight="1">
      <c r="A13" s="465"/>
      <c r="B13" s="293" t="s">
        <v>1188</v>
      </c>
      <c r="C13" s="352">
        <f>+'45'!C13+'44'!C13+'43'!C13+'42'!C13+'41'!C13</f>
        <v>1100</v>
      </c>
      <c r="D13" s="353">
        <f>+'45'!D13+'44'!D13+'43'!D13+'42'!D13+'41'!D13</f>
        <v>1259</v>
      </c>
      <c r="E13" s="353">
        <f>+'45'!E13+'44'!E13+'43'!E13+'42'!E13+'41'!E13</f>
        <v>1275</v>
      </c>
      <c r="F13" s="353">
        <f>+'45'!F13+'44'!F13+'43'!F13+'42'!F13+'41'!F13</f>
        <v>906</v>
      </c>
      <c r="G13" s="352">
        <f>+'45'!G13+'44'!G13+'43'!G13+'42'!G13+'41'!G13</f>
        <v>225</v>
      </c>
      <c r="H13" s="353">
        <f>+'45'!H13+'44'!H13+'43'!H13+'42'!H13+'41'!H13</f>
        <v>206</v>
      </c>
      <c r="I13" s="353">
        <f>+'45'!I13+'44'!I13+'43'!I13+'42'!I13+'41'!I13</f>
        <v>315</v>
      </c>
      <c r="J13" s="353">
        <f>+'45'!J13+'44'!J13+'43'!J13+'42'!J13+'41'!J13</f>
        <v>79</v>
      </c>
      <c r="K13" s="352">
        <f>+'45'!K13+'44'!K13+'43'!K13+'42'!K13+'41'!K13</f>
        <v>276</v>
      </c>
      <c r="L13" s="353">
        <f>+'45'!L13+'44'!L13+'43'!L13+'42'!L13+'41'!L13</f>
        <v>212</v>
      </c>
      <c r="M13" s="353">
        <f>+'45'!M13+'44'!M13+'43'!M13+'42'!M13+'41'!M13</f>
        <v>296</v>
      </c>
      <c r="N13" s="353">
        <f>+'45'!N13+'44'!N13+'43'!N13+'42'!N13+'41'!N13</f>
        <v>107</v>
      </c>
      <c r="O13" s="352">
        <f>+'45'!O13+'44'!O13+'43'!O13+'42'!O13+'41'!O13</f>
        <v>178</v>
      </c>
      <c r="P13" s="353">
        <f>+'45'!P13+'44'!P13+'43'!P13+'42'!P13+'41'!P13</f>
        <v>184</v>
      </c>
      <c r="Q13" s="353">
        <f>+'45'!Q13+'44'!Q13+'43'!Q13+'42'!Q13+'41'!Q13</f>
        <v>321</v>
      </c>
      <c r="R13" s="353">
        <f>+'45'!R13+'44'!R13+'43'!R13+'42'!R13+'41'!R13</f>
        <v>98</v>
      </c>
      <c r="S13" s="352">
        <f>+'45'!S13+'44'!S13+'43'!S13+'42'!S13+'41'!S13</f>
        <v>13</v>
      </c>
      <c r="T13" s="353">
        <f>+'45'!T13+'44'!T13+'43'!T13+'42'!T13+'41'!T13</f>
        <v>22</v>
      </c>
      <c r="U13" s="353">
        <f>+'45'!U13+'44'!U13+'43'!U13+'42'!U13+'41'!U13</f>
        <v>60</v>
      </c>
      <c r="V13" s="353">
        <f>+'45'!V13+'44'!V13+'43'!V13+'42'!V13+'41'!V13</f>
        <v>54</v>
      </c>
      <c r="W13" s="352">
        <f>+'45'!W13+'44'!W13+'43'!W13+'42'!W13+'41'!W13</f>
        <v>5</v>
      </c>
      <c r="X13" s="353">
        <f>+'45'!X13+'44'!X13+'43'!X13+'42'!X13+'41'!X13</f>
        <v>17</v>
      </c>
      <c r="Y13" s="353">
        <f>+'45'!Y13+'44'!Y13+'43'!Y13+'42'!Y13+'41'!Y13</f>
        <v>0</v>
      </c>
      <c r="Z13" s="466">
        <f>+'45'!Z13+'44'!Z13+'43'!Z13+'42'!Z13+'41'!Z13</f>
        <v>0</v>
      </c>
      <c r="AA13" s="353">
        <f t="shared" si="1"/>
        <v>1797</v>
      </c>
      <c r="AB13" s="353">
        <f t="shared" si="1"/>
        <v>1900</v>
      </c>
      <c r="AC13" s="353">
        <f t="shared" si="1"/>
        <v>2267</v>
      </c>
      <c r="AD13" s="466">
        <f>+Z13+V13+R13+N13+J13+F13</f>
        <v>1244</v>
      </c>
      <c r="AE13" s="498"/>
      <c r="AF13" s="498"/>
      <c r="AG13" s="498"/>
      <c r="AH13" s="498"/>
      <c r="AI13" s="498"/>
      <c r="AJ13" s="498"/>
      <c r="AK13" s="498"/>
      <c r="AL13" s="498"/>
      <c r="AM13" s="498"/>
      <c r="AN13" s="498"/>
      <c r="AO13" s="498"/>
      <c r="AP13" s="498"/>
      <c r="AQ13" s="498"/>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row>
    <row r="14" spans="1:73" s="481" customFormat="1" ht="22.5" customHeight="1">
      <c r="A14" s="465">
        <v>10331</v>
      </c>
      <c r="B14" s="465" t="s">
        <v>625</v>
      </c>
      <c r="C14" s="352">
        <f t="shared" ref="C14:N14" si="5">SUM(C9:C13)</f>
        <v>68921</v>
      </c>
      <c r="D14" s="353">
        <f t="shared" si="5"/>
        <v>70995</v>
      </c>
      <c r="E14" s="353">
        <f t="shared" si="5"/>
        <v>68268</v>
      </c>
      <c r="F14" s="466">
        <f t="shared" si="5"/>
        <v>40773</v>
      </c>
      <c r="G14" s="352">
        <f t="shared" si="5"/>
        <v>16373</v>
      </c>
      <c r="H14" s="353">
        <f t="shared" si="5"/>
        <v>14222</v>
      </c>
      <c r="I14" s="353">
        <f t="shared" si="5"/>
        <v>16169</v>
      </c>
      <c r="J14" s="466">
        <f t="shared" ref="J14" si="6">SUM(J9:J13)</f>
        <v>5333</v>
      </c>
      <c r="K14" s="352">
        <f t="shared" si="5"/>
        <v>19507</v>
      </c>
      <c r="L14" s="353">
        <f t="shared" si="5"/>
        <v>18020</v>
      </c>
      <c r="M14" s="353">
        <f t="shared" si="5"/>
        <v>20488</v>
      </c>
      <c r="N14" s="466">
        <f t="shared" si="5"/>
        <v>10796</v>
      </c>
      <c r="O14" s="352">
        <f t="shared" ref="O14:Z14" si="7">SUM(O9:O13)</f>
        <v>14131</v>
      </c>
      <c r="P14" s="353">
        <f t="shared" si="7"/>
        <v>13114</v>
      </c>
      <c r="Q14" s="353">
        <f t="shared" si="7"/>
        <v>12263</v>
      </c>
      <c r="R14" s="466">
        <f t="shared" si="7"/>
        <v>3159</v>
      </c>
      <c r="S14" s="352">
        <f t="shared" si="7"/>
        <v>2567</v>
      </c>
      <c r="T14" s="353">
        <f t="shared" si="7"/>
        <v>2744</v>
      </c>
      <c r="U14" s="353">
        <f t="shared" si="7"/>
        <v>5676</v>
      </c>
      <c r="V14" s="466">
        <f t="shared" si="7"/>
        <v>2878</v>
      </c>
      <c r="W14" s="352">
        <f t="shared" si="7"/>
        <v>6</v>
      </c>
      <c r="X14" s="353">
        <f t="shared" si="7"/>
        <v>332</v>
      </c>
      <c r="Y14" s="353">
        <f t="shared" si="7"/>
        <v>0</v>
      </c>
      <c r="Z14" s="466">
        <f t="shared" si="7"/>
        <v>155</v>
      </c>
      <c r="AA14" s="352">
        <f t="shared" ref="AA14" si="8">SUM(AA9:AA13)</f>
        <v>121505</v>
      </c>
      <c r="AB14" s="353">
        <f t="shared" ref="AB14" si="9">SUM(AB9:AB13)</f>
        <v>119427</v>
      </c>
      <c r="AC14" s="353">
        <f t="shared" ref="AC14" si="10">SUM(AC9:AC13)</f>
        <v>122864</v>
      </c>
      <c r="AD14" s="466">
        <f t="shared" ref="AD14" si="11">SUM(AD9:AD13)</f>
        <v>63094</v>
      </c>
      <c r="AE14" s="498"/>
      <c r="AF14" s="498"/>
      <c r="AG14" s="498"/>
      <c r="AH14" s="498"/>
      <c r="AI14" s="498"/>
      <c r="AJ14" s="498"/>
      <c r="AK14" s="498"/>
      <c r="AL14" s="498"/>
      <c r="AM14" s="498"/>
      <c r="AN14" s="498"/>
      <c r="AO14" s="498"/>
      <c r="AP14" s="498"/>
      <c r="AQ14" s="498"/>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row>
    <row r="15" spans="1:73" s="481" customFormat="1" ht="22.5" customHeight="1">
      <c r="A15" s="465" t="s">
        <v>522</v>
      </c>
      <c r="B15" s="334" t="s">
        <v>805</v>
      </c>
      <c r="C15" s="352">
        <f>+'45'!C15+'44'!C15+'43'!C15+'42'!C15+'41'!C15</f>
        <v>16877</v>
      </c>
      <c r="D15" s="353">
        <f>+'45'!D15+'44'!D15+'43'!D15+'42'!D15+'41'!D15</f>
        <v>17470</v>
      </c>
      <c r="E15" s="353">
        <f>+'45'!E15+'44'!E15+'43'!E15+'42'!E15+'41'!E15</f>
        <v>20969</v>
      </c>
      <c r="F15" s="353">
        <f>+'45'!F15+'44'!F15+'43'!F15+'42'!F15+'41'!F15</f>
        <v>16787</v>
      </c>
      <c r="G15" s="352">
        <f>+'45'!G15+'44'!G15+'43'!G15+'42'!G15+'41'!G15</f>
        <v>4241</v>
      </c>
      <c r="H15" s="353">
        <f>+'45'!H15+'44'!H15+'43'!H15+'42'!H15+'41'!H15</f>
        <v>4556</v>
      </c>
      <c r="I15" s="353">
        <f>+'45'!I15+'44'!I15+'43'!I15+'42'!I15+'41'!I15</f>
        <v>5634</v>
      </c>
      <c r="J15" s="353">
        <f>+'45'!J15+'44'!J15+'43'!J15+'42'!J15+'41'!J15</f>
        <v>1273</v>
      </c>
      <c r="K15" s="352">
        <f>+'45'!K15+'44'!K15+'43'!K15+'42'!K15+'41'!K15</f>
        <v>4972</v>
      </c>
      <c r="L15" s="353">
        <f>+'45'!L15+'44'!L15+'43'!L15+'42'!L15+'41'!L15</f>
        <v>4876</v>
      </c>
      <c r="M15" s="353">
        <f>+'45'!M15+'44'!M15+'43'!M15+'42'!M15+'41'!M15</f>
        <v>3921</v>
      </c>
      <c r="N15" s="353">
        <f>+'45'!N15+'44'!N15+'43'!N15+'42'!N15+'41'!N15</f>
        <v>2836</v>
      </c>
      <c r="O15" s="352">
        <f>+'45'!O15+'44'!O15+'43'!O15+'42'!O15+'41'!O15</f>
        <v>2667</v>
      </c>
      <c r="P15" s="353">
        <f>+'45'!P15+'44'!P15+'43'!P15+'42'!P15+'41'!P15</f>
        <v>2712</v>
      </c>
      <c r="Q15" s="353">
        <f>+'45'!Q15+'44'!Q15+'43'!Q15+'42'!Q15+'41'!Q15</f>
        <v>2863</v>
      </c>
      <c r="R15" s="353">
        <f>+'45'!R15+'44'!R15+'43'!R15+'42'!R15+'41'!R15</f>
        <v>464</v>
      </c>
      <c r="S15" s="352">
        <f>+'45'!S15+'44'!S15+'43'!S15+'42'!S15+'41'!S15</f>
        <v>1500</v>
      </c>
      <c r="T15" s="353">
        <f>+'45'!T15+'44'!T15+'43'!T15+'42'!T15+'41'!T15</f>
        <v>1897</v>
      </c>
      <c r="U15" s="353">
        <f>+'45'!U15+'44'!U15+'43'!U15+'42'!U15+'41'!U15</f>
        <v>1580</v>
      </c>
      <c r="V15" s="353">
        <f>+'45'!V15+'44'!V15+'43'!V15+'42'!V15+'41'!V15</f>
        <v>2300</v>
      </c>
      <c r="W15" s="352">
        <f>+'45'!W15+'44'!W15+'43'!W15+'42'!W15+'41'!W15</f>
        <v>19</v>
      </c>
      <c r="X15" s="353">
        <f>+'45'!X15+'44'!X15+'43'!X15+'42'!X15+'41'!X15</f>
        <v>0</v>
      </c>
      <c r="Y15" s="353">
        <f>+'45'!Y15+'44'!Y15+'43'!Y15+'42'!Y15+'41'!Y15</f>
        <v>0</v>
      </c>
      <c r="Z15" s="466">
        <f>+'45'!Z15+'44'!Z15+'43'!Z15+'42'!Z15+'41'!Z15</f>
        <v>0</v>
      </c>
      <c r="AA15" s="353">
        <f t="shared" ref="AA15:AD17" si="12">+W15+S15+O15+K15+G15+C15</f>
        <v>30276</v>
      </c>
      <c r="AB15" s="353">
        <f t="shared" si="12"/>
        <v>31511</v>
      </c>
      <c r="AC15" s="353">
        <f t="shared" si="12"/>
        <v>34967</v>
      </c>
      <c r="AD15" s="466">
        <f t="shared" si="12"/>
        <v>23660</v>
      </c>
      <c r="AE15" s="498"/>
      <c r="AF15" s="498"/>
      <c r="AG15" s="498"/>
      <c r="AH15" s="498"/>
      <c r="AI15" s="498"/>
      <c r="AJ15" s="498"/>
      <c r="AK15" s="498"/>
      <c r="AL15" s="498"/>
      <c r="AM15" s="498"/>
      <c r="AN15" s="498"/>
      <c r="AO15" s="498"/>
      <c r="AP15" s="498"/>
      <c r="AQ15" s="498"/>
      <c r="AR15" s="491"/>
      <c r="AS15" s="491"/>
      <c r="AT15" s="491"/>
      <c r="AU15" s="491"/>
      <c r="AV15" s="491"/>
      <c r="AW15" s="491"/>
      <c r="AX15" s="491"/>
      <c r="AY15" s="491"/>
      <c r="AZ15" s="491"/>
      <c r="BA15" s="491"/>
      <c r="BB15" s="491"/>
      <c r="BC15" s="491"/>
      <c r="BD15" s="491"/>
      <c r="BE15" s="491"/>
      <c r="BF15" s="491"/>
      <c r="BG15" s="491"/>
      <c r="BH15" s="491"/>
      <c r="BI15" s="491"/>
      <c r="BJ15" s="491"/>
      <c r="BK15" s="491"/>
      <c r="BL15" s="491"/>
      <c r="BM15" s="491"/>
      <c r="BN15" s="491"/>
      <c r="BO15" s="491"/>
      <c r="BP15" s="491"/>
      <c r="BQ15" s="491"/>
      <c r="BR15" s="491"/>
      <c r="BS15" s="491"/>
      <c r="BT15" s="491"/>
      <c r="BU15" s="491"/>
    </row>
    <row r="16" spans="1:73" s="481" customFormat="1" ht="22.5" customHeight="1">
      <c r="A16" s="465"/>
      <c r="B16" s="247" t="s">
        <v>1193</v>
      </c>
      <c r="C16" s="352">
        <f>+'45'!C16+'44'!C16+'43'!C16+'42'!C16+'41'!C16</f>
        <v>3193</v>
      </c>
      <c r="D16" s="353">
        <f>+'45'!D16+'44'!D16+'43'!D16+'42'!D16+'41'!D16</f>
        <v>3052</v>
      </c>
      <c r="E16" s="353">
        <f>+'45'!E16+'44'!E16+'43'!E16+'42'!E16+'41'!E16</f>
        <v>3435</v>
      </c>
      <c r="F16" s="353">
        <f>+'45'!F16+'44'!F16+'43'!F16+'42'!F16+'41'!F16</f>
        <v>2474</v>
      </c>
      <c r="G16" s="352">
        <f>+'45'!G16+'44'!G16+'43'!G16+'42'!G16+'41'!G16</f>
        <v>816</v>
      </c>
      <c r="H16" s="353">
        <f>+'45'!H16+'44'!H16+'43'!H16+'42'!H16+'41'!H16</f>
        <v>778</v>
      </c>
      <c r="I16" s="353">
        <f>+'45'!I16+'44'!I16+'43'!I16+'42'!I16+'41'!I16</f>
        <v>735</v>
      </c>
      <c r="J16" s="353">
        <f>+'45'!J16+'44'!J16+'43'!J16+'42'!J16+'41'!J16</f>
        <v>167</v>
      </c>
      <c r="K16" s="352">
        <f>+'45'!K16+'44'!K16+'43'!K16+'42'!K16+'41'!K16</f>
        <v>938</v>
      </c>
      <c r="L16" s="353">
        <f>+'45'!L16+'44'!L16+'43'!L16+'42'!L16+'41'!L16</f>
        <v>948</v>
      </c>
      <c r="M16" s="353">
        <f>+'45'!M16+'44'!M16+'43'!M16+'42'!M16+'41'!M16</f>
        <v>991</v>
      </c>
      <c r="N16" s="353">
        <f>+'45'!N16+'44'!N16+'43'!N16+'42'!N16+'41'!N16</f>
        <v>577</v>
      </c>
      <c r="O16" s="352">
        <f>+'45'!O16+'44'!O16+'43'!O16+'42'!O16+'41'!O16</f>
        <v>523</v>
      </c>
      <c r="P16" s="353">
        <f>+'45'!P16+'44'!P16+'43'!P16+'42'!P16+'41'!P16</f>
        <v>497</v>
      </c>
      <c r="Q16" s="353">
        <f>+'45'!Q16+'44'!Q16+'43'!Q16+'42'!Q16+'41'!Q16</f>
        <v>587</v>
      </c>
      <c r="R16" s="353">
        <f>+'45'!R16+'44'!R16+'43'!R16+'42'!R16+'41'!R16</f>
        <v>124</v>
      </c>
      <c r="S16" s="352">
        <f>+'45'!S16+'44'!S16+'43'!S16+'42'!S16+'41'!S16</f>
        <v>8</v>
      </c>
      <c r="T16" s="353">
        <f>+'45'!T16+'44'!T16+'43'!T16+'42'!T16+'41'!T16</f>
        <v>0</v>
      </c>
      <c r="U16" s="353">
        <f>+'45'!U16+'44'!U16+'43'!U16+'42'!U16+'41'!U16</f>
        <v>1</v>
      </c>
      <c r="V16" s="353">
        <f>+'45'!V16+'44'!V16+'43'!V16+'42'!V16+'41'!V16</f>
        <v>97</v>
      </c>
      <c r="W16" s="352">
        <f>+'45'!W16+'44'!W16+'43'!W16+'42'!W16+'41'!W16</f>
        <v>0</v>
      </c>
      <c r="X16" s="353">
        <f>+'45'!X16+'44'!X16+'43'!X16+'42'!X16+'41'!X16</f>
        <v>0</v>
      </c>
      <c r="Y16" s="353">
        <f>+'45'!Y16+'44'!Y16+'43'!Y16+'42'!Y16+'41'!Y16</f>
        <v>0</v>
      </c>
      <c r="Z16" s="466">
        <f>+'45'!Z16+'44'!Z16+'43'!Z16+'42'!Z16+'41'!Z16</f>
        <v>0</v>
      </c>
      <c r="AA16" s="353">
        <f t="shared" si="12"/>
        <v>5478</v>
      </c>
      <c r="AB16" s="353">
        <f t="shared" si="12"/>
        <v>5275</v>
      </c>
      <c r="AC16" s="353">
        <f t="shared" si="12"/>
        <v>5749</v>
      </c>
      <c r="AD16" s="466">
        <f t="shared" si="12"/>
        <v>3439</v>
      </c>
      <c r="AE16" s="498"/>
      <c r="AF16" s="498"/>
      <c r="AG16" s="498"/>
      <c r="AH16" s="498"/>
      <c r="AI16" s="498"/>
      <c r="AJ16" s="498"/>
      <c r="AK16" s="498"/>
      <c r="AL16" s="498"/>
      <c r="AM16" s="498"/>
      <c r="AN16" s="498"/>
      <c r="AO16" s="498"/>
      <c r="AP16" s="498"/>
      <c r="AQ16" s="498"/>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row>
    <row r="17" spans="1:73" s="481" customFormat="1" ht="22.5" customHeight="1">
      <c r="A17" s="465"/>
      <c r="B17" s="293" t="s">
        <v>1190</v>
      </c>
      <c r="C17" s="352">
        <f>+'45'!C17+'44'!C17+'43'!C17+'42'!C17+'41'!C17</f>
        <v>2362</v>
      </c>
      <c r="D17" s="353">
        <f>+'45'!D17+'44'!D17+'43'!D17+'42'!D17+'41'!D17</f>
        <v>2136</v>
      </c>
      <c r="E17" s="353">
        <f>+'45'!E17+'44'!E17+'43'!E17+'42'!E17+'41'!E17</f>
        <v>2311</v>
      </c>
      <c r="F17" s="353">
        <f>+'45'!F17+'44'!F17+'43'!F17+'42'!F17+'41'!F17</f>
        <v>1795</v>
      </c>
      <c r="G17" s="352">
        <f>+'45'!G17+'44'!G17+'43'!G17+'42'!G17+'41'!G17</f>
        <v>591</v>
      </c>
      <c r="H17" s="353">
        <f>+'45'!H17+'44'!H17+'43'!H17+'42'!H17+'41'!H17</f>
        <v>609</v>
      </c>
      <c r="I17" s="353">
        <f>+'45'!I17+'44'!I17+'43'!I17+'42'!I17+'41'!I17</f>
        <v>626</v>
      </c>
      <c r="J17" s="353">
        <f>+'45'!J17+'44'!J17+'43'!J17+'42'!J17+'41'!J17</f>
        <v>168</v>
      </c>
      <c r="K17" s="352">
        <f>+'45'!K17+'44'!K17+'43'!K17+'42'!K17+'41'!K17</f>
        <v>682</v>
      </c>
      <c r="L17" s="353">
        <f>+'45'!L17+'44'!L17+'43'!L17+'42'!L17+'41'!L17</f>
        <v>687</v>
      </c>
      <c r="M17" s="353">
        <f>+'45'!M17+'44'!M17+'43'!M17+'42'!M17+'41'!M17</f>
        <v>622</v>
      </c>
      <c r="N17" s="353">
        <f>+'45'!N17+'44'!N17+'43'!N17+'42'!N17+'41'!N17</f>
        <v>477</v>
      </c>
      <c r="O17" s="352">
        <f>+'45'!O17+'44'!O17+'43'!O17+'42'!O17+'41'!O17</f>
        <v>381</v>
      </c>
      <c r="P17" s="353">
        <f>+'45'!P17+'44'!P17+'43'!P17+'42'!P17+'41'!P17</f>
        <v>444</v>
      </c>
      <c r="Q17" s="353">
        <f>+'45'!Q17+'44'!Q17+'43'!Q17+'42'!Q17+'41'!Q17</f>
        <v>513</v>
      </c>
      <c r="R17" s="353">
        <f>+'45'!R17+'44'!R17+'43'!R17+'42'!R17+'41'!R17</f>
        <v>124</v>
      </c>
      <c r="S17" s="352">
        <f>+'45'!S17+'44'!S17+'43'!S17+'42'!S17+'41'!S17</f>
        <v>11</v>
      </c>
      <c r="T17" s="353">
        <f>+'45'!T17+'44'!T17+'43'!T17+'42'!T17+'41'!T17</f>
        <v>0</v>
      </c>
      <c r="U17" s="353">
        <f>+'45'!U17+'44'!U17+'43'!U17+'42'!U17+'41'!U17</f>
        <v>0</v>
      </c>
      <c r="V17" s="353">
        <f>+'45'!V17+'44'!V17+'43'!V17+'42'!V17+'41'!V17</f>
        <v>4</v>
      </c>
      <c r="W17" s="352">
        <f>+'45'!W17+'44'!W17+'43'!W17+'42'!W17+'41'!W17</f>
        <v>60</v>
      </c>
      <c r="X17" s="353">
        <f>+'45'!X17+'44'!X17+'43'!X17+'42'!X17+'41'!X17</f>
        <v>31</v>
      </c>
      <c r="Y17" s="353">
        <f>+'45'!Y17+'44'!Y17+'43'!Y17+'42'!Y17+'41'!Y17</f>
        <v>0</v>
      </c>
      <c r="Z17" s="466">
        <f>+'45'!Z17+'44'!Z17+'43'!Z17+'42'!Z17+'41'!Z17</f>
        <v>0</v>
      </c>
      <c r="AA17" s="353">
        <f t="shared" si="12"/>
        <v>4087</v>
      </c>
      <c r="AB17" s="353">
        <f t="shared" si="12"/>
        <v>3907</v>
      </c>
      <c r="AC17" s="353">
        <f t="shared" si="12"/>
        <v>4072</v>
      </c>
      <c r="AD17" s="466">
        <f t="shared" si="12"/>
        <v>2568</v>
      </c>
      <c r="AE17" s="498"/>
      <c r="AF17" s="498"/>
      <c r="AG17" s="498"/>
      <c r="AH17" s="498"/>
      <c r="AI17" s="498"/>
      <c r="AJ17" s="498"/>
      <c r="AK17" s="498"/>
      <c r="AL17" s="498"/>
      <c r="AM17" s="498"/>
      <c r="AN17" s="498"/>
      <c r="AO17" s="498"/>
      <c r="AP17" s="498"/>
      <c r="AQ17" s="498"/>
      <c r="AR17" s="491"/>
      <c r="AS17" s="491"/>
      <c r="AT17" s="491"/>
      <c r="AU17" s="491"/>
      <c r="AV17" s="491"/>
      <c r="AW17" s="491"/>
      <c r="AX17" s="491"/>
      <c r="AY17" s="491"/>
      <c r="AZ17" s="491"/>
      <c r="BA17" s="491"/>
      <c r="BB17" s="491"/>
      <c r="BC17" s="491"/>
      <c r="BD17" s="491"/>
      <c r="BE17" s="491"/>
      <c r="BF17" s="491"/>
      <c r="BG17" s="491"/>
      <c r="BH17" s="491"/>
      <c r="BI17" s="491"/>
      <c r="BJ17" s="491"/>
      <c r="BK17" s="491"/>
      <c r="BL17" s="491"/>
      <c r="BM17" s="491"/>
      <c r="BN17" s="491"/>
      <c r="BO17" s="491"/>
      <c r="BP17" s="491"/>
      <c r="BQ17" s="491"/>
      <c r="BR17" s="491"/>
      <c r="BS17" s="491"/>
      <c r="BT17" s="491"/>
      <c r="BU17" s="491"/>
    </row>
    <row r="18" spans="1:73" s="481" customFormat="1" ht="22.5" customHeight="1">
      <c r="A18" s="1021"/>
      <c r="B18" s="334" t="s">
        <v>625</v>
      </c>
      <c r="C18" s="352">
        <f t="shared" ref="C18:AD18" si="13">SUM(C15:C17)</f>
        <v>22432</v>
      </c>
      <c r="D18" s="353">
        <f t="shared" si="13"/>
        <v>22658</v>
      </c>
      <c r="E18" s="353">
        <f t="shared" si="13"/>
        <v>26715</v>
      </c>
      <c r="F18" s="353">
        <f t="shared" si="13"/>
        <v>21056</v>
      </c>
      <c r="G18" s="352">
        <f t="shared" si="13"/>
        <v>5648</v>
      </c>
      <c r="H18" s="353">
        <f t="shared" si="13"/>
        <v>5943</v>
      </c>
      <c r="I18" s="353">
        <f t="shared" si="13"/>
        <v>6995</v>
      </c>
      <c r="J18" s="353">
        <f>SUM(J15:J17)</f>
        <v>1608</v>
      </c>
      <c r="K18" s="352">
        <f t="shared" si="13"/>
        <v>6592</v>
      </c>
      <c r="L18" s="353">
        <f t="shared" si="13"/>
        <v>6511</v>
      </c>
      <c r="M18" s="353">
        <f t="shared" si="13"/>
        <v>5534</v>
      </c>
      <c r="N18" s="353">
        <f t="shared" si="13"/>
        <v>3890</v>
      </c>
      <c r="O18" s="352">
        <f t="shared" si="13"/>
        <v>3571</v>
      </c>
      <c r="P18" s="353">
        <f t="shared" si="13"/>
        <v>3653</v>
      </c>
      <c r="Q18" s="353">
        <f t="shared" si="13"/>
        <v>3963</v>
      </c>
      <c r="R18" s="353">
        <f t="shared" si="13"/>
        <v>712</v>
      </c>
      <c r="S18" s="352">
        <f t="shared" si="13"/>
        <v>1519</v>
      </c>
      <c r="T18" s="353">
        <f t="shared" si="13"/>
        <v>1897</v>
      </c>
      <c r="U18" s="353">
        <f t="shared" si="13"/>
        <v>1581</v>
      </c>
      <c r="V18" s="353">
        <f t="shared" si="13"/>
        <v>2401</v>
      </c>
      <c r="W18" s="352">
        <f t="shared" si="13"/>
        <v>79</v>
      </c>
      <c r="X18" s="353">
        <f t="shared" si="13"/>
        <v>31</v>
      </c>
      <c r="Y18" s="353">
        <f t="shared" si="13"/>
        <v>0</v>
      </c>
      <c r="Z18" s="353">
        <f t="shared" si="13"/>
        <v>0</v>
      </c>
      <c r="AA18" s="352">
        <f t="shared" si="13"/>
        <v>39841</v>
      </c>
      <c r="AB18" s="353">
        <f t="shared" si="13"/>
        <v>40693</v>
      </c>
      <c r="AC18" s="353">
        <f t="shared" si="13"/>
        <v>44788</v>
      </c>
      <c r="AD18" s="466">
        <f t="shared" si="13"/>
        <v>29667</v>
      </c>
      <c r="AE18" s="498"/>
      <c r="AF18" s="498"/>
      <c r="AG18" s="498"/>
      <c r="AH18" s="498"/>
      <c r="AI18" s="498"/>
      <c r="AJ18" s="498"/>
      <c r="AK18" s="498"/>
      <c r="AL18" s="498"/>
      <c r="AM18" s="498"/>
      <c r="AN18" s="498"/>
      <c r="AO18" s="498"/>
      <c r="AP18" s="498"/>
      <c r="AQ18" s="498"/>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row>
    <row r="19" spans="1:73" s="481" customFormat="1" ht="22.5" customHeight="1">
      <c r="A19" s="465" t="s">
        <v>930</v>
      </c>
      <c r="B19" s="334" t="s">
        <v>807</v>
      </c>
      <c r="C19" s="352">
        <f>+'45'!C19+'44'!C19+'43'!C19+'42'!C19+'41'!C19</f>
        <v>17750</v>
      </c>
      <c r="D19" s="353">
        <f>+'45'!D19+'44'!D19+'43'!D19+'42'!D19+'41'!D19</f>
        <v>19938</v>
      </c>
      <c r="E19" s="353">
        <f>+'45'!E19+'44'!E19+'43'!E19+'42'!E19+'41'!E19</f>
        <v>17432</v>
      </c>
      <c r="F19" s="353">
        <f>+'45'!F19+'44'!F19+'43'!F19+'42'!F19+'41'!F19</f>
        <v>12790</v>
      </c>
      <c r="G19" s="352">
        <f>+'45'!G19+'44'!G19+'43'!G19+'42'!G19+'41'!G19</f>
        <v>2042</v>
      </c>
      <c r="H19" s="353">
        <f>+'45'!H19+'44'!H19+'43'!H19+'42'!H19+'41'!H19</f>
        <v>2319</v>
      </c>
      <c r="I19" s="353">
        <f>+'45'!I19+'44'!I19+'43'!I19+'42'!I19+'41'!I19</f>
        <v>2365</v>
      </c>
      <c r="J19" s="353">
        <f>+'45'!J19+'44'!J19+'43'!J19+'42'!J19+'41'!J19</f>
        <v>1788</v>
      </c>
      <c r="K19" s="352">
        <f>+'45'!K19+'44'!K19+'43'!K19+'42'!K19+'41'!K19</f>
        <v>4790</v>
      </c>
      <c r="L19" s="353">
        <f>+'45'!L19+'44'!L19+'43'!L19+'42'!L19+'41'!L19</f>
        <v>4756</v>
      </c>
      <c r="M19" s="353">
        <f>+'45'!M19+'44'!M19+'43'!M19+'42'!M19+'41'!M19</f>
        <v>4829</v>
      </c>
      <c r="N19" s="353">
        <f>+'45'!N19+'44'!N19+'43'!N19+'42'!N19+'41'!N19</f>
        <v>3289</v>
      </c>
      <c r="O19" s="352">
        <f>+'45'!O19+'44'!O19+'43'!O19+'42'!O19+'41'!O19</f>
        <v>2970</v>
      </c>
      <c r="P19" s="353">
        <f>+'45'!P19+'44'!P19+'43'!P19+'42'!P19+'41'!P19</f>
        <v>3070</v>
      </c>
      <c r="Q19" s="353">
        <f>+'45'!Q19+'44'!Q19+'43'!Q19+'42'!Q19+'41'!Q19</f>
        <v>3351</v>
      </c>
      <c r="R19" s="353">
        <f>+'45'!R19+'44'!R19+'43'!R19+'42'!R19+'41'!R19</f>
        <v>552</v>
      </c>
      <c r="S19" s="352">
        <f>+'45'!S19+'44'!S19+'43'!S19+'42'!S19+'41'!S19</f>
        <v>615</v>
      </c>
      <c r="T19" s="353">
        <f>+'45'!T19+'44'!T19+'43'!T19+'42'!T19+'41'!T19</f>
        <v>655</v>
      </c>
      <c r="U19" s="353">
        <f>+'45'!U19+'44'!U19+'43'!U19+'42'!U19+'41'!U19</f>
        <v>500</v>
      </c>
      <c r="V19" s="353">
        <f>+'45'!V19+'44'!V19+'43'!V19+'42'!V19+'41'!V19</f>
        <v>1307</v>
      </c>
      <c r="W19" s="352">
        <f>+'45'!W19+'44'!W19+'43'!W19+'42'!W19+'41'!W19</f>
        <v>1</v>
      </c>
      <c r="X19" s="353">
        <f>+'45'!X19+'44'!X19+'43'!X19+'42'!X19+'41'!X19</f>
        <v>0</v>
      </c>
      <c r="Y19" s="353">
        <f>+'45'!Y19+'44'!Y19+'43'!Y19+'42'!Y19+'41'!Y19</f>
        <v>0</v>
      </c>
      <c r="Z19" s="466">
        <f>+'45'!Z19+'44'!Z19+'43'!Z19+'42'!Z19+'41'!Z19</f>
        <v>2</v>
      </c>
      <c r="AA19" s="353">
        <f t="shared" ref="AA19:AD20" si="14">+W19+S19+O19+K19+G19+C19</f>
        <v>28168</v>
      </c>
      <c r="AB19" s="353">
        <f t="shared" si="14"/>
        <v>30738</v>
      </c>
      <c r="AC19" s="353">
        <f t="shared" si="14"/>
        <v>28477</v>
      </c>
      <c r="AD19" s="466">
        <f t="shared" si="14"/>
        <v>19728</v>
      </c>
      <c r="AE19" s="498"/>
      <c r="AF19" s="498"/>
      <c r="AG19" s="498"/>
      <c r="AH19" s="498"/>
      <c r="AI19" s="498"/>
      <c r="AJ19" s="498"/>
      <c r="AK19" s="498"/>
      <c r="AL19" s="498"/>
      <c r="AM19" s="498"/>
      <c r="AN19" s="498"/>
      <c r="AO19" s="498"/>
      <c r="AP19" s="498"/>
      <c r="AQ19" s="498"/>
      <c r="AR19" s="491"/>
      <c r="AS19" s="491"/>
      <c r="AT19" s="491"/>
      <c r="AU19" s="491"/>
      <c r="AV19" s="491"/>
      <c r="AW19" s="491"/>
      <c r="AX19" s="491"/>
      <c r="AY19" s="491"/>
      <c r="AZ19" s="491"/>
      <c r="BA19" s="491"/>
      <c r="BB19" s="491"/>
      <c r="BC19" s="491"/>
      <c r="BD19" s="491"/>
      <c r="BE19" s="491"/>
      <c r="BF19" s="491"/>
      <c r="BG19" s="491"/>
      <c r="BH19" s="491"/>
      <c r="BI19" s="491"/>
      <c r="BJ19" s="491"/>
      <c r="BK19" s="491"/>
      <c r="BL19" s="491"/>
      <c r="BM19" s="491"/>
      <c r="BN19" s="491"/>
      <c r="BO19" s="491"/>
      <c r="BP19" s="491"/>
      <c r="BQ19" s="491"/>
      <c r="BR19" s="491"/>
      <c r="BS19" s="491"/>
      <c r="BT19" s="491"/>
      <c r="BU19" s="491"/>
    </row>
    <row r="20" spans="1:73" s="481" customFormat="1" ht="22.5" customHeight="1">
      <c r="A20" s="465"/>
      <c r="B20" s="293" t="s">
        <v>1192</v>
      </c>
      <c r="C20" s="352">
        <f>+'45'!C20+'44'!C20+'43'!C20+'42'!C20+'41'!C20</f>
        <v>1423</v>
      </c>
      <c r="D20" s="353">
        <f>+'45'!D20+'44'!D20+'43'!D20+'42'!D20+'41'!D20</f>
        <v>1697</v>
      </c>
      <c r="E20" s="353">
        <f>+'45'!E20+'44'!E20+'43'!E20+'42'!E20+'41'!E20</f>
        <v>1334</v>
      </c>
      <c r="F20" s="353">
        <f>+'45'!F20+'44'!F20+'43'!F20+'42'!F20+'41'!F20</f>
        <v>672</v>
      </c>
      <c r="G20" s="352">
        <f>+'45'!G20+'44'!G20+'43'!G20+'42'!G20+'41'!G20</f>
        <v>205</v>
      </c>
      <c r="H20" s="353">
        <f>+'45'!H20+'44'!H20+'43'!H20+'42'!H20+'41'!H20</f>
        <v>238</v>
      </c>
      <c r="I20" s="353">
        <f>+'45'!I20+'44'!I20+'43'!I20+'42'!I20+'41'!I20</f>
        <v>175</v>
      </c>
      <c r="J20" s="353">
        <f>+'45'!J20+'44'!J20+'43'!J20+'42'!J20+'41'!J20</f>
        <v>72</v>
      </c>
      <c r="K20" s="352">
        <f>+'45'!K20+'44'!K20+'43'!K20+'42'!K20+'41'!K20</f>
        <v>373</v>
      </c>
      <c r="L20" s="353">
        <f>+'45'!L20+'44'!L20+'43'!L20+'42'!L20+'41'!L20</f>
        <v>366</v>
      </c>
      <c r="M20" s="353">
        <f>+'45'!M20+'44'!M20+'43'!M20+'42'!M20+'41'!M20</f>
        <v>445</v>
      </c>
      <c r="N20" s="353">
        <f>+'45'!N20+'44'!N20+'43'!N20+'42'!N20+'41'!N20</f>
        <v>171</v>
      </c>
      <c r="O20" s="352">
        <f>+'45'!O20+'44'!O20+'43'!O20+'42'!O20+'41'!O20</f>
        <v>410</v>
      </c>
      <c r="P20" s="353">
        <f>+'45'!P20+'44'!P20+'43'!P20+'42'!P20+'41'!P20</f>
        <v>381</v>
      </c>
      <c r="Q20" s="353">
        <f>+'45'!Q20+'44'!Q20+'43'!Q20+'42'!Q20+'41'!Q20</f>
        <v>412</v>
      </c>
      <c r="R20" s="353">
        <f>+'45'!R20+'44'!R20+'43'!R20+'42'!R20+'41'!R20</f>
        <v>84</v>
      </c>
      <c r="S20" s="352">
        <f>+'45'!S20+'44'!S20+'43'!S20+'42'!S20+'41'!S20</f>
        <v>0</v>
      </c>
      <c r="T20" s="353">
        <f>+'45'!T20+'44'!T20+'43'!T20+'42'!T20+'41'!T20</f>
        <v>0</v>
      </c>
      <c r="U20" s="353">
        <f>+'45'!U20+'44'!U20+'43'!U20+'42'!U20+'41'!U20</f>
        <v>0</v>
      </c>
      <c r="V20" s="353">
        <f>+'45'!V20+'44'!V20+'43'!V20+'42'!V20+'41'!V20</f>
        <v>53</v>
      </c>
      <c r="W20" s="352">
        <f>+'45'!W20+'44'!W20+'43'!W20+'42'!W20+'41'!W20</f>
        <v>60</v>
      </c>
      <c r="X20" s="353">
        <f>+'45'!X20+'44'!X20+'43'!X20+'42'!X20+'41'!X20</f>
        <v>85</v>
      </c>
      <c r="Y20" s="353">
        <f>+'45'!Y20+'44'!Y20+'43'!Y20+'42'!Y20+'41'!Y20</f>
        <v>0</v>
      </c>
      <c r="Z20" s="466">
        <f>+'45'!Z20+'44'!Z20+'43'!Z20+'42'!Z20+'41'!Z20</f>
        <v>0</v>
      </c>
      <c r="AA20" s="353">
        <f t="shared" si="14"/>
        <v>2471</v>
      </c>
      <c r="AB20" s="353">
        <f t="shared" si="14"/>
        <v>2767</v>
      </c>
      <c r="AC20" s="353">
        <f t="shared" si="14"/>
        <v>2366</v>
      </c>
      <c r="AD20" s="466">
        <f>+Z20+V20+R20+N20+J20+F20</f>
        <v>1052</v>
      </c>
      <c r="AE20" s="498"/>
      <c r="AF20" s="498"/>
      <c r="AG20" s="498"/>
      <c r="AH20" s="498"/>
      <c r="AI20" s="498"/>
      <c r="AJ20" s="498"/>
      <c r="AK20" s="498"/>
      <c r="AL20" s="498"/>
      <c r="AM20" s="498"/>
      <c r="AN20" s="498"/>
      <c r="AO20" s="498"/>
      <c r="AP20" s="498"/>
      <c r="AQ20" s="498"/>
      <c r="AR20" s="491"/>
      <c r="AS20" s="491"/>
      <c r="AT20" s="491"/>
      <c r="AU20" s="491"/>
      <c r="AV20" s="491"/>
      <c r="AW20" s="491"/>
      <c r="AX20" s="491"/>
      <c r="AY20" s="491"/>
      <c r="AZ20" s="491"/>
      <c r="BA20" s="491"/>
      <c r="BB20" s="491"/>
      <c r="BC20" s="491"/>
      <c r="BD20" s="491"/>
      <c r="BE20" s="491"/>
      <c r="BF20" s="491"/>
      <c r="BG20" s="491"/>
      <c r="BH20" s="491"/>
      <c r="BI20" s="491"/>
      <c r="BJ20" s="491"/>
      <c r="BK20" s="491"/>
      <c r="BL20" s="491"/>
      <c r="BM20" s="491"/>
      <c r="BN20" s="491"/>
      <c r="BO20" s="491"/>
      <c r="BP20" s="491"/>
      <c r="BQ20" s="491"/>
      <c r="BR20" s="491"/>
      <c r="BS20" s="491"/>
      <c r="BT20" s="491"/>
      <c r="BU20" s="491"/>
    </row>
    <row r="21" spans="1:73" s="481" customFormat="1" ht="22.5" customHeight="1">
      <c r="A21" s="465"/>
      <c r="B21" s="334" t="s">
        <v>625</v>
      </c>
      <c r="C21" s="352">
        <f t="shared" ref="C21:AD21" si="15">SUM(C19:C20)</f>
        <v>19173</v>
      </c>
      <c r="D21" s="353">
        <f t="shared" si="15"/>
        <v>21635</v>
      </c>
      <c r="E21" s="353">
        <f t="shared" si="15"/>
        <v>18766</v>
      </c>
      <c r="F21" s="466">
        <f t="shared" si="15"/>
        <v>13462</v>
      </c>
      <c r="G21" s="352">
        <f t="shared" si="15"/>
        <v>2247</v>
      </c>
      <c r="H21" s="353">
        <f t="shared" si="15"/>
        <v>2557</v>
      </c>
      <c r="I21" s="353">
        <f t="shared" si="15"/>
        <v>2540</v>
      </c>
      <c r="J21" s="466">
        <f t="shared" ref="J21" si="16">SUM(J19:J20)</f>
        <v>1860</v>
      </c>
      <c r="K21" s="352">
        <f t="shared" si="15"/>
        <v>5163</v>
      </c>
      <c r="L21" s="353">
        <f t="shared" si="15"/>
        <v>5122</v>
      </c>
      <c r="M21" s="353">
        <f t="shared" si="15"/>
        <v>5274</v>
      </c>
      <c r="N21" s="466">
        <f t="shared" si="15"/>
        <v>3460</v>
      </c>
      <c r="O21" s="352">
        <f t="shared" si="15"/>
        <v>3380</v>
      </c>
      <c r="P21" s="353">
        <f t="shared" si="15"/>
        <v>3451</v>
      </c>
      <c r="Q21" s="353">
        <f t="shared" si="15"/>
        <v>3763</v>
      </c>
      <c r="R21" s="466">
        <f t="shared" si="15"/>
        <v>636</v>
      </c>
      <c r="S21" s="352">
        <f t="shared" si="15"/>
        <v>615</v>
      </c>
      <c r="T21" s="353">
        <f t="shared" si="15"/>
        <v>655</v>
      </c>
      <c r="U21" s="353">
        <f t="shared" si="15"/>
        <v>500</v>
      </c>
      <c r="V21" s="466">
        <f t="shared" si="15"/>
        <v>1360</v>
      </c>
      <c r="W21" s="352">
        <f t="shared" si="15"/>
        <v>61</v>
      </c>
      <c r="X21" s="353">
        <f t="shared" si="15"/>
        <v>85</v>
      </c>
      <c r="Y21" s="353">
        <f t="shared" si="15"/>
        <v>0</v>
      </c>
      <c r="Z21" s="466">
        <f t="shared" si="15"/>
        <v>2</v>
      </c>
      <c r="AA21" s="352">
        <f t="shared" si="15"/>
        <v>30639</v>
      </c>
      <c r="AB21" s="353">
        <f t="shared" si="15"/>
        <v>33505</v>
      </c>
      <c r="AC21" s="353">
        <f t="shared" si="15"/>
        <v>30843</v>
      </c>
      <c r="AD21" s="466">
        <f t="shared" si="15"/>
        <v>20780</v>
      </c>
      <c r="AE21" s="498"/>
      <c r="AF21" s="498"/>
      <c r="AG21" s="498"/>
      <c r="AH21" s="498"/>
      <c r="AI21" s="498"/>
      <c r="AJ21" s="498"/>
      <c r="AK21" s="498"/>
      <c r="AL21" s="498"/>
      <c r="AM21" s="498"/>
      <c r="AN21" s="498"/>
      <c r="AO21" s="498"/>
      <c r="AP21" s="498"/>
      <c r="AQ21" s="498"/>
      <c r="AR21" s="491"/>
      <c r="AS21" s="491"/>
      <c r="AT21" s="491"/>
      <c r="AU21" s="491"/>
      <c r="AV21" s="491"/>
      <c r="AW21" s="491"/>
      <c r="AX21" s="491"/>
      <c r="AY21" s="491"/>
      <c r="AZ21" s="491"/>
      <c r="BA21" s="491"/>
      <c r="BB21" s="491"/>
      <c r="BC21" s="491"/>
      <c r="BD21" s="491"/>
      <c r="BE21" s="491"/>
      <c r="BF21" s="491"/>
      <c r="BG21" s="491"/>
      <c r="BH21" s="491"/>
      <c r="BI21" s="491"/>
      <c r="BJ21" s="491"/>
      <c r="BK21" s="491"/>
      <c r="BL21" s="491"/>
      <c r="BM21" s="491"/>
      <c r="BN21" s="491"/>
      <c r="BO21" s="491"/>
      <c r="BP21" s="491"/>
      <c r="BQ21" s="491"/>
      <c r="BR21" s="491"/>
      <c r="BS21" s="491"/>
      <c r="BT21" s="491"/>
      <c r="BU21" s="491"/>
    </row>
    <row r="22" spans="1:73" s="481" customFormat="1" ht="22.5" customHeight="1">
      <c r="A22" s="465" t="s">
        <v>524</v>
      </c>
      <c r="B22" s="334" t="s">
        <v>808</v>
      </c>
      <c r="C22" s="352">
        <f>+'45'!C22+'44'!C22+'43'!C22+'42'!C22+'41'!C22</f>
        <v>15353</v>
      </c>
      <c r="D22" s="353">
        <f>+'45'!D22+'44'!D22+'43'!D22+'42'!D22+'41'!D22</f>
        <v>14759</v>
      </c>
      <c r="E22" s="353">
        <f>+'45'!E22+'44'!E22+'43'!E22+'42'!E22+'41'!E22</f>
        <v>17618</v>
      </c>
      <c r="F22" s="353">
        <f>+'45'!F22+'44'!F22+'43'!F22+'42'!F22+'41'!F22</f>
        <v>14614</v>
      </c>
      <c r="G22" s="352">
        <f>+'45'!G22+'44'!G22+'43'!G22+'42'!G22+'41'!G22</f>
        <v>2747</v>
      </c>
      <c r="H22" s="353">
        <f>+'45'!H22+'44'!H22+'43'!H22+'42'!H22+'41'!H22</f>
        <v>3408</v>
      </c>
      <c r="I22" s="353">
        <f>+'45'!I22+'44'!I22+'43'!I22+'42'!I22+'41'!I22</f>
        <v>4268</v>
      </c>
      <c r="J22" s="353">
        <f>+'45'!J22+'44'!J22+'43'!J22+'42'!J22+'41'!J22</f>
        <v>2071</v>
      </c>
      <c r="K22" s="352">
        <f>+'45'!K22+'44'!K22+'43'!K22+'42'!K22+'41'!K22</f>
        <v>4969</v>
      </c>
      <c r="L22" s="353">
        <f>+'45'!L22+'44'!L22+'43'!L22+'42'!L22+'41'!L22</f>
        <v>4027</v>
      </c>
      <c r="M22" s="353">
        <f>+'45'!M22+'44'!M22+'43'!M22+'42'!M22+'41'!M22</f>
        <v>4305</v>
      </c>
      <c r="N22" s="353">
        <f>+'45'!N22+'44'!N22+'43'!N22+'42'!N22+'41'!N22</f>
        <v>3156</v>
      </c>
      <c r="O22" s="352">
        <f>+'45'!O22+'44'!O22+'43'!O22+'42'!O22+'41'!O22</f>
        <v>2308</v>
      </c>
      <c r="P22" s="353">
        <f>+'45'!P22+'44'!P22+'43'!P22+'42'!P22+'41'!P22</f>
        <v>1763</v>
      </c>
      <c r="Q22" s="353">
        <f>+'45'!Q22+'44'!Q22+'43'!Q22+'42'!Q22+'41'!Q22</f>
        <v>2044</v>
      </c>
      <c r="R22" s="353">
        <f>+'45'!R22+'44'!R22+'43'!R22+'42'!R22+'41'!R22</f>
        <v>473</v>
      </c>
      <c r="S22" s="352">
        <f>+'45'!S22+'44'!S22+'43'!S22+'42'!S22+'41'!S22</f>
        <v>500</v>
      </c>
      <c r="T22" s="353">
        <f>+'45'!T22+'44'!T22+'43'!T22+'42'!T22+'41'!T22</f>
        <v>1150</v>
      </c>
      <c r="U22" s="353">
        <f>+'45'!U22+'44'!U22+'43'!U22+'42'!U22+'41'!U22</f>
        <v>1372</v>
      </c>
      <c r="V22" s="353">
        <f>+'45'!V22+'44'!V22+'43'!V22+'42'!V22+'41'!V22</f>
        <v>776</v>
      </c>
      <c r="W22" s="352">
        <f>+'45'!W22+'44'!W22+'43'!W22+'42'!W22+'41'!W22</f>
        <v>844</v>
      </c>
      <c r="X22" s="353">
        <f>+'45'!X22+'44'!X22+'43'!X22+'42'!X22+'41'!X22</f>
        <v>633</v>
      </c>
      <c r="Y22" s="353">
        <f>+'45'!Y22+'44'!Y22+'43'!Y22+'42'!Y22+'41'!Y22</f>
        <v>1</v>
      </c>
      <c r="Z22" s="466">
        <f>+'45'!Z22+'44'!Z22+'43'!Z22+'42'!Z22+'41'!Z22</f>
        <v>222</v>
      </c>
      <c r="AA22" s="353">
        <f>+W22+S22+O22+K22+G22+C22</f>
        <v>26721</v>
      </c>
      <c r="AB22" s="353">
        <f>+X22+T22+P22+L22+H22+D22</f>
        <v>25740</v>
      </c>
      <c r="AC22" s="353">
        <f>+Y22+U22+Q22+M22+I22+E22</f>
        <v>29608</v>
      </c>
      <c r="AD22" s="466">
        <f>+Z22+V22+R22+N22+J22+F22</f>
        <v>21312</v>
      </c>
      <c r="AE22" s="498"/>
      <c r="AF22" s="498"/>
      <c r="AG22" s="498"/>
      <c r="AH22" s="498"/>
      <c r="AI22" s="498"/>
      <c r="AJ22" s="498"/>
      <c r="AK22" s="498"/>
      <c r="AL22" s="498"/>
      <c r="AM22" s="498"/>
      <c r="AN22" s="498"/>
      <c r="AO22" s="498"/>
      <c r="AP22" s="498"/>
      <c r="AQ22" s="498"/>
      <c r="AR22" s="491"/>
      <c r="AS22" s="491"/>
      <c r="AT22" s="491"/>
      <c r="AU22" s="491"/>
      <c r="AV22" s="491"/>
      <c r="AW22" s="491"/>
      <c r="AX22" s="491"/>
      <c r="AY22" s="491"/>
      <c r="AZ22" s="491"/>
      <c r="BA22" s="491"/>
      <c r="BB22" s="491"/>
      <c r="BC22" s="491"/>
      <c r="BD22" s="491"/>
      <c r="BE22" s="491"/>
      <c r="BF22" s="491"/>
      <c r="BG22" s="491"/>
      <c r="BH22" s="491"/>
      <c r="BI22" s="491"/>
      <c r="BJ22" s="491"/>
      <c r="BK22" s="491"/>
      <c r="BL22" s="491"/>
      <c r="BM22" s="491"/>
      <c r="BN22" s="491"/>
      <c r="BO22" s="491"/>
      <c r="BP22" s="491"/>
      <c r="BQ22" s="491"/>
      <c r="BR22" s="491"/>
      <c r="BS22" s="491"/>
      <c r="BT22" s="491"/>
      <c r="BU22" s="491"/>
    </row>
    <row r="23" spans="1:73" s="481" customFormat="1" ht="22.5" customHeight="1">
      <c r="A23" s="475" t="s">
        <v>931</v>
      </c>
      <c r="B23" s="471"/>
      <c r="C23" s="472">
        <f t="shared" ref="C23:AD23" si="17">+C14+C18+C21+C22</f>
        <v>125879</v>
      </c>
      <c r="D23" s="473">
        <f t="shared" si="17"/>
        <v>130047</v>
      </c>
      <c r="E23" s="473">
        <f>+E14+E18+E21+E22</f>
        <v>131367</v>
      </c>
      <c r="F23" s="473">
        <f t="shared" si="17"/>
        <v>89905</v>
      </c>
      <c r="G23" s="472">
        <f t="shared" si="17"/>
        <v>27015</v>
      </c>
      <c r="H23" s="473">
        <f t="shared" si="17"/>
        <v>26130</v>
      </c>
      <c r="I23" s="473">
        <f t="shared" si="17"/>
        <v>29972</v>
      </c>
      <c r="J23" s="473">
        <f>+J14+J18+J21+J22</f>
        <v>10872</v>
      </c>
      <c r="K23" s="472">
        <f t="shared" si="17"/>
        <v>36231</v>
      </c>
      <c r="L23" s="473">
        <f t="shared" si="17"/>
        <v>33680</v>
      </c>
      <c r="M23" s="473">
        <f t="shared" si="17"/>
        <v>35601</v>
      </c>
      <c r="N23" s="473">
        <f t="shared" si="17"/>
        <v>21302</v>
      </c>
      <c r="O23" s="472">
        <f t="shared" si="17"/>
        <v>23390</v>
      </c>
      <c r="P23" s="473">
        <f t="shared" si="17"/>
        <v>21981</v>
      </c>
      <c r="Q23" s="473">
        <f t="shared" si="17"/>
        <v>22033</v>
      </c>
      <c r="R23" s="473">
        <f t="shared" si="17"/>
        <v>4980</v>
      </c>
      <c r="S23" s="472">
        <f t="shared" si="17"/>
        <v>5201</v>
      </c>
      <c r="T23" s="473">
        <f t="shared" si="17"/>
        <v>6446</v>
      </c>
      <c r="U23" s="473">
        <f t="shared" si="17"/>
        <v>9129</v>
      </c>
      <c r="V23" s="473">
        <f t="shared" si="17"/>
        <v>7415</v>
      </c>
      <c r="W23" s="472">
        <f t="shared" si="17"/>
        <v>990</v>
      </c>
      <c r="X23" s="473">
        <f t="shared" si="17"/>
        <v>1081</v>
      </c>
      <c r="Y23" s="473">
        <f t="shared" si="17"/>
        <v>1</v>
      </c>
      <c r="Z23" s="473">
        <f t="shared" si="17"/>
        <v>379</v>
      </c>
      <c r="AA23" s="472">
        <f t="shared" si="17"/>
        <v>218706</v>
      </c>
      <c r="AB23" s="473">
        <f t="shared" si="17"/>
        <v>219365</v>
      </c>
      <c r="AC23" s="473">
        <f t="shared" si="17"/>
        <v>228103</v>
      </c>
      <c r="AD23" s="474">
        <f t="shared" si="17"/>
        <v>134853</v>
      </c>
      <c r="AE23" s="498"/>
      <c r="AF23" s="498"/>
      <c r="AG23" s="499"/>
      <c r="AH23" s="499"/>
      <c r="AI23" s="499"/>
      <c r="AJ23" s="499"/>
      <c r="AK23" s="499"/>
      <c r="AL23" s="499"/>
      <c r="AM23" s="499"/>
      <c r="AN23" s="499"/>
      <c r="AO23" s="499"/>
      <c r="AP23" s="499"/>
      <c r="AQ23" s="499"/>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1"/>
      <c r="BN23" s="491"/>
      <c r="BO23" s="491"/>
      <c r="BP23" s="491"/>
      <c r="BQ23" s="491"/>
      <c r="BR23" s="491"/>
      <c r="BS23" s="491"/>
      <c r="BT23" s="491"/>
      <c r="BU23" s="491"/>
    </row>
    <row r="24" spans="1:73" s="481" customFormat="1" ht="22.5" customHeight="1">
      <c r="A24" s="465" t="s">
        <v>932</v>
      </c>
      <c r="B24" s="293" t="s">
        <v>1325</v>
      </c>
      <c r="C24" s="352">
        <f>+'45'!C24+'44'!C24+'43'!C24+'42'!C24+'41'!C24</f>
        <v>32503</v>
      </c>
      <c r="D24" s="353">
        <f>+'45'!D24+'44'!D24+'43'!D24+'42'!D24+'41'!D24</f>
        <v>32492</v>
      </c>
      <c r="E24" s="353">
        <f>+'45'!E24+'44'!E24+'43'!E24+'42'!E24+'41'!E24</f>
        <v>33700</v>
      </c>
      <c r="F24" s="353">
        <f>+'45'!F24+'44'!F24+'43'!F24+'42'!F24+'41'!F24</f>
        <v>14183</v>
      </c>
      <c r="G24" s="352">
        <f>+'45'!G24+'44'!G24+'43'!G24+'42'!G24+'41'!G24</f>
        <v>6067</v>
      </c>
      <c r="H24" s="353">
        <f>+'45'!H24+'44'!H24+'43'!H24+'42'!H24+'41'!H24</f>
        <v>6324</v>
      </c>
      <c r="I24" s="353">
        <f>+'45'!I24+'44'!I24+'43'!I24+'42'!I24+'41'!I24</f>
        <v>5353</v>
      </c>
      <c r="J24" s="353">
        <f>+'45'!J24+'44'!J24+'43'!J24+'42'!J24+'41'!J24</f>
        <v>2188</v>
      </c>
      <c r="K24" s="352">
        <f>+'45'!K24+'44'!K24+'43'!K24+'42'!K24+'41'!K24</f>
        <v>9826</v>
      </c>
      <c r="L24" s="353">
        <f>+'45'!L24+'44'!L24+'43'!L24+'42'!L24+'41'!L24</f>
        <v>10329</v>
      </c>
      <c r="M24" s="353">
        <f>+'45'!M24+'44'!M24+'43'!M24+'42'!M24+'41'!M24</f>
        <v>10509</v>
      </c>
      <c r="N24" s="353">
        <f>+'45'!N24+'44'!N24+'43'!N24+'42'!N24+'41'!N24</f>
        <v>4793</v>
      </c>
      <c r="O24" s="352">
        <f>+'45'!O24+'44'!O24+'43'!O24+'42'!O24+'41'!O24</f>
        <v>6611</v>
      </c>
      <c r="P24" s="353">
        <f>+'45'!P24+'44'!P24+'43'!P24+'42'!P24+'41'!P24</f>
        <v>7269</v>
      </c>
      <c r="Q24" s="353">
        <f>+'45'!Q24+'44'!Q24+'43'!Q24+'42'!Q24+'41'!Q24</f>
        <v>7334</v>
      </c>
      <c r="R24" s="353">
        <f>+'45'!R24+'44'!R24+'43'!R24+'42'!R24+'41'!R24</f>
        <v>2450</v>
      </c>
      <c r="S24" s="352">
        <f>+'45'!S24+'44'!S24+'43'!S24+'42'!S24+'41'!S24</f>
        <v>2094</v>
      </c>
      <c r="T24" s="353">
        <f>+'45'!T24+'44'!T24+'43'!T24+'42'!T24+'41'!T24</f>
        <v>1820</v>
      </c>
      <c r="U24" s="353">
        <f>+'45'!U24+'44'!U24+'43'!U24+'42'!U24+'41'!U24</f>
        <v>2111</v>
      </c>
      <c r="V24" s="353">
        <f>+'45'!V24+'44'!V24+'43'!V24+'42'!V24+'41'!V24</f>
        <v>1046</v>
      </c>
      <c r="W24" s="352">
        <f>+'45'!W24+'44'!W24+'43'!W24+'42'!W24+'41'!W24</f>
        <v>0</v>
      </c>
      <c r="X24" s="353">
        <f>+'45'!X24+'44'!X24+'43'!X24+'42'!X24+'41'!X24</f>
        <v>0</v>
      </c>
      <c r="Y24" s="353">
        <f>+'45'!Y24+'44'!Y24+'43'!Y24+'42'!Y24+'41'!Y24</f>
        <v>0</v>
      </c>
      <c r="Z24" s="466">
        <f>+'45'!Z24+'44'!Z24+'43'!Z24+'42'!Z24+'41'!Z24</f>
        <v>0</v>
      </c>
      <c r="AA24" s="353">
        <f>+W24+S24+O24+K24+G24+C24</f>
        <v>57101</v>
      </c>
      <c r="AB24" s="353">
        <f>+X24+T24+P24+L24+H24+D24</f>
        <v>58234</v>
      </c>
      <c r="AC24" s="353">
        <f>+Y24+U24+Q24+M24+I24+E24</f>
        <v>59007</v>
      </c>
      <c r="AD24" s="466">
        <f>+Z24+V24+R24+N24+J24+F24</f>
        <v>24660</v>
      </c>
      <c r="AE24" s="498"/>
      <c r="AF24" s="498"/>
      <c r="AG24" s="498"/>
      <c r="AH24" s="498"/>
      <c r="AI24" s="498"/>
      <c r="AJ24" s="498"/>
      <c r="AK24" s="498"/>
      <c r="AL24" s="498"/>
      <c r="AM24" s="498"/>
      <c r="AN24" s="498"/>
      <c r="AO24" s="498"/>
      <c r="AP24" s="498"/>
      <c r="AQ24" s="498"/>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row>
    <row r="25" spans="1:73" s="481" customFormat="1" ht="22.5" customHeight="1">
      <c r="A25" s="465"/>
      <c r="B25" s="293" t="s">
        <v>1324</v>
      </c>
      <c r="C25" s="352">
        <f>+'45'!C25+'44'!C25+'43'!C25+'42'!C25+'41'!C25</f>
        <v>44837</v>
      </c>
      <c r="D25" s="353">
        <f>+'45'!D25+'44'!D25+'43'!D25+'42'!D25+'41'!D25</f>
        <v>41649</v>
      </c>
      <c r="E25" s="353">
        <f>+'45'!E25+'44'!E25+'43'!E25+'42'!E25+'41'!E25</f>
        <v>45785</v>
      </c>
      <c r="F25" s="353">
        <f>+'45'!F25+'44'!F25+'43'!F25+'42'!F25+'41'!F25</f>
        <v>24963</v>
      </c>
      <c r="G25" s="352">
        <f>+'45'!G25+'44'!G25+'43'!G25+'42'!G25+'41'!G25</f>
        <v>6229</v>
      </c>
      <c r="H25" s="353">
        <f>+'45'!H25+'44'!H25+'43'!H25+'42'!H25+'41'!H25</f>
        <v>6588</v>
      </c>
      <c r="I25" s="353">
        <f>+'45'!I25+'44'!I25+'43'!I25+'42'!I25+'41'!I25</f>
        <v>6705</v>
      </c>
      <c r="J25" s="353">
        <f>+'45'!J25+'44'!J25+'43'!J25+'42'!J25+'41'!J25</f>
        <v>3400</v>
      </c>
      <c r="K25" s="352">
        <f>+'45'!K25+'44'!K25+'43'!K25+'42'!K25+'41'!K25</f>
        <v>11782</v>
      </c>
      <c r="L25" s="353">
        <f>+'45'!L25+'44'!L25+'43'!L25+'42'!L25+'41'!L25</f>
        <v>11617</v>
      </c>
      <c r="M25" s="353">
        <f>+'45'!M25+'44'!M25+'43'!M25+'42'!M25+'41'!M25</f>
        <v>11059</v>
      </c>
      <c r="N25" s="353">
        <f>+'45'!N25+'44'!N25+'43'!N25+'42'!N25+'41'!N25</f>
        <v>6160</v>
      </c>
      <c r="O25" s="352">
        <f>+'45'!O25+'44'!O25+'43'!O25+'42'!O25+'41'!O25</f>
        <v>6736</v>
      </c>
      <c r="P25" s="353">
        <f>+'45'!P25+'44'!P25+'43'!P25+'42'!P25+'41'!P25</f>
        <v>7020</v>
      </c>
      <c r="Q25" s="353">
        <f>+'45'!Q25+'44'!Q25+'43'!Q25+'42'!Q25+'41'!Q25</f>
        <v>6302</v>
      </c>
      <c r="R25" s="353">
        <f>+'45'!R25+'44'!R25+'43'!R25+'42'!R25+'41'!R25</f>
        <v>1550</v>
      </c>
      <c r="S25" s="352">
        <f>+'45'!S25+'44'!S25+'43'!S25+'42'!S25+'41'!S25</f>
        <v>2619</v>
      </c>
      <c r="T25" s="353">
        <f>+'45'!T25+'44'!T25+'43'!T25+'42'!T25+'41'!T25</f>
        <v>2773</v>
      </c>
      <c r="U25" s="353">
        <f>+'45'!U25+'44'!U25+'43'!U25+'42'!U25+'41'!U25</f>
        <v>2080</v>
      </c>
      <c r="V25" s="353">
        <f>+'45'!V25+'44'!V25+'43'!V25+'42'!V25+'41'!V25</f>
        <v>1260</v>
      </c>
      <c r="W25" s="352">
        <f>+'45'!W25+'44'!W25+'43'!W25+'42'!W25+'41'!W25</f>
        <v>0</v>
      </c>
      <c r="X25" s="353">
        <f>+'45'!X25+'44'!X25+'43'!X25+'42'!X25+'41'!X25</f>
        <v>3</v>
      </c>
      <c r="Y25" s="353">
        <f>+'45'!Y25+'44'!Y25+'43'!Y25+'42'!Y25+'41'!Y25</f>
        <v>0</v>
      </c>
      <c r="Z25" s="466">
        <f>+'45'!Z25+'44'!Z25+'43'!Z25+'42'!Z25+'41'!Z25</f>
        <v>1</v>
      </c>
      <c r="AA25" s="353">
        <f t="shared" ref="AA25:AD29" si="18">+W25+S25+O25+K25+G25+C25</f>
        <v>72203</v>
      </c>
      <c r="AB25" s="353">
        <f t="shared" si="18"/>
        <v>69650</v>
      </c>
      <c r="AC25" s="353">
        <f t="shared" si="18"/>
        <v>71931</v>
      </c>
      <c r="AD25" s="466">
        <f t="shared" si="18"/>
        <v>37334</v>
      </c>
      <c r="AE25" s="498"/>
      <c r="AF25" s="498"/>
      <c r="AG25" s="498"/>
      <c r="AH25" s="498"/>
      <c r="AI25" s="498"/>
      <c r="AJ25" s="498"/>
      <c r="AK25" s="498"/>
      <c r="AL25" s="498"/>
      <c r="AM25" s="498"/>
      <c r="AN25" s="498"/>
      <c r="AO25" s="498"/>
      <c r="AP25" s="498"/>
      <c r="AQ25" s="498"/>
      <c r="AR25" s="491"/>
      <c r="AS25" s="491"/>
      <c r="AT25" s="491"/>
      <c r="AU25" s="491"/>
      <c r="AV25" s="491"/>
      <c r="AW25" s="491"/>
      <c r="AX25" s="491"/>
      <c r="AY25" s="491"/>
      <c r="AZ25" s="491"/>
      <c r="BA25" s="491"/>
      <c r="BB25" s="491"/>
      <c r="BC25" s="491"/>
      <c r="BD25" s="491"/>
      <c r="BE25" s="491"/>
      <c r="BF25" s="491"/>
      <c r="BG25" s="491"/>
      <c r="BH25" s="491"/>
      <c r="BI25" s="491"/>
      <c r="BJ25" s="491"/>
      <c r="BK25" s="491"/>
      <c r="BL25" s="491"/>
      <c r="BM25" s="491"/>
      <c r="BN25" s="491"/>
      <c r="BO25" s="491"/>
      <c r="BP25" s="491"/>
      <c r="BQ25" s="491"/>
      <c r="BR25" s="491"/>
      <c r="BS25" s="491"/>
      <c r="BT25" s="491"/>
      <c r="BU25" s="491"/>
    </row>
    <row r="26" spans="1:73" s="481" customFormat="1" ht="22.5" customHeight="1">
      <c r="A26" s="465"/>
      <c r="B26" s="334" t="s">
        <v>532</v>
      </c>
      <c r="C26" s="352">
        <f>+'45'!C26+'44'!C26+'43'!C26+'42'!C26+'41'!C26</f>
        <v>4131</v>
      </c>
      <c r="D26" s="353">
        <f>+'45'!D26+'44'!D26+'43'!D26+'42'!D26+'41'!D26</f>
        <v>4421</v>
      </c>
      <c r="E26" s="353">
        <f>+'45'!E26+'44'!E26+'43'!E26+'42'!E26+'41'!E26</f>
        <v>4891</v>
      </c>
      <c r="F26" s="353">
        <f>+'45'!F26+'44'!F26+'43'!F26+'42'!F26+'41'!F26</f>
        <v>3367</v>
      </c>
      <c r="G26" s="352">
        <f>+'45'!G26+'44'!G26+'43'!G26+'42'!G26+'41'!G26</f>
        <v>711</v>
      </c>
      <c r="H26" s="353">
        <f>+'45'!H26+'44'!H26+'43'!H26+'42'!H26+'41'!H26</f>
        <v>841</v>
      </c>
      <c r="I26" s="353">
        <f>+'45'!I26+'44'!I26+'43'!I26+'42'!I26+'41'!I26</f>
        <v>843</v>
      </c>
      <c r="J26" s="353">
        <f>+'45'!J26+'44'!J26+'43'!J26+'42'!J26+'41'!J26</f>
        <v>426</v>
      </c>
      <c r="K26" s="352">
        <f>+'45'!K26+'44'!K26+'43'!K26+'42'!K26+'41'!K26</f>
        <v>1085</v>
      </c>
      <c r="L26" s="353">
        <f>+'45'!L26+'44'!L26+'43'!L26+'42'!L26+'41'!L26</f>
        <v>1000</v>
      </c>
      <c r="M26" s="353">
        <f>+'45'!M26+'44'!M26+'43'!M26+'42'!M26+'41'!M26</f>
        <v>917</v>
      </c>
      <c r="N26" s="353">
        <f>+'45'!N26+'44'!N26+'43'!N26+'42'!N26+'41'!N26</f>
        <v>473</v>
      </c>
      <c r="O26" s="352">
        <f>+'45'!O26+'44'!O26+'43'!O26+'42'!O26+'41'!O26</f>
        <v>743</v>
      </c>
      <c r="P26" s="353">
        <f>+'45'!P26+'44'!P26+'43'!P26+'42'!P26+'41'!P26</f>
        <v>673</v>
      </c>
      <c r="Q26" s="353">
        <f>+'45'!Q26+'44'!Q26+'43'!Q26+'42'!Q26+'41'!Q26</f>
        <v>740</v>
      </c>
      <c r="R26" s="353">
        <f>+'45'!R26+'44'!R26+'43'!R26+'42'!R26+'41'!R26</f>
        <v>129</v>
      </c>
      <c r="S26" s="352">
        <f>+'45'!S26+'44'!S26+'43'!S26+'42'!S26+'41'!S26</f>
        <v>185</v>
      </c>
      <c r="T26" s="353">
        <f>+'45'!T26+'44'!T26+'43'!T26+'42'!T26+'41'!T26</f>
        <v>216</v>
      </c>
      <c r="U26" s="353">
        <f>+'45'!U26+'44'!U26+'43'!U26+'42'!U26+'41'!U26</f>
        <v>239</v>
      </c>
      <c r="V26" s="353">
        <f>+'45'!V26+'44'!V26+'43'!V26+'42'!V26+'41'!V26</f>
        <v>174</v>
      </c>
      <c r="W26" s="352">
        <f>+'45'!W26+'44'!W26+'43'!W26+'42'!W26+'41'!W26</f>
        <v>0</v>
      </c>
      <c r="X26" s="353">
        <f>+'45'!X26+'44'!X26+'43'!X26+'42'!X26+'41'!X26</f>
        <v>1</v>
      </c>
      <c r="Y26" s="353">
        <f>+'45'!Y26+'44'!Y26+'43'!Y26+'42'!Y26+'41'!Y26</f>
        <v>0</v>
      </c>
      <c r="Z26" s="466">
        <f>+'45'!Z26+'44'!Z26+'43'!Z26+'42'!Z26+'41'!Z26</f>
        <v>0</v>
      </c>
      <c r="AA26" s="353">
        <f t="shared" si="18"/>
        <v>6855</v>
      </c>
      <c r="AB26" s="353">
        <f t="shared" si="18"/>
        <v>7152</v>
      </c>
      <c r="AC26" s="353">
        <f t="shared" si="18"/>
        <v>7630</v>
      </c>
      <c r="AD26" s="466">
        <f t="shared" si="18"/>
        <v>4569</v>
      </c>
      <c r="AE26" s="498"/>
      <c r="AF26" s="498"/>
      <c r="AG26" s="498"/>
      <c r="AH26" s="498"/>
      <c r="AI26" s="498"/>
      <c r="AJ26" s="498"/>
      <c r="AK26" s="498"/>
      <c r="AL26" s="498"/>
      <c r="AM26" s="498"/>
      <c r="AN26" s="498"/>
      <c r="AO26" s="498"/>
      <c r="AP26" s="498"/>
      <c r="AQ26" s="498"/>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row>
    <row r="27" spans="1:73" s="481" customFormat="1" ht="22.5" customHeight="1">
      <c r="A27" s="465"/>
      <c r="B27" s="293" t="s">
        <v>1500</v>
      </c>
      <c r="C27" s="352">
        <f>+'45'!C27+'44'!C27+'43'!C27+'42'!C27+'41'!C27</f>
        <v>1170</v>
      </c>
      <c r="D27" s="353">
        <f>+'45'!D27+'44'!D27+'43'!D27+'42'!D27+'41'!D27</f>
        <v>1506</v>
      </c>
      <c r="E27" s="353">
        <f>+'45'!E27+'44'!E27+'43'!E27+'42'!E27+'41'!E27</f>
        <v>1978</v>
      </c>
      <c r="F27" s="353">
        <f>+'45'!F27+'44'!F27+'43'!F27+'42'!F27+'41'!F27</f>
        <v>230</v>
      </c>
      <c r="G27" s="352">
        <f>+'45'!G27+'44'!G27+'43'!G27+'42'!G27+'41'!G27</f>
        <v>0</v>
      </c>
      <c r="H27" s="353">
        <f>+'45'!H27+'44'!H27+'43'!H27+'42'!H27+'41'!H27</f>
        <v>0</v>
      </c>
      <c r="I27" s="353">
        <f>+'45'!I27+'44'!I27+'43'!I27+'42'!I27+'41'!I27</f>
        <v>0</v>
      </c>
      <c r="J27" s="353">
        <f>+'45'!J27+'44'!J27+'43'!J27+'42'!J27+'41'!J27</f>
        <v>0</v>
      </c>
      <c r="K27" s="352">
        <f>+'45'!K27+'44'!K27+'43'!K27+'42'!K27+'41'!K27</f>
        <v>0</v>
      </c>
      <c r="L27" s="353">
        <f>+'45'!L27+'44'!L27+'43'!L27+'42'!L27+'41'!L27</f>
        <v>0</v>
      </c>
      <c r="M27" s="353">
        <f>+'45'!M27+'44'!M27+'43'!M27+'42'!M27+'41'!M27</f>
        <v>0</v>
      </c>
      <c r="N27" s="353">
        <f>+'45'!N27+'44'!N27+'43'!N27+'42'!N27+'41'!N27</f>
        <v>0</v>
      </c>
      <c r="O27" s="352">
        <f>+'45'!O27+'44'!O27+'43'!O27+'42'!O27+'41'!O27</f>
        <v>0</v>
      </c>
      <c r="P27" s="353">
        <f>+'45'!P27+'44'!P27+'43'!P27+'42'!P27+'41'!P27</f>
        <v>0</v>
      </c>
      <c r="Q27" s="353">
        <f>+'45'!Q27+'44'!Q27+'43'!Q27+'42'!Q27+'41'!Q27</f>
        <v>0</v>
      </c>
      <c r="R27" s="353">
        <f>+'45'!R27+'44'!R27+'43'!R27+'42'!R27+'41'!R27</f>
        <v>0</v>
      </c>
      <c r="S27" s="352">
        <f>+'45'!S27+'44'!S27+'43'!S27+'42'!S27+'41'!S27</f>
        <v>0</v>
      </c>
      <c r="T27" s="353">
        <f>+'45'!T27+'44'!T27+'43'!T27+'42'!T27+'41'!T27</f>
        <v>0</v>
      </c>
      <c r="U27" s="353">
        <f>+'45'!U27+'44'!U27+'43'!U27+'42'!U27+'41'!U27</f>
        <v>0</v>
      </c>
      <c r="V27" s="353">
        <f>+'45'!V27+'44'!V27+'43'!V27+'42'!V27+'41'!V27</f>
        <v>0</v>
      </c>
      <c r="W27" s="352">
        <f>+'45'!W27+'44'!W27+'43'!W27+'42'!W27+'41'!W27</f>
        <v>0</v>
      </c>
      <c r="X27" s="353">
        <f>+'45'!X27+'44'!X27+'43'!X27+'42'!X27+'41'!X27</f>
        <v>0</v>
      </c>
      <c r="Y27" s="353">
        <f>+'45'!Y27+'44'!Y27+'43'!Y27+'42'!Y27+'41'!Y27</f>
        <v>0</v>
      </c>
      <c r="Z27" s="466">
        <f>+'45'!Z27+'44'!Z27+'43'!Z27+'42'!Z27+'41'!Z27</f>
        <v>0</v>
      </c>
      <c r="AA27" s="353">
        <f t="shared" si="18"/>
        <v>1170</v>
      </c>
      <c r="AB27" s="353">
        <f t="shared" ref="AB27:AB29" si="19">+X27+T27+P27+L27+H27+D27</f>
        <v>1506</v>
      </c>
      <c r="AC27" s="353">
        <f t="shared" ref="AC27:AC29" si="20">+Y27+U27+Q27+M27+I27+E27</f>
        <v>1978</v>
      </c>
      <c r="AD27" s="466">
        <f t="shared" si="18"/>
        <v>230</v>
      </c>
      <c r="AE27" s="498"/>
      <c r="AF27" s="498"/>
      <c r="AG27" s="498"/>
      <c r="AH27" s="498"/>
      <c r="AI27" s="498"/>
      <c r="AJ27" s="498"/>
      <c r="AK27" s="498"/>
      <c r="AL27" s="498"/>
      <c r="AM27" s="498"/>
      <c r="AN27" s="498"/>
      <c r="AO27" s="498"/>
      <c r="AP27" s="498"/>
      <c r="AQ27" s="498"/>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row>
    <row r="28" spans="1:73" s="481" customFormat="1" ht="22.5" customHeight="1">
      <c r="A28" s="465"/>
      <c r="B28" s="293" t="s">
        <v>1191</v>
      </c>
      <c r="C28" s="352">
        <f>+'45'!C28+'44'!C28+'43'!C28+'42'!C28+'41'!C28</f>
        <v>140</v>
      </c>
      <c r="D28" s="353">
        <f>+'45'!D28+'44'!D28+'43'!D28+'42'!D28+'41'!D28</f>
        <v>0</v>
      </c>
      <c r="E28" s="353">
        <f>+'45'!E28+'44'!E28+'43'!E28+'42'!E28+'41'!E28</f>
        <v>0</v>
      </c>
      <c r="F28" s="353">
        <f>+'45'!F28+'44'!F28+'43'!F28+'42'!F28+'41'!F28</f>
        <v>0</v>
      </c>
      <c r="G28" s="352">
        <f>+'45'!G28+'44'!G28+'43'!G28+'42'!G28+'41'!G28</f>
        <v>0</v>
      </c>
      <c r="H28" s="353">
        <f>+'45'!H28+'44'!H28+'43'!H28+'42'!H28+'41'!H28</f>
        <v>0</v>
      </c>
      <c r="I28" s="353">
        <f>+'45'!I28+'44'!I28+'43'!I28+'42'!I28+'41'!I28</f>
        <v>0</v>
      </c>
      <c r="J28" s="353">
        <f>+'45'!J28+'44'!J28+'43'!J28+'42'!J28+'41'!J28</f>
        <v>0</v>
      </c>
      <c r="K28" s="352">
        <f>+'45'!K28+'44'!K28+'43'!K28+'42'!K28+'41'!K28</f>
        <v>0</v>
      </c>
      <c r="L28" s="353">
        <f>+'45'!L28+'44'!L28+'43'!L28+'42'!L28+'41'!L28</f>
        <v>0</v>
      </c>
      <c r="M28" s="353">
        <f>+'45'!M28+'44'!M28+'43'!M28+'42'!M28+'41'!M28</f>
        <v>0</v>
      </c>
      <c r="N28" s="353">
        <f>+'45'!N28+'44'!N28+'43'!N28+'42'!N28+'41'!N28</f>
        <v>0</v>
      </c>
      <c r="O28" s="352">
        <f>+'45'!O28+'44'!O28+'43'!O28+'42'!O28+'41'!O28</f>
        <v>0</v>
      </c>
      <c r="P28" s="353">
        <f>+'45'!P28+'44'!P28+'43'!P28+'42'!P28+'41'!P28</f>
        <v>0</v>
      </c>
      <c r="Q28" s="353">
        <f>+'45'!Q28+'44'!Q28+'43'!Q28+'42'!Q28+'41'!Q28</f>
        <v>0</v>
      </c>
      <c r="R28" s="353">
        <f>+'45'!R28+'44'!R28+'43'!R28+'42'!R28+'41'!R28</f>
        <v>0</v>
      </c>
      <c r="S28" s="352">
        <f>+'45'!S28+'44'!S28+'43'!S28+'42'!S28+'41'!S28</f>
        <v>328</v>
      </c>
      <c r="T28" s="353">
        <f>+'45'!T28+'44'!T28+'43'!T28+'42'!T28+'41'!T28</f>
        <v>316</v>
      </c>
      <c r="U28" s="353">
        <f>+'45'!U28+'44'!U28+'43'!U28+'42'!U28+'41'!U28</f>
        <v>337</v>
      </c>
      <c r="V28" s="353">
        <f>+'45'!V28+'44'!V28+'43'!V28+'42'!V28+'41'!V28</f>
        <v>169</v>
      </c>
      <c r="W28" s="352">
        <f>+'45'!W28+'44'!W28+'43'!W28+'42'!W28+'41'!W28</f>
        <v>0</v>
      </c>
      <c r="X28" s="353">
        <f>+'45'!X28+'44'!X28+'43'!X28+'42'!X28+'41'!X28</f>
        <v>0</v>
      </c>
      <c r="Y28" s="353">
        <f>+'45'!Y28+'44'!Y28+'43'!Y28+'42'!Y28+'41'!Y28</f>
        <v>0</v>
      </c>
      <c r="Z28" s="466">
        <f>+'45'!Z28+'44'!Z28+'43'!Z28+'42'!Z28+'41'!Z28</f>
        <v>0</v>
      </c>
      <c r="AA28" s="353">
        <f t="shared" si="18"/>
        <v>468</v>
      </c>
      <c r="AB28" s="353">
        <f t="shared" si="19"/>
        <v>316</v>
      </c>
      <c r="AC28" s="353">
        <f t="shared" si="20"/>
        <v>337</v>
      </c>
      <c r="AD28" s="466">
        <f t="shared" si="18"/>
        <v>169</v>
      </c>
      <c r="AE28" s="498"/>
      <c r="AF28" s="498"/>
      <c r="AG28" s="498"/>
      <c r="AH28" s="498"/>
      <c r="AI28" s="498"/>
      <c r="AJ28" s="498"/>
      <c r="AK28" s="498"/>
      <c r="AL28" s="498"/>
      <c r="AM28" s="498"/>
      <c r="AN28" s="498"/>
      <c r="AO28" s="498"/>
      <c r="AP28" s="498"/>
      <c r="AQ28" s="498"/>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row>
    <row r="29" spans="1:73" s="481" customFormat="1" ht="22.5" customHeight="1">
      <c r="A29" s="465"/>
      <c r="B29" s="293" t="s">
        <v>1499</v>
      </c>
      <c r="C29" s="352">
        <f>+'45'!C29+'44'!C29+'43'!C29+'42'!C29+'41'!C29</f>
        <v>277</v>
      </c>
      <c r="D29" s="353">
        <f>+'45'!D29+'44'!D29+'43'!D29+'42'!D29+'41'!D29</f>
        <v>78</v>
      </c>
      <c r="E29" s="353">
        <f>+'45'!E29+'44'!E29+'43'!E29+'42'!E29+'41'!E29</f>
        <v>348</v>
      </c>
      <c r="F29" s="353">
        <f>+'45'!F29+'44'!F29+'43'!F29+'42'!F29+'41'!F29</f>
        <v>0</v>
      </c>
      <c r="G29" s="352">
        <f>+'45'!G29+'44'!G29+'43'!G29+'42'!G29+'41'!G29</f>
        <v>762</v>
      </c>
      <c r="H29" s="353">
        <f>+'45'!H29+'44'!H29+'43'!H29+'42'!H29+'41'!H29</f>
        <v>2335</v>
      </c>
      <c r="I29" s="353">
        <f>+'45'!I29+'44'!I29+'43'!I29+'42'!I29+'41'!I29</f>
        <v>3129</v>
      </c>
      <c r="J29" s="353">
        <f>+'45'!J29+'44'!J29+'43'!J29+'42'!J29+'41'!J29</f>
        <v>3737</v>
      </c>
      <c r="K29" s="352">
        <f>+'45'!K29+'44'!K29+'43'!K29+'42'!K29+'41'!K29</f>
        <v>0</v>
      </c>
      <c r="L29" s="353">
        <f>+'45'!L29+'44'!L29+'43'!L29+'42'!L29+'41'!L29</f>
        <v>0</v>
      </c>
      <c r="M29" s="353">
        <f>+'45'!M29+'44'!M29+'43'!M29+'42'!M29+'41'!M29</f>
        <v>0</v>
      </c>
      <c r="N29" s="353">
        <f>+'45'!N29+'44'!N29+'43'!N29+'42'!N29+'41'!N29</f>
        <v>0</v>
      </c>
      <c r="O29" s="352">
        <f>+'45'!O29+'44'!O29+'43'!O29+'42'!O29+'41'!O29</f>
        <v>0</v>
      </c>
      <c r="P29" s="353">
        <f>+'45'!P29+'44'!P29+'43'!P29+'42'!P29+'41'!P29</f>
        <v>0</v>
      </c>
      <c r="Q29" s="353">
        <f>+'45'!Q29+'44'!Q29+'43'!Q29+'42'!Q29+'41'!Q29</f>
        <v>0</v>
      </c>
      <c r="R29" s="353">
        <f>+'45'!R29+'44'!R29+'43'!R29+'42'!R29+'41'!R29</f>
        <v>0</v>
      </c>
      <c r="S29" s="352">
        <f>+'45'!S29+'44'!S29+'43'!S29+'42'!S29+'41'!S29</f>
        <v>265</v>
      </c>
      <c r="T29" s="353">
        <f>+'45'!T29+'44'!T29+'43'!T29+'42'!T29+'41'!T29</f>
        <v>488</v>
      </c>
      <c r="U29" s="353">
        <f>+'45'!U29+'44'!U29+'43'!U29+'42'!U29+'41'!U29</f>
        <v>1393</v>
      </c>
      <c r="V29" s="353">
        <f>+'45'!V29+'44'!V29+'43'!V29+'42'!V29+'41'!V29</f>
        <v>319</v>
      </c>
      <c r="W29" s="352">
        <f>+'45'!W29+'44'!W29+'43'!W29+'42'!W29+'41'!W29</f>
        <v>0</v>
      </c>
      <c r="X29" s="353">
        <f>+'45'!X29+'44'!X29+'43'!X29+'42'!X29+'41'!X29</f>
        <v>760</v>
      </c>
      <c r="Y29" s="353">
        <f>+'45'!Y29+'44'!Y29+'43'!Y29+'42'!Y29+'41'!Y29</f>
        <v>0</v>
      </c>
      <c r="Z29" s="466">
        <f>+'45'!Z29+'44'!Z29+'43'!Z29+'42'!Z29+'41'!Z29</f>
        <v>0</v>
      </c>
      <c r="AA29" s="353">
        <f t="shared" si="18"/>
        <v>1304</v>
      </c>
      <c r="AB29" s="353">
        <f t="shared" si="19"/>
        <v>3661</v>
      </c>
      <c r="AC29" s="353">
        <f t="shared" si="20"/>
        <v>4870</v>
      </c>
      <c r="AD29" s="466">
        <f t="shared" si="18"/>
        <v>4056</v>
      </c>
      <c r="AE29" s="498"/>
      <c r="AF29" s="498"/>
      <c r="AG29" s="498"/>
      <c r="AH29" s="498"/>
      <c r="AI29" s="498"/>
      <c r="AJ29" s="498"/>
      <c r="AK29" s="498"/>
      <c r="AL29" s="498"/>
      <c r="AM29" s="498"/>
      <c r="AN29" s="498"/>
      <c r="AO29" s="498"/>
      <c r="AP29" s="498"/>
      <c r="AQ29" s="498"/>
      <c r="AR29" s="491"/>
      <c r="AS29" s="491"/>
      <c r="AT29" s="491"/>
      <c r="AU29" s="491"/>
      <c r="AV29" s="491"/>
      <c r="AW29" s="491"/>
      <c r="AX29" s="491"/>
      <c r="AY29" s="491"/>
      <c r="AZ29" s="491"/>
      <c r="BA29" s="491"/>
      <c r="BB29" s="491"/>
      <c r="BC29" s="491"/>
      <c r="BD29" s="491"/>
      <c r="BE29" s="491"/>
      <c r="BF29" s="491"/>
      <c r="BG29" s="491"/>
      <c r="BH29" s="491"/>
      <c r="BI29" s="491"/>
      <c r="BJ29" s="491"/>
      <c r="BK29" s="491"/>
      <c r="BL29" s="491"/>
      <c r="BM29" s="491"/>
      <c r="BN29" s="491"/>
      <c r="BO29" s="491"/>
      <c r="BP29" s="491"/>
      <c r="BQ29" s="491"/>
      <c r="BR29" s="491"/>
      <c r="BS29" s="491"/>
      <c r="BT29" s="491"/>
      <c r="BU29" s="491"/>
    </row>
    <row r="30" spans="1:73" s="481" customFormat="1" ht="22.5" customHeight="1">
      <c r="A30" s="465"/>
      <c r="B30" s="334" t="s">
        <v>812</v>
      </c>
      <c r="C30" s="352">
        <f>+'45'!C30+'44'!C30+'43'!C30+'42'!C30+'41'!C30</f>
        <v>9794</v>
      </c>
      <c r="D30" s="353">
        <f>+'45'!D30+'44'!D30+'43'!D30+'42'!D30+'41'!D30</f>
        <v>10352</v>
      </c>
      <c r="E30" s="353">
        <f>+'45'!E30+'44'!E30+'43'!E30+'42'!E30+'41'!E30</f>
        <v>10109</v>
      </c>
      <c r="F30" s="353">
        <f>+'45'!F30+'44'!F30+'43'!F30+'42'!F30+'41'!F30</f>
        <v>5544</v>
      </c>
      <c r="G30" s="352">
        <f>+'45'!G30+'44'!G30+'43'!G30+'42'!G30+'41'!G30</f>
        <v>2219</v>
      </c>
      <c r="H30" s="353">
        <f>+'45'!H30+'44'!H30+'43'!H30+'42'!H30+'41'!H30</f>
        <v>2430</v>
      </c>
      <c r="I30" s="353">
        <f>+'45'!I30+'44'!I30+'43'!I30+'42'!I30+'41'!I30</f>
        <v>2995</v>
      </c>
      <c r="J30" s="353">
        <f>+'45'!J30+'44'!J30+'43'!J30+'42'!J30+'41'!J30</f>
        <v>1321</v>
      </c>
      <c r="K30" s="352">
        <f>+'45'!K30+'44'!K30+'43'!K30+'42'!K30+'41'!K30</f>
        <v>2763</v>
      </c>
      <c r="L30" s="353">
        <f>+'45'!L30+'44'!L30+'43'!L30+'42'!L30+'41'!L30</f>
        <v>2991</v>
      </c>
      <c r="M30" s="353">
        <f>+'45'!M30+'44'!M30+'43'!M30+'42'!M30+'41'!M30</f>
        <v>2810</v>
      </c>
      <c r="N30" s="353">
        <f>+'45'!N30+'44'!N30+'43'!N30+'42'!N30+'41'!N30</f>
        <v>1697</v>
      </c>
      <c r="O30" s="352">
        <f>+'45'!O30+'44'!O30+'43'!O30+'42'!O30+'41'!O30</f>
        <v>1894</v>
      </c>
      <c r="P30" s="353">
        <f>+'45'!P30+'44'!P30+'43'!P30+'42'!P30+'41'!P30</f>
        <v>1557</v>
      </c>
      <c r="Q30" s="353">
        <f>+'45'!Q30+'44'!Q30+'43'!Q30+'42'!Q30+'41'!Q30</f>
        <v>1601</v>
      </c>
      <c r="R30" s="353">
        <f>+'45'!R30+'44'!R30+'43'!R30+'42'!R30+'41'!R30</f>
        <v>452</v>
      </c>
      <c r="S30" s="352">
        <f>+'45'!S30+'44'!S30+'43'!S30+'42'!S30+'41'!S30</f>
        <v>593</v>
      </c>
      <c r="T30" s="353">
        <f>+'45'!T30+'44'!T30+'43'!T30+'42'!T30+'41'!T30</f>
        <v>622</v>
      </c>
      <c r="U30" s="353">
        <f>+'45'!U30+'44'!U30+'43'!U30+'42'!U30+'41'!U30</f>
        <v>644</v>
      </c>
      <c r="V30" s="353">
        <f>+'45'!V30+'44'!V30+'43'!V30+'42'!V30+'41'!V30</f>
        <v>364</v>
      </c>
      <c r="W30" s="352">
        <f>+'45'!W30+'44'!W30+'43'!W30+'42'!W30+'41'!W30</f>
        <v>0</v>
      </c>
      <c r="X30" s="353">
        <f>+'45'!X30+'44'!X30+'43'!X30+'42'!X30+'41'!X30</f>
        <v>1</v>
      </c>
      <c r="Y30" s="353">
        <f>+'45'!Y30+'44'!Y30+'43'!Y30+'42'!Y30+'41'!Y30</f>
        <v>0</v>
      </c>
      <c r="Z30" s="466">
        <f>+'45'!Z30+'44'!Z30+'43'!Z30+'42'!Z30+'41'!Z30</f>
        <v>0</v>
      </c>
      <c r="AA30" s="353">
        <f>+W30+S30+O30+K30+G30+C30</f>
        <v>17263</v>
      </c>
      <c r="AB30" s="353">
        <f>+X30+T30+P30+L30+H30+D30</f>
        <v>17953</v>
      </c>
      <c r="AC30" s="353">
        <f>+Y30+U30+Q30+M30+I30+E30</f>
        <v>18159</v>
      </c>
      <c r="AD30" s="466">
        <f>+Z30+V30+R30+N30+J30+F30</f>
        <v>9378</v>
      </c>
      <c r="AE30" s="498"/>
      <c r="AF30" s="498"/>
      <c r="AG30" s="498"/>
      <c r="AH30" s="498"/>
      <c r="AI30" s="498"/>
      <c r="AJ30" s="498"/>
      <c r="AK30" s="498"/>
      <c r="AL30" s="498"/>
      <c r="AM30" s="498"/>
      <c r="AN30" s="498"/>
      <c r="AO30" s="498"/>
      <c r="AP30" s="498"/>
      <c r="AQ30" s="498"/>
      <c r="AR30" s="491"/>
      <c r="AS30" s="491"/>
      <c r="AT30" s="491"/>
      <c r="AU30" s="491"/>
      <c r="AV30" s="491"/>
      <c r="AW30" s="491"/>
      <c r="AX30" s="491"/>
      <c r="AY30" s="491"/>
      <c r="AZ30" s="491"/>
      <c r="BA30" s="491"/>
      <c r="BB30" s="491"/>
      <c r="BC30" s="491"/>
      <c r="BD30" s="491"/>
      <c r="BE30" s="491"/>
      <c r="BF30" s="491"/>
      <c r="BG30" s="491"/>
      <c r="BH30" s="491"/>
      <c r="BI30" s="491"/>
      <c r="BJ30" s="491"/>
      <c r="BK30" s="491"/>
      <c r="BL30" s="491"/>
      <c r="BM30" s="491"/>
      <c r="BN30" s="491"/>
      <c r="BO30" s="491"/>
      <c r="BP30" s="491"/>
      <c r="BQ30" s="491"/>
      <c r="BR30" s="491"/>
      <c r="BS30" s="491"/>
      <c r="BT30" s="491"/>
      <c r="BU30" s="491"/>
    </row>
    <row r="31" spans="1:73" s="481" customFormat="1" ht="22.5" customHeight="1">
      <c r="A31" s="465"/>
      <c r="B31" s="465" t="s">
        <v>625</v>
      </c>
      <c r="C31" s="352">
        <f t="shared" ref="C31:AD31" si="21">SUM(C24:C30)</f>
        <v>92852</v>
      </c>
      <c r="D31" s="353">
        <f t="shared" si="21"/>
        <v>90498</v>
      </c>
      <c r="E31" s="353">
        <f t="shared" si="21"/>
        <v>96811</v>
      </c>
      <c r="F31" s="466">
        <f t="shared" si="21"/>
        <v>48287</v>
      </c>
      <c r="G31" s="352">
        <f t="shared" si="21"/>
        <v>15988</v>
      </c>
      <c r="H31" s="353">
        <f t="shared" si="21"/>
        <v>18518</v>
      </c>
      <c r="I31" s="353">
        <f t="shared" si="21"/>
        <v>19025</v>
      </c>
      <c r="J31" s="466">
        <f>SUM(J24:J30)</f>
        <v>11072</v>
      </c>
      <c r="K31" s="352">
        <f t="shared" si="21"/>
        <v>25456</v>
      </c>
      <c r="L31" s="353">
        <f t="shared" si="21"/>
        <v>25937</v>
      </c>
      <c r="M31" s="353">
        <f t="shared" si="21"/>
        <v>25295</v>
      </c>
      <c r="N31" s="353">
        <f>SUM(N24:N30)</f>
        <v>13123</v>
      </c>
      <c r="O31" s="352">
        <f t="shared" si="21"/>
        <v>15984</v>
      </c>
      <c r="P31" s="353">
        <f t="shared" si="21"/>
        <v>16519</v>
      </c>
      <c r="Q31" s="353">
        <f t="shared" si="21"/>
        <v>15977</v>
      </c>
      <c r="R31" s="353">
        <f>SUM(R24:R30)</f>
        <v>4581</v>
      </c>
      <c r="S31" s="352">
        <f t="shared" si="21"/>
        <v>6084</v>
      </c>
      <c r="T31" s="353">
        <f t="shared" si="21"/>
        <v>6235</v>
      </c>
      <c r="U31" s="353">
        <f t="shared" si="21"/>
        <v>6804</v>
      </c>
      <c r="V31" s="353">
        <f>SUM(V24:V30)</f>
        <v>3332</v>
      </c>
      <c r="W31" s="352">
        <f t="shared" si="21"/>
        <v>0</v>
      </c>
      <c r="X31" s="353">
        <f t="shared" si="21"/>
        <v>765</v>
      </c>
      <c r="Y31" s="353">
        <f t="shared" si="21"/>
        <v>0</v>
      </c>
      <c r="Z31" s="466">
        <f>SUM(Z24:Z30)</f>
        <v>1</v>
      </c>
      <c r="AA31" s="353">
        <f t="shared" si="21"/>
        <v>156364</v>
      </c>
      <c r="AB31" s="353">
        <f t="shared" si="21"/>
        <v>158472</v>
      </c>
      <c r="AC31" s="353">
        <f t="shared" si="21"/>
        <v>163912</v>
      </c>
      <c r="AD31" s="466">
        <f t="shared" si="21"/>
        <v>80396</v>
      </c>
      <c r="AE31" s="498"/>
      <c r="AF31" s="498"/>
      <c r="AG31" s="498"/>
      <c r="AH31" s="498"/>
      <c r="AI31" s="498"/>
      <c r="AJ31" s="498"/>
      <c r="AK31" s="498"/>
      <c r="AL31" s="498"/>
      <c r="AM31" s="498"/>
      <c r="AN31" s="498"/>
      <c r="AO31" s="498"/>
      <c r="AP31" s="498"/>
      <c r="AQ31" s="498"/>
      <c r="AR31" s="491"/>
      <c r="AS31" s="491"/>
      <c r="AT31" s="491"/>
      <c r="AU31" s="491"/>
      <c r="AV31" s="491"/>
      <c r="AW31" s="491"/>
      <c r="AX31" s="491"/>
      <c r="AY31" s="491"/>
      <c r="AZ31" s="491"/>
      <c r="BA31" s="491"/>
      <c r="BB31" s="491"/>
      <c r="BC31" s="491"/>
      <c r="BD31" s="491"/>
      <c r="BE31" s="491"/>
      <c r="BF31" s="491"/>
      <c r="BG31" s="491"/>
      <c r="BH31" s="491"/>
      <c r="BI31" s="491"/>
      <c r="BJ31" s="491"/>
      <c r="BK31" s="491"/>
      <c r="BL31" s="491"/>
      <c r="BM31" s="491"/>
      <c r="BN31" s="491"/>
      <c r="BO31" s="491"/>
      <c r="BP31" s="491"/>
      <c r="BQ31" s="491"/>
      <c r="BR31" s="491"/>
      <c r="BS31" s="491"/>
      <c r="BT31" s="491"/>
      <c r="BU31" s="491"/>
    </row>
    <row r="32" spans="1:73" s="481" customFormat="1" ht="22.5" customHeight="1">
      <c r="A32" s="465" t="s">
        <v>527</v>
      </c>
      <c r="B32" s="334" t="s">
        <v>813</v>
      </c>
      <c r="C32" s="352">
        <f>+'45'!C32+'44'!C32+'43'!C32+'42'!C32+'41'!C32</f>
        <v>23396</v>
      </c>
      <c r="D32" s="353">
        <f>+'45'!D32+'44'!D32+'43'!D32+'42'!D32+'41'!D32</f>
        <v>23037</v>
      </c>
      <c r="E32" s="353">
        <f>+'45'!E32+'44'!E32+'43'!E32+'42'!E32+'41'!E32</f>
        <v>23530</v>
      </c>
      <c r="F32" s="353">
        <f>+'45'!F32+'44'!F32+'43'!F32+'42'!F32+'41'!F32</f>
        <v>14581</v>
      </c>
      <c r="G32" s="352">
        <f>+'45'!G32+'44'!G32+'43'!G32+'42'!G32+'41'!G32</f>
        <v>4523</v>
      </c>
      <c r="H32" s="353">
        <f>+'45'!H32+'44'!H32+'43'!H32+'42'!H32+'41'!H32</f>
        <v>3872</v>
      </c>
      <c r="I32" s="353">
        <f>+'45'!I32+'44'!I32+'43'!I32+'42'!I32+'41'!I32</f>
        <v>3569</v>
      </c>
      <c r="J32" s="353">
        <f>+'45'!J32+'44'!J32+'43'!J32+'42'!J32+'41'!J32</f>
        <v>1809</v>
      </c>
      <c r="K32" s="352">
        <f>+'45'!K32+'44'!K32+'43'!K32+'42'!K32+'41'!K32</f>
        <v>6052</v>
      </c>
      <c r="L32" s="353">
        <f>+'45'!L32+'44'!L32+'43'!L32+'42'!L32+'41'!L32</f>
        <v>5439</v>
      </c>
      <c r="M32" s="353">
        <f>+'45'!M32+'44'!M32+'43'!M32+'42'!M32+'41'!M32</f>
        <v>5178</v>
      </c>
      <c r="N32" s="353">
        <f>+'45'!N32+'44'!N32+'43'!N32+'42'!N32+'41'!N32</f>
        <v>4054</v>
      </c>
      <c r="O32" s="352">
        <f>+'45'!O32+'44'!O32+'43'!O32+'42'!O32+'41'!O32</f>
        <v>3567</v>
      </c>
      <c r="P32" s="353">
        <f>+'45'!P32+'44'!P32+'43'!P32+'42'!P32+'41'!P32</f>
        <v>3759</v>
      </c>
      <c r="Q32" s="353">
        <f>+'45'!Q32+'44'!Q32+'43'!Q32+'42'!Q32+'41'!Q32</f>
        <v>3281</v>
      </c>
      <c r="R32" s="353">
        <f>+'45'!R32+'44'!R32+'43'!R32+'42'!R32+'41'!R32</f>
        <v>1013</v>
      </c>
      <c r="S32" s="352">
        <f>+'45'!S32+'44'!S32+'43'!S32+'42'!S32+'41'!S32</f>
        <v>850</v>
      </c>
      <c r="T32" s="353">
        <f>+'45'!T32+'44'!T32+'43'!T32+'42'!T32+'41'!T32</f>
        <v>1029</v>
      </c>
      <c r="U32" s="353">
        <f>+'45'!U32+'44'!U32+'43'!U32+'42'!U32+'41'!U32</f>
        <v>1185</v>
      </c>
      <c r="V32" s="353">
        <f>+'45'!V32+'44'!V32+'43'!V32+'42'!V32+'41'!V32</f>
        <v>667</v>
      </c>
      <c r="W32" s="352">
        <f>+'45'!W32+'44'!W32+'43'!W32+'42'!W32+'41'!W32</f>
        <v>0</v>
      </c>
      <c r="X32" s="353">
        <f>+'45'!X32+'44'!X32+'43'!X32+'42'!X32+'41'!X32</f>
        <v>3</v>
      </c>
      <c r="Y32" s="353">
        <f>+'45'!Y32+'44'!Y32+'43'!Y32+'42'!Y32+'41'!Y32</f>
        <v>0</v>
      </c>
      <c r="Z32" s="466">
        <f>+'45'!Z32+'44'!Z32+'43'!Z32+'42'!Z32+'41'!Z32</f>
        <v>0</v>
      </c>
      <c r="AA32" s="353">
        <f t="shared" ref="AA32:AD36" si="22">+W32+S32+O32+K32+G32+C32</f>
        <v>38388</v>
      </c>
      <c r="AB32" s="353">
        <f t="shared" si="22"/>
        <v>37139</v>
      </c>
      <c r="AC32" s="353">
        <f t="shared" si="22"/>
        <v>36743</v>
      </c>
      <c r="AD32" s="466">
        <f t="shared" si="22"/>
        <v>22124</v>
      </c>
      <c r="AE32" s="498"/>
      <c r="AF32" s="498"/>
      <c r="AG32" s="498"/>
      <c r="AH32" s="498"/>
      <c r="AI32" s="498"/>
      <c r="AJ32" s="498"/>
      <c r="AK32" s="498"/>
      <c r="AL32" s="498"/>
      <c r="AM32" s="498"/>
      <c r="AN32" s="498"/>
      <c r="AO32" s="498"/>
      <c r="AP32" s="498"/>
      <c r="AQ32" s="498"/>
      <c r="AR32" s="491"/>
      <c r="AS32" s="491"/>
      <c r="AT32" s="491"/>
      <c r="AU32" s="491"/>
      <c r="AV32" s="491"/>
      <c r="AW32" s="491"/>
      <c r="AX32" s="491"/>
      <c r="AY32" s="491"/>
      <c r="AZ32" s="491"/>
      <c r="BA32" s="491"/>
      <c r="BB32" s="491"/>
      <c r="BC32" s="491"/>
      <c r="BD32" s="491"/>
      <c r="BE32" s="491"/>
      <c r="BF32" s="491"/>
      <c r="BG32" s="491"/>
      <c r="BH32" s="491"/>
      <c r="BI32" s="491"/>
      <c r="BJ32" s="491"/>
      <c r="BK32" s="491"/>
      <c r="BL32" s="491"/>
      <c r="BM32" s="491"/>
      <c r="BN32" s="491"/>
      <c r="BO32" s="491"/>
      <c r="BP32" s="491"/>
      <c r="BQ32" s="491"/>
      <c r="BR32" s="491"/>
      <c r="BS32" s="491"/>
      <c r="BT32" s="491"/>
      <c r="BU32" s="491"/>
    </row>
    <row r="33" spans="1:73" s="481" customFormat="1" ht="22.5" customHeight="1">
      <c r="A33" s="465"/>
      <c r="B33" s="293" t="s">
        <v>1455</v>
      </c>
      <c r="C33" s="352">
        <f>+'45'!C33+'44'!C33+'43'!C33+'42'!C33+'41'!C33</f>
        <v>1973</v>
      </c>
      <c r="D33" s="353">
        <f>+'45'!D33+'44'!D33+'43'!D33+'42'!D33+'41'!D33</f>
        <v>4597</v>
      </c>
      <c r="E33" s="353">
        <f>+'45'!E33+'44'!E33+'43'!E33+'42'!E33+'41'!E33</f>
        <v>4122</v>
      </c>
      <c r="F33" s="353">
        <f>+'45'!F33+'44'!F33+'43'!F33+'42'!F33+'41'!F33</f>
        <v>2709</v>
      </c>
      <c r="G33" s="352">
        <f>+'45'!G33+'44'!G33+'43'!G33+'42'!G33+'41'!G33</f>
        <v>611</v>
      </c>
      <c r="H33" s="353">
        <f>+'45'!H33+'44'!H33+'43'!H33+'42'!H33+'41'!H33</f>
        <v>1101</v>
      </c>
      <c r="I33" s="353">
        <f>+'45'!I33+'44'!I33+'43'!I33+'42'!I33+'41'!I33</f>
        <v>772</v>
      </c>
      <c r="J33" s="353">
        <f>+'45'!J33+'44'!J33+'43'!J33+'42'!J33+'41'!J33</f>
        <v>273</v>
      </c>
      <c r="K33" s="352">
        <f>+'45'!K33+'44'!K33+'43'!K33+'42'!K33+'41'!K33</f>
        <v>215</v>
      </c>
      <c r="L33" s="353">
        <f>+'45'!L33+'44'!L33+'43'!L33+'42'!L33+'41'!L33</f>
        <v>677</v>
      </c>
      <c r="M33" s="353">
        <f>+'45'!M33+'44'!M33+'43'!M33+'42'!M33+'41'!M33</f>
        <v>538</v>
      </c>
      <c r="N33" s="353">
        <f>+'45'!N33+'44'!N33+'43'!N33+'42'!N33+'41'!N33</f>
        <v>588</v>
      </c>
      <c r="O33" s="352">
        <f>+'45'!O33+'44'!O33+'43'!O33+'42'!O33+'41'!O33</f>
        <v>28</v>
      </c>
      <c r="P33" s="353">
        <f>+'45'!P33+'44'!P33+'43'!P33+'42'!P33+'41'!P33</f>
        <v>204</v>
      </c>
      <c r="Q33" s="353">
        <f>+'45'!Q33+'44'!Q33+'43'!Q33+'42'!Q33+'41'!Q33</f>
        <v>168</v>
      </c>
      <c r="R33" s="353">
        <f>+'45'!R33+'44'!R33+'43'!R33+'42'!R33+'41'!R33</f>
        <v>103</v>
      </c>
      <c r="S33" s="352">
        <f>+'45'!S33+'44'!S33+'43'!S33+'42'!S33+'41'!S33</f>
        <v>12</v>
      </c>
      <c r="T33" s="353">
        <f>+'45'!T33+'44'!T33+'43'!T33+'42'!T33+'41'!T33</f>
        <v>42</v>
      </c>
      <c r="U33" s="353">
        <f>+'45'!U33+'44'!U33+'43'!U33+'42'!U33+'41'!U33</f>
        <v>265</v>
      </c>
      <c r="V33" s="353">
        <f>+'45'!V33+'44'!V33+'43'!V33+'42'!V33+'41'!V33</f>
        <v>165</v>
      </c>
      <c r="W33" s="352">
        <f>+'45'!W33+'44'!W33+'43'!W33+'42'!W33+'41'!W33</f>
        <v>7</v>
      </c>
      <c r="X33" s="353">
        <f>+'45'!X33+'44'!X33+'43'!X33+'42'!X33+'41'!X33</f>
        <v>3</v>
      </c>
      <c r="Y33" s="353">
        <f>+'45'!Y33+'44'!Y33+'43'!Y33+'42'!Y33+'41'!Y33</f>
        <v>0</v>
      </c>
      <c r="Z33" s="466">
        <f>+'45'!Z33+'44'!Z33+'43'!Z33+'42'!Z33+'41'!Z33</f>
        <v>0</v>
      </c>
      <c r="AA33" s="353">
        <f t="shared" si="22"/>
        <v>2846</v>
      </c>
      <c r="AB33" s="353">
        <f t="shared" si="22"/>
        <v>6624</v>
      </c>
      <c r="AC33" s="353">
        <f t="shared" si="22"/>
        <v>5865</v>
      </c>
      <c r="AD33" s="466">
        <f t="shared" si="22"/>
        <v>3838</v>
      </c>
      <c r="AE33" s="498"/>
      <c r="AF33" s="498"/>
      <c r="AG33" s="498"/>
      <c r="AH33" s="498"/>
      <c r="AI33" s="498"/>
      <c r="AJ33" s="498"/>
      <c r="AK33" s="498"/>
      <c r="AL33" s="498"/>
      <c r="AM33" s="498"/>
      <c r="AN33" s="498"/>
      <c r="AO33" s="498"/>
      <c r="AP33" s="498"/>
      <c r="AQ33" s="498"/>
      <c r="AR33" s="491"/>
      <c r="AS33" s="491"/>
      <c r="AT33" s="491"/>
      <c r="AU33" s="491"/>
      <c r="AV33" s="491"/>
      <c r="AW33" s="491"/>
      <c r="AX33" s="491"/>
      <c r="AY33" s="491"/>
      <c r="AZ33" s="491"/>
      <c r="BA33" s="491"/>
      <c r="BB33" s="491"/>
      <c r="BC33" s="491"/>
      <c r="BD33" s="491"/>
      <c r="BE33" s="491"/>
      <c r="BF33" s="491"/>
      <c r="BG33" s="491"/>
      <c r="BH33" s="491"/>
      <c r="BI33" s="491"/>
      <c r="BJ33" s="491"/>
      <c r="BK33" s="491"/>
      <c r="BL33" s="491"/>
      <c r="BM33" s="491"/>
      <c r="BN33" s="491"/>
      <c r="BO33" s="491"/>
      <c r="BP33" s="491"/>
      <c r="BQ33" s="491"/>
      <c r="BR33" s="491"/>
      <c r="BS33" s="491"/>
      <c r="BT33" s="491"/>
      <c r="BU33" s="491"/>
    </row>
    <row r="34" spans="1:73" s="481" customFormat="1" ht="22.5" customHeight="1">
      <c r="A34" s="465"/>
      <c r="B34" s="293" t="s">
        <v>1182</v>
      </c>
      <c r="C34" s="352">
        <f>+'45'!C34+'44'!C34+'43'!C34+'42'!C34+'41'!C34</f>
        <v>4086</v>
      </c>
      <c r="D34" s="353">
        <f>+'45'!D34+'44'!D34+'43'!D34+'42'!D34+'41'!D34</f>
        <v>3948</v>
      </c>
      <c r="E34" s="353">
        <f>+'45'!E34+'44'!E34+'43'!E34+'42'!E34+'41'!E34</f>
        <v>5127</v>
      </c>
      <c r="F34" s="353">
        <f>+'45'!F34+'44'!F34+'43'!F34+'42'!F34+'41'!F34</f>
        <v>2989</v>
      </c>
      <c r="G34" s="352">
        <f>+'45'!G34+'44'!G34+'43'!G34+'42'!G34+'41'!G34</f>
        <v>858</v>
      </c>
      <c r="H34" s="353">
        <f>+'45'!H34+'44'!H34+'43'!H34+'42'!H34+'41'!H34</f>
        <v>696</v>
      </c>
      <c r="I34" s="353">
        <f>+'45'!I34+'44'!I34+'43'!I34+'42'!I34+'41'!I34</f>
        <v>1121</v>
      </c>
      <c r="J34" s="353">
        <f>+'45'!J34+'44'!J34+'43'!J34+'42'!J34+'41'!J34</f>
        <v>834</v>
      </c>
      <c r="K34" s="352">
        <f>+'45'!K34+'44'!K34+'43'!K34+'42'!K34+'41'!K34</f>
        <v>854</v>
      </c>
      <c r="L34" s="353">
        <f>+'45'!L34+'44'!L34+'43'!L34+'42'!L34+'41'!L34</f>
        <v>1009</v>
      </c>
      <c r="M34" s="353">
        <f>+'45'!M34+'44'!M34+'43'!M34+'42'!M34+'41'!M34</f>
        <v>1055</v>
      </c>
      <c r="N34" s="353">
        <f>+'45'!N34+'44'!N34+'43'!N34+'42'!N34+'41'!N34</f>
        <v>677</v>
      </c>
      <c r="O34" s="352">
        <f>+'45'!O34+'44'!O34+'43'!O34+'42'!O34+'41'!O34</f>
        <v>642</v>
      </c>
      <c r="P34" s="353">
        <f>+'45'!P34+'44'!P34+'43'!P34+'42'!P34+'41'!P34</f>
        <v>686</v>
      </c>
      <c r="Q34" s="353">
        <f>+'45'!Q34+'44'!Q34+'43'!Q34+'42'!Q34+'41'!Q34</f>
        <v>538</v>
      </c>
      <c r="R34" s="353">
        <f>+'45'!R34+'44'!R34+'43'!R34+'42'!R34+'41'!R34</f>
        <v>452</v>
      </c>
      <c r="S34" s="352">
        <f>+'45'!S34+'44'!S34+'43'!S34+'42'!S34+'41'!S34</f>
        <v>33</v>
      </c>
      <c r="T34" s="353">
        <f>+'45'!T34+'44'!T34+'43'!T34+'42'!T34+'41'!T34</f>
        <v>47</v>
      </c>
      <c r="U34" s="353">
        <f>+'45'!U34+'44'!U34+'43'!U34+'42'!U34+'41'!U34</f>
        <v>42</v>
      </c>
      <c r="V34" s="353">
        <f>+'45'!V34+'44'!V34+'43'!V34+'42'!V34+'41'!V34</f>
        <v>38</v>
      </c>
      <c r="W34" s="352">
        <f>+'45'!W34+'44'!W34+'43'!W34+'42'!W34+'41'!W34</f>
        <v>428</v>
      </c>
      <c r="X34" s="353">
        <f>+'45'!X34+'44'!X34+'43'!X34+'42'!X34+'41'!X34</f>
        <v>484</v>
      </c>
      <c r="Y34" s="353">
        <f>+'45'!Y34+'44'!Y34+'43'!Y34+'42'!Y34+'41'!Y34</f>
        <v>0</v>
      </c>
      <c r="Z34" s="466">
        <f>+'45'!Z34+'44'!Z34+'43'!Z34+'42'!Z34+'41'!Z34</f>
        <v>1</v>
      </c>
      <c r="AA34" s="353">
        <f t="shared" ref="AA34:AD35" si="23">+W34+S34+O34+K34+G34+C34</f>
        <v>6901</v>
      </c>
      <c r="AB34" s="353">
        <f t="shared" si="23"/>
        <v>6870</v>
      </c>
      <c r="AC34" s="353">
        <f t="shared" si="23"/>
        <v>7883</v>
      </c>
      <c r="AD34" s="466">
        <f t="shared" si="23"/>
        <v>4991</v>
      </c>
      <c r="AE34" s="498"/>
      <c r="AF34" s="498"/>
      <c r="AG34" s="498"/>
      <c r="AH34" s="498"/>
      <c r="AI34" s="498"/>
      <c r="AJ34" s="498"/>
      <c r="AK34" s="498"/>
      <c r="AL34" s="498"/>
      <c r="AM34" s="498"/>
      <c r="AN34" s="498"/>
      <c r="AO34" s="498"/>
      <c r="AP34" s="498"/>
      <c r="AQ34" s="498"/>
      <c r="AR34" s="491"/>
      <c r="AS34" s="491"/>
      <c r="AT34" s="491"/>
      <c r="AU34" s="491"/>
      <c r="AV34" s="491"/>
      <c r="AW34" s="491"/>
      <c r="AX34" s="491"/>
      <c r="AY34" s="491"/>
      <c r="AZ34" s="491"/>
      <c r="BA34" s="491"/>
      <c r="BB34" s="491"/>
      <c r="BC34" s="491"/>
      <c r="BD34" s="491"/>
      <c r="BE34" s="491"/>
      <c r="BF34" s="491"/>
      <c r="BG34" s="491"/>
      <c r="BH34" s="491"/>
      <c r="BI34" s="491"/>
      <c r="BJ34" s="491"/>
      <c r="BK34" s="491"/>
      <c r="BL34" s="491"/>
      <c r="BM34" s="491"/>
      <c r="BN34" s="491"/>
      <c r="BO34" s="491"/>
      <c r="BP34" s="491"/>
      <c r="BQ34" s="491"/>
      <c r="BR34" s="491"/>
      <c r="BS34" s="491"/>
      <c r="BT34" s="491"/>
      <c r="BU34" s="491"/>
    </row>
    <row r="35" spans="1:73" s="481" customFormat="1" ht="22.5" customHeight="1">
      <c r="A35" s="465"/>
      <c r="B35" s="247" t="s">
        <v>1237</v>
      </c>
      <c r="C35" s="352"/>
      <c r="D35" s="353">
        <f>+'45'!D35+'44'!D35+'43'!D35+'42'!D35+'41'!D35</f>
        <v>0</v>
      </c>
      <c r="E35" s="353">
        <f>+'45'!E35+'44'!E35+'43'!E35+'42'!E35+'41'!E35</f>
        <v>125</v>
      </c>
      <c r="F35" s="466">
        <f>+'45'!F35+'44'!F35+'43'!F35+'42'!F35+'41'!F35</f>
        <v>45</v>
      </c>
      <c r="G35" s="353">
        <f>+'45'!G35+'44'!G35+'43'!G35+'42'!G35+'41'!G35</f>
        <v>14</v>
      </c>
      <c r="H35" s="353">
        <f>+'45'!H35+'44'!H35+'43'!H35+'42'!H35+'41'!H35</f>
        <v>0</v>
      </c>
      <c r="I35" s="353">
        <f>+'45'!I35+'44'!I35+'43'!I35+'42'!I35+'41'!I35</f>
        <v>63</v>
      </c>
      <c r="J35" s="353">
        <f>+'45'!J35+'44'!J35+'43'!J35+'42'!J35+'41'!J35</f>
        <v>102</v>
      </c>
      <c r="K35" s="352"/>
      <c r="L35" s="353">
        <f>+'45'!L35+'44'!L35+'43'!L35+'42'!L35+'41'!L35</f>
        <v>0</v>
      </c>
      <c r="M35" s="353">
        <f>+'45'!M35+'44'!M35+'43'!M35+'42'!M35+'41'!M35</f>
        <v>0</v>
      </c>
      <c r="N35" s="353">
        <f>+'45'!N35+'44'!N35+'43'!N35+'42'!N35+'41'!N35</f>
        <v>0</v>
      </c>
      <c r="O35" s="352"/>
      <c r="P35" s="353">
        <f>+'45'!P35+'44'!P35+'43'!P35+'42'!P35+'41'!P35</f>
        <v>0</v>
      </c>
      <c r="Q35" s="353">
        <f>+'45'!Q35+'44'!Q35+'43'!Q35+'42'!Q35+'41'!Q35</f>
        <v>0</v>
      </c>
      <c r="R35" s="466">
        <f>+'45'!R35+'44'!R35+'43'!R35+'42'!R35+'41'!R35</f>
        <v>0</v>
      </c>
      <c r="S35" s="353">
        <f>+'45'!S35+'44'!S35+'43'!S35+'42'!S35+'41'!S35</f>
        <v>973</v>
      </c>
      <c r="T35" s="353">
        <f>+'45'!T35+'44'!T35+'43'!T35+'42'!T35+'41'!T35</f>
        <v>1009</v>
      </c>
      <c r="U35" s="353">
        <f>+'45'!U35+'44'!U35+'43'!U35+'42'!U35+'41'!U35</f>
        <v>1187</v>
      </c>
      <c r="V35" s="353">
        <f>+'45'!V35+'44'!V35+'43'!V35+'42'!V35+'41'!V35</f>
        <v>1279</v>
      </c>
      <c r="W35" s="352"/>
      <c r="X35" s="353">
        <f>+'45'!X35+'44'!X35+'43'!X35+'42'!X35+'41'!X35</f>
        <v>0</v>
      </c>
      <c r="Y35" s="353">
        <f>+'45'!Y35+'44'!Y35+'43'!Y35+'42'!Y35+'41'!Y35</f>
        <v>0</v>
      </c>
      <c r="Z35" s="466">
        <f>+'45'!Z35+'44'!Z35+'43'!Z35+'42'!Z35+'41'!Z35</f>
        <v>0</v>
      </c>
      <c r="AA35" s="353">
        <f>+W35+S35+O35+K35+G35+C35</f>
        <v>987</v>
      </c>
      <c r="AB35" s="353">
        <f t="shared" si="23"/>
        <v>1009</v>
      </c>
      <c r="AC35" s="353">
        <f t="shared" si="23"/>
        <v>1375</v>
      </c>
      <c r="AD35" s="466">
        <f t="shared" si="23"/>
        <v>1426</v>
      </c>
      <c r="AE35" s="498"/>
      <c r="AF35" s="498"/>
      <c r="AG35" s="498"/>
      <c r="AH35" s="498"/>
      <c r="AI35" s="498"/>
      <c r="AJ35" s="498"/>
      <c r="AK35" s="498"/>
      <c r="AL35" s="498"/>
      <c r="AM35" s="498"/>
      <c r="AN35" s="498"/>
      <c r="AO35" s="498"/>
      <c r="AP35" s="498"/>
      <c r="AQ35" s="498"/>
      <c r="AR35" s="491"/>
      <c r="AS35" s="491"/>
      <c r="AT35" s="491"/>
      <c r="AU35" s="491"/>
      <c r="AV35" s="491"/>
      <c r="AW35" s="491"/>
      <c r="AX35" s="491"/>
      <c r="AY35" s="491"/>
      <c r="AZ35" s="491"/>
      <c r="BA35" s="491"/>
      <c r="BB35" s="491"/>
      <c r="BC35" s="491"/>
      <c r="BD35" s="491"/>
      <c r="BE35" s="491"/>
      <c r="BF35" s="491"/>
      <c r="BG35" s="491"/>
      <c r="BH35" s="491"/>
      <c r="BI35" s="491"/>
      <c r="BJ35" s="491"/>
      <c r="BK35" s="491"/>
      <c r="BL35" s="491"/>
      <c r="BM35" s="491"/>
      <c r="BN35" s="491"/>
      <c r="BO35" s="491"/>
      <c r="BP35" s="491"/>
      <c r="BQ35" s="491"/>
      <c r="BR35" s="491"/>
      <c r="BS35" s="491"/>
      <c r="BT35" s="491"/>
      <c r="BU35" s="491"/>
    </row>
    <row r="36" spans="1:73" s="481" customFormat="1" ht="22.5" customHeight="1">
      <c r="A36" s="465"/>
      <c r="B36" s="465" t="s">
        <v>933</v>
      </c>
      <c r="C36" s="352">
        <f>+'45'!C36+'44'!C36+'43'!C36+'42'!C36+'41'!C36</f>
        <v>659</v>
      </c>
      <c r="D36" s="353">
        <f>+'45'!D36+'44'!D36+'43'!D36+'42'!D36+'41'!D36</f>
        <v>27</v>
      </c>
      <c r="E36" s="353">
        <f>+'45'!E36+'44'!E36+'43'!E36+'42'!E36+'41'!E36</f>
        <v>0</v>
      </c>
      <c r="F36" s="353">
        <f>+'45'!F36+'44'!F36+'43'!F36+'42'!F36+'41'!F36</f>
        <v>0</v>
      </c>
      <c r="G36" s="352">
        <f>+'45'!G36+'44'!G36+'43'!G36+'42'!G36+'41'!G36</f>
        <v>1121</v>
      </c>
      <c r="H36" s="353">
        <f>+'45'!H36+'44'!H36+'43'!H36+'42'!H36+'41'!H36</f>
        <v>0</v>
      </c>
      <c r="I36" s="353">
        <f>+'45'!I36+'44'!I36+'43'!I36+'42'!I36+'41'!I36</f>
        <v>0</v>
      </c>
      <c r="J36" s="353">
        <f>+'45'!J36+'44'!J36+'43'!J36+'42'!J36+'41'!J36</f>
        <v>0</v>
      </c>
      <c r="K36" s="352">
        <f>+'45'!K36+'44'!K36+'43'!K36+'42'!K36+'41'!K36</f>
        <v>0</v>
      </c>
      <c r="L36" s="353">
        <f>+'45'!L36+'44'!L36+'43'!L36+'42'!L36+'41'!L36</f>
        <v>0</v>
      </c>
      <c r="M36" s="353">
        <f>+'45'!M36+'44'!M36+'43'!M36+'42'!M36+'41'!M36</f>
        <v>0</v>
      </c>
      <c r="N36" s="353">
        <f>+'45'!N36+'44'!N36+'43'!N36+'42'!N36+'41'!N36</f>
        <v>0</v>
      </c>
      <c r="O36" s="352">
        <f>+'45'!O36+'44'!O36+'43'!O36+'42'!O36+'41'!O36</f>
        <v>0</v>
      </c>
      <c r="P36" s="353">
        <f>+'45'!P36+'44'!P36+'43'!P36+'42'!P36+'41'!P36</f>
        <v>0</v>
      </c>
      <c r="Q36" s="353">
        <f>+'45'!Q36+'44'!Q36+'43'!Q36+'42'!Q36+'41'!Q36</f>
        <v>0</v>
      </c>
      <c r="R36" s="353">
        <f>+'45'!R36+'44'!R36+'43'!R36+'42'!R36+'41'!R36</f>
        <v>0</v>
      </c>
      <c r="S36" s="352">
        <f>+'45'!S36+'44'!S36+'43'!S36+'42'!S36+'41'!S36</f>
        <v>322</v>
      </c>
      <c r="T36" s="353">
        <f>+'45'!T36+'44'!T36+'43'!T36+'42'!T36+'41'!T36</f>
        <v>0</v>
      </c>
      <c r="U36" s="353">
        <f>+'45'!U36+'44'!U36+'43'!U36+'42'!U36+'41'!U36</f>
        <v>0</v>
      </c>
      <c r="V36" s="353">
        <f>+'45'!V36+'44'!V36+'43'!V36+'42'!V36+'41'!V36</f>
        <v>0</v>
      </c>
      <c r="W36" s="352">
        <f>+'45'!W36+'44'!W36+'43'!W36+'42'!W36+'41'!W36</f>
        <v>0</v>
      </c>
      <c r="X36" s="353">
        <f>+'45'!X36+'44'!X36+'43'!X36+'42'!X36+'41'!X36</f>
        <v>0</v>
      </c>
      <c r="Y36" s="353">
        <f>+'45'!Y36+'44'!Y36+'43'!Y36+'42'!Y36+'41'!Y36</f>
        <v>0</v>
      </c>
      <c r="Z36" s="466">
        <f>+'45'!Z36+'44'!Z36+'43'!Z36+'42'!Z36+'41'!Z36</f>
        <v>0</v>
      </c>
      <c r="AA36" s="353">
        <f t="shared" si="22"/>
        <v>2102</v>
      </c>
      <c r="AB36" s="353">
        <f t="shared" si="22"/>
        <v>27</v>
      </c>
      <c r="AC36" s="353">
        <f t="shared" si="22"/>
        <v>0</v>
      </c>
      <c r="AD36" s="466">
        <f t="shared" si="22"/>
        <v>0</v>
      </c>
      <c r="AE36" s="498"/>
      <c r="AF36" s="498"/>
      <c r="AG36" s="498"/>
      <c r="AH36" s="498"/>
      <c r="AI36" s="498"/>
      <c r="AJ36" s="498"/>
      <c r="AK36" s="498"/>
      <c r="AL36" s="498"/>
      <c r="AM36" s="498"/>
      <c r="AN36" s="498"/>
      <c r="AO36" s="498"/>
      <c r="AP36" s="498"/>
      <c r="AQ36" s="498"/>
      <c r="AR36" s="491"/>
      <c r="AS36" s="491"/>
      <c r="AT36" s="491"/>
      <c r="AU36" s="491"/>
      <c r="AV36" s="491"/>
      <c r="AW36" s="491"/>
      <c r="AX36" s="491"/>
      <c r="AY36" s="491"/>
      <c r="AZ36" s="491"/>
      <c r="BA36" s="491"/>
      <c r="BB36" s="491"/>
      <c r="BC36" s="491"/>
      <c r="BD36" s="491"/>
      <c r="BE36" s="491"/>
      <c r="BF36" s="491"/>
      <c r="BG36" s="491"/>
      <c r="BH36" s="491"/>
      <c r="BI36" s="491"/>
      <c r="BJ36" s="491"/>
      <c r="BK36" s="491"/>
      <c r="BL36" s="491"/>
      <c r="BM36" s="491"/>
      <c r="BN36" s="491"/>
      <c r="BO36" s="491"/>
      <c r="BP36" s="491"/>
      <c r="BQ36" s="491"/>
      <c r="BR36" s="491"/>
      <c r="BS36" s="491"/>
      <c r="BT36" s="491"/>
      <c r="BU36" s="491"/>
    </row>
    <row r="37" spans="1:73" s="481" customFormat="1" ht="22.5" customHeight="1">
      <c r="A37" s="465"/>
      <c r="B37" s="465" t="s">
        <v>625</v>
      </c>
      <c r="C37" s="352">
        <f t="shared" ref="C37:AD37" si="24">SUM(C32:C36)</f>
        <v>30114</v>
      </c>
      <c r="D37" s="353">
        <f t="shared" si="24"/>
        <v>31609</v>
      </c>
      <c r="E37" s="353">
        <f t="shared" si="24"/>
        <v>32904</v>
      </c>
      <c r="F37" s="466">
        <f t="shared" si="24"/>
        <v>20324</v>
      </c>
      <c r="G37" s="352">
        <f t="shared" si="24"/>
        <v>7127</v>
      </c>
      <c r="H37" s="353">
        <f t="shared" si="24"/>
        <v>5669</v>
      </c>
      <c r="I37" s="353">
        <f t="shared" si="24"/>
        <v>5525</v>
      </c>
      <c r="J37" s="466">
        <f>SUM(J32:J36)</f>
        <v>3018</v>
      </c>
      <c r="K37" s="352">
        <f t="shared" si="24"/>
        <v>7121</v>
      </c>
      <c r="L37" s="353">
        <f t="shared" si="24"/>
        <v>7125</v>
      </c>
      <c r="M37" s="353">
        <f t="shared" si="24"/>
        <v>6771</v>
      </c>
      <c r="N37" s="353">
        <f t="shared" si="24"/>
        <v>5319</v>
      </c>
      <c r="O37" s="352">
        <f t="shared" si="24"/>
        <v>4237</v>
      </c>
      <c r="P37" s="353">
        <f t="shared" si="24"/>
        <v>4649</v>
      </c>
      <c r="Q37" s="353">
        <f t="shared" si="24"/>
        <v>3987</v>
      </c>
      <c r="R37" s="353">
        <f t="shared" si="24"/>
        <v>1568</v>
      </c>
      <c r="S37" s="352">
        <f t="shared" si="24"/>
        <v>2190</v>
      </c>
      <c r="T37" s="353">
        <f t="shared" si="24"/>
        <v>2127</v>
      </c>
      <c r="U37" s="353">
        <f t="shared" si="24"/>
        <v>2679</v>
      </c>
      <c r="V37" s="353">
        <f t="shared" si="24"/>
        <v>2149</v>
      </c>
      <c r="W37" s="352">
        <f t="shared" si="24"/>
        <v>435</v>
      </c>
      <c r="X37" s="353">
        <f t="shared" si="24"/>
        <v>490</v>
      </c>
      <c r="Y37" s="353">
        <f t="shared" si="24"/>
        <v>0</v>
      </c>
      <c r="Z37" s="466">
        <f t="shared" si="24"/>
        <v>1</v>
      </c>
      <c r="AA37" s="353">
        <f t="shared" si="24"/>
        <v>51224</v>
      </c>
      <c r="AB37" s="353">
        <f t="shared" si="24"/>
        <v>51669</v>
      </c>
      <c r="AC37" s="353">
        <f t="shared" si="24"/>
        <v>51866</v>
      </c>
      <c r="AD37" s="466">
        <f t="shared" si="24"/>
        <v>32379</v>
      </c>
      <c r="AE37" s="498"/>
      <c r="AF37" s="498"/>
      <c r="AG37" s="498"/>
      <c r="AH37" s="498"/>
      <c r="AI37" s="498"/>
      <c r="AJ37" s="498"/>
      <c r="AK37" s="498"/>
      <c r="AL37" s="498"/>
      <c r="AM37" s="498"/>
      <c r="AN37" s="498"/>
      <c r="AO37" s="498"/>
      <c r="AP37" s="498"/>
      <c r="AQ37" s="498"/>
      <c r="AR37" s="491"/>
      <c r="AS37" s="491"/>
      <c r="AT37" s="491"/>
      <c r="AU37" s="491"/>
      <c r="AV37" s="491"/>
      <c r="AW37" s="491"/>
      <c r="AX37" s="491"/>
      <c r="AY37" s="491"/>
      <c r="AZ37" s="491"/>
      <c r="BA37" s="491"/>
      <c r="BB37" s="491"/>
      <c r="BC37" s="491"/>
      <c r="BD37" s="491"/>
      <c r="BE37" s="491"/>
      <c r="BF37" s="491"/>
      <c r="BG37" s="491"/>
      <c r="BH37" s="491"/>
      <c r="BI37" s="491"/>
      <c r="BJ37" s="491"/>
      <c r="BK37" s="491"/>
      <c r="BL37" s="491"/>
      <c r="BM37" s="491"/>
      <c r="BN37" s="491"/>
      <c r="BO37" s="491"/>
      <c r="BP37" s="491"/>
      <c r="BQ37" s="491"/>
      <c r="BR37" s="491"/>
      <c r="BS37" s="491"/>
      <c r="BT37" s="491"/>
      <c r="BU37" s="491"/>
    </row>
    <row r="38" spans="1:73" s="481" customFormat="1" ht="22.5" customHeight="1">
      <c r="A38" s="465" t="s">
        <v>528</v>
      </c>
      <c r="B38" s="293" t="s">
        <v>629</v>
      </c>
      <c r="C38" s="352">
        <f>+'45'!C38+'44'!C38+'43'!C38+'42'!C38+'41'!C38</f>
        <v>17865</v>
      </c>
      <c r="D38" s="353">
        <f>+'45'!D38+'44'!D38+'43'!D38+'42'!D38+'41'!D38</f>
        <v>17480</v>
      </c>
      <c r="E38" s="353">
        <f>+'45'!E38+'44'!E38+'43'!E38+'42'!E38+'41'!E38</f>
        <v>17331</v>
      </c>
      <c r="F38" s="353">
        <f>+'45'!F38+'44'!F38+'43'!F38+'42'!F38+'41'!F38</f>
        <v>11522</v>
      </c>
      <c r="G38" s="352">
        <f>+'45'!G38+'44'!G38+'43'!G38+'42'!G38+'41'!G38</f>
        <v>3499</v>
      </c>
      <c r="H38" s="353">
        <f>+'45'!H38+'44'!H38+'43'!H38+'42'!H38+'41'!H38</f>
        <v>3347</v>
      </c>
      <c r="I38" s="353">
        <f>+'45'!I38+'44'!I38+'43'!I38+'42'!I38+'41'!I38</f>
        <v>3660</v>
      </c>
      <c r="J38" s="353">
        <f>+'45'!J38+'44'!J38+'43'!J38+'42'!J38+'41'!J38</f>
        <v>1220</v>
      </c>
      <c r="K38" s="352">
        <f>+'45'!K38+'44'!K38+'43'!K38+'42'!K38+'41'!K38</f>
        <v>5495</v>
      </c>
      <c r="L38" s="353">
        <f>+'45'!L38+'44'!L38+'43'!L38+'42'!L38+'41'!L38</f>
        <v>6378</v>
      </c>
      <c r="M38" s="353">
        <f>+'45'!M38+'44'!M38+'43'!M38+'42'!M38+'41'!M38</f>
        <v>5878</v>
      </c>
      <c r="N38" s="353">
        <f>+'45'!N38+'44'!N38+'43'!N38+'42'!N38+'41'!N38</f>
        <v>3792</v>
      </c>
      <c r="O38" s="352">
        <f>+'45'!O38+'44'!O38+'43'!O38+'42'!O38+'41'!O38</f>
        <v>2640</v>
      </c>
      <c r="P38" s="353">
        <f>+'45'!P38+'44'!P38+'43'!P38+'42'!P38+'41'!P38</f>
        <v>2934</v>
      </c>
      <c r="Q38" s="353">
        <f>+'45'!Q38+'44'!Q38+'43'!Q38+'42'!Q38+'41'!Q38</f>
        <v>3384</v>
      </c>
      <c r="R38" s="353">
        <f>+'45'!R38+'44'!R38+'43'!R38+'42'!R38+'41'!R38</f>
        <v>746</v>
      </c>
      <c r="S38" s="352">
        <f>+'45'!S38+'44'!S38+'43'!S38+'42'!S38+'41'!S38</f>
        <v>297</v>
      </c>
      <c r="T38" s="353">
        <f>+'45'!T38+'44'!T38+'43'!T38+'42'!T38+'41'!T38</f>
        <v>344</v>
      </c>
      <c r="U38" s="353">
        <f>+'45'!U38+'44'!U38+'43'!U38+'42'!U38+'41'!U38</f>
        <v>403</v>
      </c>
      <c r="V38" s="353">
        <f>+'45'!V38+'44'!V38+'43'!V38+'42'!V38+'41'!V38</f>
        <v>252</v>
      </c>
      <c r="W38" s="352">
        <f>+'45'!W38+'44'!W38+'43'!W38+'42'!W38+'41'!W38</f>
        <v>0</v>
      </c>
      <c r="X38" s="353">
        <f>+'45'!X38+'44'!X38+'43'!X38+'42'!X38+'41'!X38</f>
        <v>24</v>
      </c>
      <c r="Y38" s="353">
        <f>+'45'!Y38+'44'!Y38+'43'!Y38+'42'!Y38+'41'!Y38</f>
        <v>10</v>
      </c>
      <c r="Z38" s="466">
        <f>+'45'!Z38+'44'!Z38+'43'!Z38+'42'!Z38+'41'!Z38</f>
        <v>0</v>
      </c>
      <c r="AA38" s="353">
        <f t="shared" ref="AA38:AD44" si="25">+W38+S38+O38+K38+G38+C38</f>
        <v>29796</v>
      </c>
      <c r="AB38" s="353">
        <f t="shared" si="25"/>
        <v>30507</v>
      </c>
      <c r="AC38" s="353">
        <f t="shared" si="25"/>
        <v>30666</v>
      </c>
      <c r="AD38" s="466">
        <f t="shared" si="25"/>
        <v>17532</v>
      </c>
      <c r="AE38" s="498"/>
      <c r="AF38" s="498"/>
      <c r="AG38" s="498"/>
      <c r="AH38" s="498"/>
      <c r="AI38" s="498"/>
      <c r="AJ38" s="498"/>
      <c r="AK38" s="498"/>
      <c r="AL38" s="498"/>
      <c r="AM38" s="498"/>
      <c r="AN38" s="498"/>
      <c r="AO38" s="498"/>
      <c r="AP38" s="498"/>
      <c r="AQ38" s="498"/>
      <c r="AR38" s="491"/>
      <c r="AS38" s="491"/>
      <c r="AT38" s="491"/>
      <c r="AU38" s="491"/>
      <c r="AV38" s="491"/>
      <c r="AW38" s="491"/>
      <c r="AX38" s="491"/>
      <c r="AY38" s="491"/>
      <c r="AZ38" s="491"/>
      <c r="BA38" s="491"/>
      <c r="BB38" s="491"/>
      <c r="BC38" s="491"/>
      <c r="BD38" s="491"/>
      <c r="BE38" s="491"/>
      <c r="BF38" s="491"/>
      <c r="BG38" s="491"/>
      <c r="BH38" s="491"/>
      <c r="BI38" s="491"/>
      <c r="BJ38" s="491"/>
      <c r="BK38" s="491"/>
      <c r="BL38" s="491"/>
      <c r="BM38" s="491"/>
      <c r="BN38" s="491"/>
      <c r="BO38" s="491"/>
      <c r="BP38" s="491"/>
      <c r="BQ38" s="491"/>
      <c r="BR38" s="491"/>
      <c r="BS38" s="491"/>
      <c r="BT38" s="491"/>
      <c r="BU38" s="491"/>
    </row>
    <row r="39" spans="1:73" s="481" customFormat="1" ht="22.5" customHeight="1">
      <c r="A39" s="465"/>
      <c r="B39" s="334" t="s">
        <v>815</v>
      </c>
      <c r="C39" s="352">
        <f>+'45'!C39+'44'!C39+'43'!C39+'42'!C39+'41'!C39</f>
        <v>2782</v>
      </c>
      <c r="D39" s="353">
        <f>+'45'!D39+'44'!D39+'43'!D39+'42'!D39+'41'!D39</f>
        <v>3324</v>
      </c>
      <c r="E39" s="353">
        <f>+'45'!E39+'44'!E39+'43'!E39+'42'!E39+'41'!E39</f>
        <v>3499</v>
      </c>
      <c r="F39" s="353">
        <f>+'45'!F39+'44'!F39+'43'!F39+'42'!F39+'41'!F39</f>
        <v>1238</v>
      </c>
      <c r="G39" s="352">
        <f>+'45'!G39+'44'!G39+'43'!G39+'42'!G39+'41'!G39</f>
        <v>546</v>
      </c>
      <c r="H39" s="353">
        <f>+'45'!H39+'44'!H39+'43'!H39+'42'!H39+'41'!H39</f>
        <v>652</v>
      </c>
      <c r="I39" s="353">
        <f>+'45'!I39+'44'!I39+'43'!I39+'42'!I39+'41'!I39</f>
        <v>599</v>
      </c>
      <c r="J39" s="353">
        <f>+'45'!J39+'44'!J39+'43'!J39+'42'!J39+'41'!J39</f>
        <v>235</v>
      </c>
      <c r="K39" s="352">
        <f>+'45'!K39+'44'!K39+'43'!K39+'42'!K39+'41'!K39</f>
        <v>891</v>
      </c>
      <c r="L39" s="353">
        <f>+'45'!L39+'44'!L39+'43'!L39+'42'!L39+'41'!L39</f>
        <v>1032</v>
      </c>
      <c r="M39" s="353">
        <f>+'45'!M39+'44'!M39+'43'!M39+'42'!M39+'41'!M39</f>
        <v>1274</v>
      </c>
      <c r="N39" s="353">
        <f>+'45'!N39+'44'!N39+'43'!N39+'42'!N39+'41'!N39</f>
        <v>773</v>
      </c>
      <c r="O39" s="352">
        <f>+'45'!O39+'44'!O39+'43'!O39+'42'!O39+'41'!O39</f>
        <v>471</v>
      </c>
      <c r="P39" s="353">
        <f>+'45'!P39+'44'!P39+'43'!P39+'42'!P39+'41'!P39</f>
        <v>491</v>
      </c>
      <c r="Q39" s="353">
        <f>+'45'!Q39+'44'!Q39+'43'!Q39+'42'!Q39+'41'!Q39</f>
        <v>440</v>
      </c>
      <c r="R39" s="353">
        <f>+'45'!R39+'44'!R39+'43'!R39+'42'!R39+'41'!R39</f>
        <v>184</v>
      </c>
      <c r="S39" s="352">
        <f>+'45'!S39+'44'!S39+'43'!S39+'42'!S39+'41'!S39</f>
        <v>97</v>
      </c>
      <c r="T39" s="353">
        <f>+'45'!T39+'44'!T39+'43'!T39+'42'!T39+'41'!T39</f>
        <v>96</v>
      </c>
      <c r="U39" s="353">
        <f>+'45'!U39+'44'!U39+'43'!U39+'42'!U39+'41'!U39</f>
        <v>88</v>
      </c>
      <c r="V39" s="353">
        <f>+'45'!V39+'44'!V39+'43'!V39+'42'!V39+'41'!V39</f>
        <v>40</v>
      </c>
      <c r="W39" s="352">
        <f>+'45'!W39+'44'!W39+'43'!W39+'42'!W39+'41'!W39</f>
        <v>22</v>
      </c>
      <c r="X39" s="353">
        <f>+'45'!X39+'44'!X39+'43'!X39+'42'!X39+'41'!X39</f>
        <v>12</v>
      </c>
      <c r="Y39" s="353">
        <f>+'45'!Y39+'44'!Y39+'43'!Y39+'42'!Y39+'41'!Y39</f>
        <v>0</v>
      </c>
      <c r="Z39" s="466">
        <f>+'45'!Z39+'44'!Z39+'43'!Z39+'42'!Z39+'41'!Z39</f>
        <v>0</v>
      </c>
      <c r="AA39" s="353">
        <f t="shared" ref="AA39:AD40" si="26">+W39+S39+O39+K39+G39+C39</f>
        <v>4809</v>
      </c>
      <c r="AB39" s="353">
        <f t="shared" si="26"/>
        <v>5607</v>
      </c>
      <c r="AC39" s="353">
        <f t="shared" si="26"/>
        <v>5900</v>
      </c>
      <c r="AD39" s="466">
        <f t="shared" si="26"/>
        <v>2470</v>
      </c>
      <c r="AE39" s="498"/>
      <c r="AF39" s="498"/>
      <c r="AG39" s="498"/>
      <c r="AH39" s="498"/>
      <c r="AI39" s="498"/>
      <c r="AJ39" s="498"/>
      <c r="AK39" s="498"/>
      <c r="AL39" s="498"/>
      <c r="AM39" s="498"/>
      <c r="AN39" s="498"/>
      <c r="AO39" s="498"/>
      <c r="AP39" s="498"/>
      <c r="AQ39" s="498"/>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row>
    <row r="40" spans="1:73" s="481" customFormat="1" ht="22.5" customHeight="1">
      <c r="A40" s="465"/>
      <c r="B40" s="293" t="s">
        <v>1183</v>
      </c>
      <c r="C40" s="352">
        <f>+'45'!C40+'44'!C40+'43'!C40+'42'!C40+'41'!C40</f>
        <v>1566</v>
      </c>
      <c r="D40" s="353">
        <f>+'45'!D40+'44'!D40+'43'!D40+'42'!D40+'41'!D40</f>
        <v>1888</v>
      </c>
      <c r="E40" s="353">
        <f>+'45'!E40+'44'!E40+'43'!E40+'42'!E40+'41'!E40</f>
        <v>1713</v>
      </c>
      <c r="F40" s="353">
        <f>+'45'!F40+'44'!F40+'43'!F40+'42'!F40+'41'!F40</f>
        <v>1684</v>
      </c>
      <c r="G40" s="352">
        <f>+'45'!G40+'44'!G40+'43'!G40+'42'!G40+'41'!G40</f>
        <v>321</v>
      </c>
      <c r="H40" s="353">
        <f>+'45'!H40+'44'!H40+'43'!H40+'42'!H40+'41'!H40</f>
        <v>263</v>
      </c>
      <c r="I40" s="353">
        <f>+'45'!I40+'44'!I40+'43'!I40+'42'!I40+'41'!I40</f>
        <v>249</v>
      </c>
      <c r="J40" s="353">
        <f>+'45'!J40+'44'!J40+'43'!J40+'42'!J40+'41'!J40</f>
        <v>121</v>
      </c>
      <c r="K40" s="352">
        <f>+'45'!K40+'44'!K40+'43'!K40+'42'!K40+'41'!K40</f>
        <v>623</v>
      </c>
      <c r="L40" s="353">
        <f>+'45'!L40+'44'!L40+'43'!L40+'42'!L40+'41'!L40</f>
        <v>820</v>
      </c>
      <c r="M40" s="353">
        <f>+'45'!M40+'44'!M40+'43'!M40+'42'!M40+'41'!M40</f>
        <v>689</v>
      </c>
      <c r="N40" s="353">
        <f>+'45'!N40+'44'!N40+'43'!N40+'42'!N40+'41'!N40</f>
        <v>426</v>
      </c>
      <c r="O40" s="352">
        <f>+'45'!O40+'44'!O40+'43'!O40+'42'!O40+'41'!O40</f>
        <v>209</v>
      </c>
      <c r="P40" s="353">
        <f>+'45'!P40+'44'!P40+'43'!P40+'42'!P40+'41'!P40</f>
        <v>301</v>
      </c>
      <c r="Q40" s="353">
        <f>+'45'!Q40+'44'!Q40+'43'!Q40+'42'!Q40+'41'!Q40</f>
        <v>294</v>
      </c>
      <c r="R40" s="353">
        <f>+'45'!R40+'44'!R40+'43'!R40+'42'!R40+'41'!R40</f>
        <v>85</v>
      </c>
      <c r="S40" s="352">
        <f>+'45'!S40+'44'!S40+'43'!S40+'42'!S40+'41'!S40</f>
        <v>19</v>
      </c>
      <c r="T40" s="353">
        <f>+'45'!T40+'44'!T40+'43'!T40+'42'!T40+'41'!T40</f>
        <v>26</v>
      </c>
      <c r="U40" s="353">
        <f>+'45'!U40+'44'!U40+'43'!U40+'42'!U40+'41'!U40</f>
        <v>15</v>
      </c>
      <c r="V40" s="353">
        <f>+'45'!V40+'44'!V40+'43'!V40+'42'!V40+'41'!V40</f>
        <v>5</v>
      </c>
      <c r="W40" s="352">
        <f>+'45'!W40+'44'!W40+'43'!W40+'42'!W40+'41'!W40</f>
        <v>28</v>
      </c>
      <c r="X40" s="353">
        <f>+'45'!X40+'44'!X40+'43'!X40+'42'!X40+'41'!X40</f>
        <v>0</v>
      </c>
      <c r="Y40" s="353">
        <f>+'45'!Y40+'44'!Y40+'43'!Y40+'42'!Y40+'41'!Y40</f>
        <v>0</v>
      </c>
      <c r="Z40" s="466">
        <f>+'45'!Z40+'44'!Z40+'43'!Z40+'42'!Z40+'41'!Z40</f>
        <v>0</v>
      </c>
      <c r="AA40" s="353">
        <f t="shared" si="26"/>
        <v>2766</v>
      </c>
      <c r="AB40" s="353">
        <f t="shared" si="26"/>
        <v>3298</v>
      </c>
      <c r="AC40" s="353">
        <f t="shared" si="26"/>
        <v>2960</v>
      </c>
      <c r="AD40" s="466">
        <f t="shared" si="26"/>
        <v>2321</v>
      </c>
      <c r="AE40" s="498"/>
      <c r="AF40" s="498"/>
      <c r="AG40" s="498"/>
      <c r="AH40" s="498"/>
      <c r="AI40" s="498"/>
      <c r="AJ40" s="498"/>
      <c r="AK40" s="498"/>
      <c r="AL40" s="498"/>
      <c r="AM40" s="498"/>
      <c r="AN40" s="498"/>
      <c r="AO40" s="498"/>
      <c r="AP40" s="498"/>
      <c r="AQ40" s="498"/>
      <c r="AR40" s="491"/>
      <c r="AS40" s="491"/>
      <c r="AT40" s="491"/>
      <c r="AU40" s="491"/>
      <c r="AV40" s="491"/>
      <c r="AW40" s="491"/>
      <c r="AX40" s="491"/>
      <c r="AY40" s="491"/>
      <c r="AZ40" s="491"/>
      <c r="BA40" s="491"/>
      <c r="BB40" s="491"/>
      <c r="BC40" s="491"/>
      <c r="BD40" s="491"/>
      <c r="BE40" s="491"/>
      <c r="BF40" s="491"/>
      <c r="BG40" s="491"/>
      <c r="BH40" s="491"/>
      <c r="BI40" s="491"/>
      <c r="BJ40" s="491"/>
      <c r="BK40" s="491"/>
      <c r="BL40" s="491"/>
      <c r="BM40" s="491"/>
      <c r="BN40" s="491"/>
      <c r="BO40" s="491"/>
      <c r="BP40" s="491"/>
      <c r="BQ40" s="491"/>
      <c r="BR40" s="491"/>
      <c r="BS40" s="491"/>
      <c r="BT40" s="491"/>
      <c r="BU40" s="491"/>
    </row>
    <row r="41" spans="1:73" s="481" customFormat="1" ht="22.5" customHeight="1">
      <c r="A41" s="465"/>
      <c r="B41" s="465" t="s">
        <v>625</v>
      </c>
      <c r="C41" s="352">
        <f>SUM(C38:C40)</f>
        <v>22213</v>
      </c>
      <c r="D41" s="353">
        <f t="shared" ref="D41:N41" si="27">SUM(D38:D40)</f>
        <v>22692</v>
      </c>
      <c r="E41" s="353">
        <f t="shared" si="27"/>
        <v>22543</v>
      </c>
      <c r="F41" s="353">
        <f t="shared" si="27"/>
        <v>14444</v>
      </c>
      <c r="G41" s="352">
        <f t="shared" si="27"/>
        <v>4366</v>
      </c>
      <c r="H41" s="353">
        <f t="shared" si="27"/>
        <v>4262</v>
      </c>
      <c r="I41" s="353">
        <f t="shared" si="27"/>
        <v>4508</v>
      </c>
      <c r="J41" s="353">
        <f t="shared" ref="J41" si="28">SUM(J38:J40)</f>
        <v>1576</v>
      </c>
      <c r="K41" s="352">
        <f t="shared" si="27"/>
        <v>7009</v>
      </c>
      <c r="L41" s="353">
        <f t="shared" si="27"/>
        <v>8230</v>
      </c>
      <c r="M41" s="353">
        <f t="shared" si="27"/>
        <v>7841</v>
      </c>
      <c r="N41" s="353">
        <f t="shared" si="27"/>
        <v>4991</v>
      </c>
      <c r="O41" s="352">
        <f t="shared" ref="O41:AD41" si="29">SUM(O38:O40)</f>
        <v>3320</v>
      </c>
      <c r="P41" s="353">
        <f t="shared" si="29"/>
        <v>3726</v>
      </c>
      <c r="Q41" s="353">
        <f t="shared" si="29"/>
        <v>4118</v>
      </c>
      <c r="R41" s="353">
        <f t="shared" si="29"/>
        <v>1015</v>
      </c>
      <c r="S41" s="352">
        <f t="shared" si="29"/>
        <v>413</v>
      </c>
      <c r="T41" s="353">
        <f t="shared" si="29"/>
        <v>466</v>
      </c>
      <c r="U41" s="353">
        <f t="shared" si="29"/>
        <v>506</v>
      </c>
      <c r="V41" s="353">
        <f t="shared" si="29"/>
        <v>297</v>
      </c>
      <c r="W41" s="352">
        <f t="shared" si="29"/>
        <v>50</v>
      </c>
      <c r="X41" s="353">
        <f t="shared" si="29"/>
        <v>36</v>
      </c>
      <c r="Y41" s="353">
        <f t="shared" si="29"/>
        <v>10</v>
      </c>
      <c r="Z41" s="353">
        <f t="shared" si="29"/>
        <v>0</v>
      </c>
      <c r="AA41" s="352">
        <f t="shared" si="29"/>
        <v>37371</v>
      </c>
      <c r="AB41" s="353">
        <f t="shared" si="29"/>
        <v>39412</v>
      </c>
      <c r="AC41" s="353">
        <f t="shared" si="29"/>
        <v>39526</v>
      </c>
      <c r="AD41" s="466">
        <f t="shared" si="29"/>
        <v>22323</v>
      </c>
      <c r="AE41" s="498"/>
      <c r="AF41" s="498"/>
      <c r="AG41" s="498"/>
      <c r="AH41" s="498"/>
      <c r="AI41" s="498"/>
      <c r="AJ41" s="498"/>
      <c r="AK41" s="498"/>
      <c r="AL41" s="498"/>
      <c r="AM41" s="498"/>
      <c r="AN41" s="498"/>
      <c r="AO41" s="498"/>
      <c r="AP41" s="498"/>
      <c r="AQ41" s="498"/>
      <c r="AR41" s="491"/>
      <c r="AS41" s="491"/>
      <c r="AT41" s="491"/>
      <c r="AU41" s="491"/>
      <c r="AV41" s="491"/>
      <c r="AW41" s="491"/>
      <c r="AX41" s="491"/>
      <c r="AY41" s="491"/>
      <c r="AZ41" s="491"/>
      <c r="BA41" s="491"/>
      <c r="BB41" s="491"/>
      <c r="BC41" s="491"/>
      <c r="BD41" s="491"/>
      <c r="BE41" s="491"/>
      <c r="BF41" s="491"/>
      <c r="BG41" s="491"/>
      <c r="BH41" s="491"/>
      <c r="BI41" s="491"/>
      <c r="BJ41" s="491"/>
      <c r="BK41" s="491"/>
      <c r="BL41" s="491"/>
      <c r="BM41" s="491"/>
      <c r="BN41" s="491"/>
      <c r="BO41" s="491"/>
      <c r="BP41" s="491"/>
      <c r="BQ41" s="491"/>
      <c r="BR41" s="491"/>
      <c r="BS41" s="491"/>
      <c r="BT41" s="491"/>
      <c r="BU41" s="491"/>
    </row>
    <row r="42" spans="1:73" s="481" customFormat="1" ht="22.5" customHeight="1">
      <c r="A42" s="465" t="s">
        <v>529</v>
      </c>
      <c r="B42" s="334" t="s">
        <v>816</v>
      </c>
      <c r="C42" s="352">
        <f>+'45'!C42+'44'!C42+'43'!C42+'42'!C42+'41'!C42</f>
        <v>16408</v>
      </c>
      <c r="D42" s="353">
        <f>+'45'!D42+'44'!D42+'43'!D42+'42'!D42+'41'!D42</f>
        <v>16122</v>
      </c>
      <c r="E42" s="353">
        <f>+'45'!E42+'44'!E42+'43'!E42+'42'!E42+'41'!E42</f>
        <v>17417</v>
      </c>
      <c r="F42" s="353">
        <f>+'45'!F42+'44'!F42+'43'!F42+'42'!F42+'41'!F42</f>
        <v>12632</v>
      </c>
      <c r="G42" s="352">
        <f>+'45'!G42+'44'!G42+'43'!G42+'42'!G42+'41'!G42</f>
        <v>1521</v>
      </c>
      <c r="H42" s="353">
        <f>+'45'!H42+'44'!H42+'43'!H42+'42'!H42+'41'!H42</f>
        <v>1776</v>
      </c>
      <c r="I42" s="353">
        <f>+'45'!I42+'44'!I42+'43'!I42+'42'!I42+'41'!I42</f>
        <v>2196</v>
      </c>
      <c r="J42" s="353">
        <f>+'45'!J42+'44'!J42+'43'!J42+'42'!J42+'41'!J42</f>
        <v>1044</v>
      </c>
      <c r="K42" s="352">
        <f>+'45'!K42+'44'!K42+'43'!K42+'42'!K42+'41'!K42</f>
        <v>4180</v>
      </c>
      <c r="L42" s="353">
        <f>+'45'!L42+'44'!L42+'43'!L42+'42'!L42+'41'!L42</f>
        <v>4430</v>
      </c>
      <c r="M42" s="353">
        <f>+'45'!M42+'44'!M42+'43'!M42+'42'!M42+'41'!M42</f>
        <v>4463</v>
      </c>
      <c r="N42" s="353">
        <f>+'45'!N42+'44'!N42+'43'!N42+'42'!N42+'41'!N42</f>
        <v>3028</v>
      </c>
      <c r="O42" s="352">
        <f>+'45'!O42+'44'!O42+'43'!O42+'42'!O42+'41'!O42</f>
        <v>2833</v>
      </c>
      <c r="P42" s="353">
        <f>+'45'!P42+'44'!P42+'43'!P42+'42'!P42+'41'!P42</f>
        <v>2924</v>
      </c>
      <c r="Q42" s="353">
        <f>+'45'!Q42+'44'!Q42+'43'!Q42+'42'!Q42+'41'!Q42</f>
        <v>3336</v>
      </c>
      <c r="R42" s="353">
        <f>+'45'!R42+'44'!R42+'43'!R42+'42'!R42+'41'!R42</f>
        <v>795</v>
      </c>
      <c r="S42" s="352">
        <f>+'45'!S42+'44'!S42+'43'!S42+'42'!S42+'41'!S42</f>
        <v>524</v>
      </c>
      <c r="T42" s="353">
        <f>+'45'!T42+'44'!T42+'43'!T42+'42'!T42+'41'!T42</f>
        <v>687</v>
      </c>
      <c r="U42" s="353">
        <f>+'45'!U42+'44'!U42+'43'!U42+'42'!U42+'41'!U42</f>
        <v>681</v>
      </c>
      <c r="V42" s="353">
        <f>+'45'!V42+'44'!V42+'43'!V42+'42'!V42+'41'!V42</f>
        <v>624</v>
      </c>
      <c r="W42" s="352">
        <f>+'45'!W42+'44'!W42+'43'!W42+'42'!W42+'41'!W42</f>
        <v>0</v>
      </c>
      <c r="X42" s="353">
        <f>+'45'!X42+'44'!X42+'43'!X42+'42'!X42+'41'!X42</f>
        <v>0</v>
      </c>
      <c r="Y42" s="353">
        <f>+'45'!Y42+'44'!Y42+'43'!Y42+'42'!Y42+'41'!Y42</f>
        <v>0</v>
      </c>
      <c r="Z42" s="466">
        <f>+'45'!Z42+'44'!Z42+'43'!Z42+'42'!Z42+'41'!Z42</f>
        <v>0</v>
      </c>
      <c r="AA42" s="353">
        <f t="shared" si="25"/>
        <v>25466</v>
      </c>
      <c r="AB42" s="353">
        <f t="shared" si="25"/>
        <v>25939</v>
      </c>
      <c r="AC42" s="353">
        <f t="shared" si="25"/>
        <v>28093</v>
      </c>
      <c r="AD42" s="466">
        <f t="shared" si="25"/>
        <v>18123</v>
      </c>
      <c r="AE42" s="498"/>
      <c r="AF42" s="498"/>
      <c r="AG42" s="498"/>
      <c r="AH42" s="498"/>
      <c r="AI42" s="498"/>
      <c r="AJ42" s="498"/>
      <c r="AK42" s="498"/>
      <c r="AL42" s="498"/>
      <c r="AM42" s="498"/>
      <c r="AN42" s="498"/>
      <c r="AO42" s="498"/>
      <c r="AP42" s="498"/>
      <c r="AQ42" s="498"/>
      <c r="AR42" s="491"/>
      <c r="AS42" s="491"/>
      <c r="AT42" s="491"/>
      <c r="AU42" s="491"/>
      <c r="AV42" s="491"/>
      <c r="AW42" s="491"/>
      <c r="AX42" s="491"/>
      <c r="AY42" s="491"/>
      <c r="AZ42" s="491"/>
      <c r="BA42" s="491"/>
      <c r="BB42" s="491"/>
      <c r="BC42" s="491"/>
      <c r="BD42" s="491"/>
      <c r="BE42" s="491"/>
      <c r="BF42" s="491"/>
      <c r="BG42" s="491"/>
      <c r="BH42" s="491"/>
      <c r="BI42" s="491"/>
      <c r="BJ42" s="491"/>
      <c r="BK42" s="491"/>
      <c r="BL42" s="491"/>
      <c r="BM42" s="491"/>
      <c r="BN42" s="491"/>
      <c r="BO42" s="491"/>
      <c r="BP42" s="491"/>
      <c r="BQ42" s="491"/>
      <c r="BR42" s="491"/>
      <c r="BS42" s="491"/>
      <c r="BT42" s="491"/>
      <c r="BU42" s="491"/>
    </row>
    <row r="43" spans="1:73" s="481" customFormat="1" ht="22.5" customHeight="1">
      <c r="A43" s="465" t="s">
        <v>934</v>
      </c>
      <c r="B43" s="334" t="s">
        <v>817</v>
      </c>
      <c r="C43" s="352">
        <f>+'45'!C43+'44'!C43+'43'!C43+'42'!C43+'41'!C43</f>
        <v>32243</v>
      </c>
      <c r="D43" s="353">
        <f>+'45'!D43+'44'!D43+'43'!D43+'42'!D43+'41'!D43</f>
        <v>32738</v>
      </c>
      <c r="E43" s="353">
        <f>+'45'!E43+'44'!E43+'43'!E43+'42'!E43+'41'!E43</f>
        <v>31574</v>
      </c>
      <c r="F43" s="353">
        <f>+'45'!F43+'44'!F43+'43'!F43+'42'!F43+'41'!F43</f>
        <v>18101</v>
      </c>
      <c r="G43" s="352">
        <f>+'45'!G43+'44'!G43+'43'!G43+'42'!G43+'41'!G43</f>
        <v>5628</v>
      </c>
      <c r="H43" s="353">
        <f>+'45'!H43+'44'!H43+'43'!H43+'42'!H43+'41'!H43</f>
        <v>5872</v>
      </c>
      <c r="I43" s="353">
        <f>+'45'!I43+'44'!I43+'43'!I43+'42'!I43+'41'!I43</f>
        <v>6290</v>
      </c>
      <c r="J43" s="353">
        <f>+'45'!J43+'44'!J43+'43'!J43+'42'!J43+'41'!J43</f>
        <v>2398</v>
      </c>
      <c r="K43" s="352">
        <f>+'45'!K43+'44'!K43+'43'!K43+'42'!K43+'41'!K43</f>
        <v>11282</v>
      </c>
      <c r="L43" s="353">
        <f>+'45'!L43+'44'!L43+'43'!L43+'42'!L43+'41'!L43</f>
        <v>10535</v>
      </c>
      <c r="M43" s="353">
        <f>+'45'!M43+'44'!M43+'43'!M43+'42'!M43+'41'!M43</f>
        <v>9328</v>
      </c>
      <c r="N43" s="353">
        <f>+'45'!N43+'44'!N43+'43'!N43+'42'!N43+'41'!N43</f>
        <v>6240</v>
      </c>
      <c r="O43" s="352">
        <f>+'45'!O43+'44'!O43+'43'!O43+'42'!O43+'41'!O43</f>
        <v>6606</v>
      </c>
      <c r="P43" s="353">
        <f>+'45'!P43+'44'!P43+'43'!P43+'42'!P43+'41'!P43</f>
        <v>5921</v>
      </c>
      <c r="Q43" s="353">
        <f>+'45'!Q43+'44'!Q43+'43'!Q43+'42'!Q43+'41'!Q43</f>
        <v>5226</v>
      </c>
      <c r="R43" s="353">
        <f>+'45'!R43+'44'!R43+'43'!R43+'42'!R43+'41'!R43</f>
        <v>1399</v>
      </c>
      <c r="S43" s="352">
        <f>+'45'!S43+'44'!S43+'43'!S43+'42'!S43+'41'!S43</f>
        <v>740</v>
      </c>
      <c r="T43" s="353">
        <f>+'45'!T43+'44'!T43+'43'!T43+'42'!T43+'41'!T43</f>
        <v>745</v>
      </c>
      <c r="U43" s="353">
        <f>+'45'!U43+'44'!U43+'43'!U43+'42'!U43+'41'!U43</f>
        <v>848</v>
      </c>
      <c r="V43" s="353">
        <f>+'45'!V43+'44'!V43+'43'!V43+'42'!V43+'41'!V43</f>
        <v>369</v>
      </c>
      <c r="W43" s="352">
        <f>+'45'!W43+'44'!W43+'43'!W43+'42'!W43+'41'!W43</f>
        <v>0</v>
      </c>
      <c r="X43" s="353">
        <f>+'45'!X43+'44'!X43+'43'!X43+'42'!X43+'41'!X43</f>
        <v>0</v>
      </c>
      <c r="Y43" s="353">
        <f>+'45'!Y43+'44'!Y43+'43'!Y43+'42'!Y43+'41'!Y43</f>
        <v>0</v>
      </c>
      <c r="Z43" s="466">
        <f>+'45'!Z43+'44'!Z43+'43'!Z43+'42'!Z43+'41'!Z43</f>
        <v>0</v>
      </c>
      <c r="AA43" s="353">
        <f t="shared" si="25"/>
        <v>56499</v>
      </c>
      <c r="AB43" s="353">
        <f t="shared" si="25"/>
        <v>55811</v>
      </c>
      <c r="AC43" s="353">
        <f t="shared" si="25"/>
        <v>53266</v>
      </c>
      <c r="AD43" s="466">
        <f t="shared" si="25"/>
        <v>28507</v>
      </c>
      <c r="AE43" s="498"/>
      <c r="AF43" s="498"/>
      <c r="AG43" s="498"/>
      <c r="AH43" s="498"/>
      <c r="AI43" s="498"/>
      <c r="AJ43" s="498"/>
      <c r="AK43" s="498"/>
      <c r="AL43" s="498"/>
      <c r="AM43" s="498"/>
      <c r="AN43" s="498"/>
      <c r="AO43" s="498"/>
      <c r="AP43" s="498"/>
      <c r="AQ43" s="498"/>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row>
    <row r="44" spans="1:73" s="481" customFormat="1" ht="22.5" customHeight="1">
      <c r="A44" s="465"/>
      <c r="B44" s="247" t="s">
        <v>967</v>
      </c>
      <c r="C44" s="352">
        <f>+'45'!C44+'44'!C44+'43'!C44+'42'!C44+'41'!C44</f>
        <v>682</v>
      </c>
      <c r="D44" s="353">
        <f>+'45'!D44+'44'!D44+'43'!D44+'42'!D44+'41'!D44</f>
        <v>882</v>
      </c>
      <c r="E44" s="353">
        <f>+'45'!E44+'44'!E44+'43'!E44+'42'!E44+'41'!E44</f>
        <v>1008</v>
      </c>
      <c r="F44" s="353">
        <f>+'45'!F44+'44'!F44+'43'!F44+'42'!F44+'41'!F44</f>
        <v>475</v>
      </c>
      <c r="G44" s="352">
        <f>+'45'!G44+'44'!G44+'43'!G44+'42'!G44+'41'!G44</f>
        <v>306</v>
      </c>
      <c r="H44" s="353">
        <f>+'45'!H44+'44'!H44+'43'!H44+'42'!H44+'41'!H44</f>
        <v>309</v>
      </c>
      <c r="I44" s="353">
        <f>+'45'!I44+'44'!I44+'43'!I44+'42'!I44+'41'!I44</f>
        <v>649</v>
      </c>
      <c r="J44" s="353">
        <f>+'45'!J44+'44'!J44+'43'!J44+'42'!J44+'41'!J44</f>
        <v>878</v>
      </c>
      <c r="K44" s="352">
        <f>+'45'!K44+'44'!K44+'43'!K44+'42'!K44+'41'!K44</f>
        <v>1</v>
      </c>
      <c r="L44" s="353">
        <f>+'45'!L44+'44'!L44+'43'!L44+'42'!L44+'41'!L44</f>
        <v>0</v>
      </c>
      <c r="M44" s="353">
        <f>+'45'!M44+'44'!M44+'43'!M44+'42'!M44+'41'!M44</f>
        <v>0</v>
      </c>
      <c r="N44" s="353">
        <f>+'45'!N44+'44'!N44+'43'!N44+'42'!N44+'41'!N44</f>
        <v>0</v>
      </c>
      <c r="O44" s="352">
        <f>+'45'!O44+'44'!O44+'43'!O44+'42'!O44+'41'!O44</f>
        <v>13</v>
      </c>
      <c r="P44" s="353">
        <f>+'45'!P44+'44'!P44+'43'!P44+'42'!P44+'41'!P44</f>
        <v>0</v>
      </c>
      <c r="Q44" s="353">
        <f>+'45'!Q44+'44'!Q44+'43'!Q44+'42'!Q44+'41'!Q44</f>
        <v>0</v>
      </c>
      <c r="R44" s="353">
        <f>+'45'!R44+'44'!R44+'43'!R44+'42'!R44+'41'!R44</f>
        <v>0</v>
      </c>
      <c r="S44" s="352">
        <f>+'45'!S44+'44'!S44+'43'!S44+'42'!S44+'41'!S44</f>
        <v>705</v>
      </c>
      <c r="T44" s="353">
        <f>+'45'!T44+'44'!T44+'43'!T44+'42'!T44+'41'!T44</f>
        <v>802</v>
      </c>
      <c r="U44" s="353">
        <f>+'45'!U44+'44'!U44+'43'!U44+'42'!U44+'41'!U44</f>
        <v>925</v>
      </c>
      <c r="V44" s="353">
        <f>+'45'!V44+'44'!V44+'43'!V44+'42'!V44+'41'!V44</f>
        <v>1497</v>
      </c>
      <c r="W44" s="352">
        <f>+'45'!W44+'44'!W44+'43'!W44+'42'!W44+'41'!W44</f>
        <v>0</v>
      </c>
      <c r="X44" s="353">
        <f>+'45'!X44+'44'!X44+'43'!X44+'42'!X44+'41'!X44</f>
        <v>0</v>
      </c>
      <c r="Y44" s="353">
        <f>+'45'!Y44+'44'!Y44+'43'!Y44+'42'!Y44+'41'!Y44</f>
        <v>0</v>
      </c>
      <c r="Z44" s="466">
        <f>+'45'!Z44+'44'!Z44+'43'!Z44+'42'!Z44+'41'!Z44</f>
        <v>0</v>
      </c>
      <c r="AA44" s="353">
        <f t="shared" ref="AA44" si="30">+W44+S44+O44+K44+G44+C44</f>
        <v>1707</v>
      </c>
      <c r="AB44" s="353">
        <f t="shared" ref="AB44" si="31">+X44+T44+P44+L44+H44+D44</f>
        <v>1993</v>
      </c>
      <c r="AC44" s="353">
        <f t="shared" si="25"/>
        <v>2582</v>
      </c>
      <c r="AD44" s="466">
        <f t="shared" si="25"/>
        <v>2850</v>
      </c>
      <c r="AE44" s="498"/>
      <c r="AF44" s="498"/>
      <c r="AG44" s="498"/>
      <c r="AH44" s="498"/>
      <c r="AI44" s="498"/>
      <c r="AJ44" s="498"/>
      <c r="AK44" s="498"/>
      <c r="AL44" s="498"/>
      <c r="AM44" s="498"/>
      <c r="AN44" s="498"/>
      <c r="AO44" s="498"/>
      <c r="AP44" s="498"/>
      <c r="AQ44" s="498"/>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1"/>
      <c r="BN44" s="491"/>
      <c r="BO44" s="491"/>
      <c r="BP44" s="491"/>
      <c r="BQ44" s="491"/>
      <c r="BR44" s="491"/>
      <c r="BS44" s="491"/>
      <c r="BT44" s="491"/>
      <c r="BU44" s="491"/>
    </row>
    <row r="45" spans="1:73" s="481" customFormat="1" ht="22.5" customHeight="1">
      <c r="A45" s="465" t="s">
        <v>531</v>
      </c>
      <c r="B45" s="334" t="s">
        <v>818</v>
      </c>
      <c r="C45" s="352">
        <f>+'45'!C45+'44'!C45+'43'!C45+'42'!C45+'41'!C45</f>
        <v>22208</v>
      </c>
      <c r="D45" s="353">
        <f>+'45'!D45+'44'!D45+'43'!D45+'42'!D45+'41'!D45</f>
        <v>25104</v>
      </c>
      <c r="E45" s="353">
        <f>+'45'!E45+'44'!E45+'43'!E45+'42'!E45+'41'!E45</f>
        <v>25168</v>
      </c>
      <c r="F45" s="353">
        <f>+'45'!F45+'44'!F45+'43'!F45+'42'!F45+'41'!F45</f>
        <v>21144</v>
      </c>
      <c r="G45" s="352">
        <f>+'45'!G45+'44'!G45+'43'!G45+'42'!G45+'41'!G45</f>
        <v>3469</v>
      </c>
      <c r="H45" s="353">
        <f>+'45'!H45+'44'!H45+'43'!H45+'42'!H45+'41'!H45</f>
        <v>3482</v>
      </c>
      <c r="I45" s="353">
        <f>+'45'!I45+'44'!I45+'43'!I45+'42'!I45+'41'!I45</f>
        <v>3788</v>
      </c>
      <c r="J45" s="353">
        <f>+'45'!J45+'44'!J45+'43'!J45+'42'!J45+'41'!J45</f>
        <v>1688</v>
      </c>
      <c r="K45" s="352">
        <f>+'45'!K45+'44'!K45+'43'!K45+'42'!K45+'41'!K45</f>
        <v>5220</v>
      </c>
      <c r="L45" s="353">
        <f>+'45'!L45+'44'!L45+'43'!L45+'42'!L45+'41'!L45</f>
        <v>5583</v>
      </c>
      <c r="M45" s="353">
        <f>+'45'!M45+'44'!M45+'43'!M45+'42'!M45+'41'!M45</f>
        <v>5318</v>
      </c>
      <c r="N45" s="353">
        <f>+'45'!N45+'44'!N45+'43'!N45+'42'!N45+'41'!N45</f>
        <v>2638</v>
      </c>
      <c r="O45" s="352">
        <f>+'45'!O45+'44'!O45+'43'!O45+'42'!O45+'41'!O45</f>
        <v>2547</v>
      </c>
      <c r="P45" s="353">
        <f>+'45'!P45+'44'!P45+'43'!P45+'42'!P45+'41'!P45</f>
        <v>2682</v>
      </c>
      <c r="Q45" s="353">
        <f>+'45'!Q45+'44'!Q45+'43'!Q45+'42'!Q45+'41'!Q45</f>
        <v>3226</v>
      </c>
      <c r="R45" s="353">
        <f>+'45'!R45+'44'!R45+'43'!R45+'42'!R45+'41'!R45</f>
        <v>953</v>
      </c>
      <c r="S45" s="352">
        <f>+'45'!S45+'44'!S45+'43'!S45+'42'!S45+'41'!S45</f>
        <v>454</v>
      </c>
      <c r="T45" s="353">
        <f>+'45'!T45+'44'!T45+'43'!T45+'42'!T45+'41'!T45</f>
        <v>943</v>
      </c>
      <c r="U45" s="353">
        <f>+'45'!U45+'44'!U45+'43'!U45+'42'!U45+'41'!U45</f>
        <v>1237</v>
      </c>
      <c r="V45" s="353">
        <f>+'45'!V45+'44'!V45+'43'!V45+'42'!V45+'41'!V45</f>
        <v>1013</v>
      </c>
      <c r="W45" s="352">
        <f>+'45'!W45+'44'!W45+'43'!W45+'42'!W45+'41'!W45</f>
        <v>139</v>
      </c>
      <c r="X45" s="353">
        <f>+'45'!X45+'44'!X45+'43'!X45+'42'!X45+'41'!X45</f>
        <v>0</v>
      </c>
      <c r="Y45" s="353">
        <f>+'45'!Y45+'44'!Y45+'43'!Y45+'42'!Y45+'41'!Y45</f>
        <v>0</v>
      </c>
      <c r="Z45" s="353">
        <f>+'45'!Z45+'44'!Z45+'43'!Z45+'42'!Z45+'41'!Z45</f>
        <v>1</v>
      </c>
      <c r="AA45" s="352">
        <f>+'45'!AA45+'44'!AA45+'43'!AA45+'42'!AA45+'41'!AA45</f>
        <v>34037</v>
      </c>
      <c r="AB45" s="353">
        <f>+'45'!AB45+'44'!AB45+'43'!AB45+'42'!AB45+'41'!AB45</f>
        <v>37794</v>
      </c>
      <c r="AC45" s="353">
        <f>+'45'!AC45+'44'!AC45+'43'!AC45+'42'!AC45+'41'!AC45</f>
        <v>38737</v>
      </c>
      <c r="AD45" s="466">
        <f>+'45'!AD45+'44'!AD45+'43'!AD45+'42'!AD45+'41'!AD45</f>
        <v>27437</v>
      </c>
      <c r="AE45" s="498"/>
      <c r="AF45" s="498"/>
      <c r="AG45" s="498"/>
      <c r="AH45" s="498"/>
      <c r="AI45" s="498"/>
      <c r="AJ45" s="498"/>
      <c r="AK45" s="498"/>
      <c r="AL45" s="498"/>
      <c r="AM45" s="498"/>
      <c r="AN45" s="498"/>
      <c r="AO45" s="498"/>
      <c r="AP45" s="498"/>
      <c r="AQ45" s="498"/>
      <c r="AR45" s="491"/>
      <c r="AS45" s="491"/>
      <c r="AT45" s="491"/>
      <c r="AU45" s="491"/>
      <c r="AV45" s="491"/>
      <c r="AW45" s="491"/>
      <c r="AX45" s="491"/>
      <c r="AY45" s="491"/>
      <c r="AZ45" s="491"/>
      <c r="BA45" s="491"/>
      <c r="BB45" s="491"/>
      <c r="BC45" s="491"/>
      <c r="BD45" s="491"/>
      <c r="BE45" s="491"/>
      <c r="BF45" s="491"/>
      <c r="BG45" s="491"/>
      <c r="BH45" s="491"/>
      <c r="BI45" s="491"/>
      <c r="BJ45" s="491"/>
      <c r="BK45" s="491"/>
      <c r="BL45" s="491"/>
      <c r="BM45" s="491"/>
      <c r="BN45" s="491"/>
      <c r="BO45" s="491"/>
      <c r="BP45" s="491"/>
      <c r="BQ45" s="491"/>
      <c r="BR45" s="491"/>
      <c r="BS45" s="491"/>
      <c r="BT45" s="491"/>
      <c r="BU45" s="491"/>
    </row>
    <row r="46" spans="1:73" s="481" customFormat="1" ht="22.5" customHeight="1">
      <c r="A46" s="1021"/>
      <c r="B46" s="247" t="s">
        <v>1177</v>
      </c>
      <c r="C46" s="352">
        <f>+'45'!C46+'44'!C46+'43'!C46+'42'!C46+'41'!C46</f>
        <v>2634</v>
      </c>
      <c r="D46" s="353">
        <f>+'45'!D46+'44'!D46+'43'!D46+'42'!D46+'41'!D46</f>
        <v>3576</v>
      </c>
      <c r="E46" s="353">
        <f>+'45'!E46+'44'!E46+'43'!E46+'42'!E46+'41'!E46</f>
        <v>3292</v>
      </c>
      <c r="F46" s="353">
        <f>+'45'!F46+'44'!F46+'43'!F46+'42'!F46+'41'!F46</f>
        <v>2067</v>
      </c>
      <c r="G46" s="352">
        <f>+'45'!G46+'44'!G46+'43'!G46+'42'!G46+'41'!G46</f>
        <v>760</v>
      </c>
      <c r="H46" s="353">
        <f>+'45'!H46+'44'!H46+'43'!H46+'42'!H46+'41'!H46</f>
        <v>653</v>
      </c>
      <c r="I46" s="353">
        <f>+'45'!I46+'44'!I46+'43'!I46+'42'!I46+'41'!I46</f>
        <v>765</v>
      </c>
      <c r="J46" s="353">
        <f>+'45'!J46+'44'!J46+'43'!J46+'42'!J46+'41'!J46</f>
        <v>327</v>
      </c>
      <c r="K46" s="352">
        <f>+'45'!K46+'44'!K46+'43'!K46+'42'!K46+'41'!K46</f>
        <v>721</v>
      </c>
      <c r="L46" s="353">
        <f>+'45'!L46+'44'!L46+'43'!L46+'42'!L46+'41'!L46</f>
        <v>731</v>
      </c>
      <c r="M46" s="353">
        <f>+'45'!M46+'44'!M46+'43'!M46+'42'!M46+'41'!M46</f>
        <v>751</v>
      </c>
      <c r="N46" s="353">
        <f>+'45'!N46+'44'!N46+'43'!N46+'42'!N46+'41'!N46</f>
        <v>416</v>
      </c>
      <c r="O46" s="352">
        <f>+'45'!O46+'44'!O46+'43'!O46+'42'!O46+'41'!O46</f>
        <v>336</v>
      </c>
      <c r="P46" s="353">
        <f>+'45'!P46+'44'!P46+'43'!P46+'42'!P46+'41'!P46</f>
        <v>441</v>
      </c>
      <c r="Q46" s="353">
        <f>+'45'!Q46+'44'!Q46+'43'!Q46+'42'!Q46+'41'!Q46</f>
        <v>498</v>
      </c>
      <c r="R46" s="353">
        <f>+'45'!R46+'44'!R46+'43'!R46+'42'!R46+'41'!R46</f>
        <v>206</v>
      </c>
      <c r="S46" s="352">
        <f>+'45'!S46+'44'!S46+'43'!S46+'42'!S46+'41'!S46</f>
        <v>34</v>
      </c>
      <c r="T46" s="353">
        <f>+'45'!T46+'44'!T46+'43'!T46+'42'!T46+'41'!T46</f>
        <v>132</v>
      </c>
      <c r="U46" s="353">
        <f>+'45'!U46+'44'!U46+'43'!U46+'42'!U46+'41'!U46</f>
        <v>105</v>
      </c>
      <c r="V46" s="353">
        <f>+'45'!V46+'44'!V46+'43'!V46+'42'!V46+'41'!V46</f>
        <v>101</v>
      </c>
      <c r="W46" s="352">
        <f>+'45'!W46+'44'!W46+'43'!W46+'42'!W46+'41'!W46</f>
        <v>0</v>
      </c>
      <c r="X46" s="353">
        <f>+'45'!X46+'44'!X46+'43'!X46+'42'!X46+'41'!X46</f>
        <v>0</v>
      </c>
      <c r="Y46" s="353">
        <f>+'45'!Y46+'44'!Y46+'43'!Y46+'42'!Y46+'41'!Y46</f>
        <v>0</v>
      </c>
      <c r="Z46" s="353">
        <f>+'45'!Z46+'44'!Z46+'43'!Z46+'42'!Z46+'41'!Z46</f>
        <v>0</v>
      </c>
      <c r="AA46" s="352">
        <f>+'45'!AA46+'44'!AA46+'43'!AA46+'42'!AA46+'41'!AA46</f>
        <v>4485</v>
      </c>
      <c r="AB46" s="353">
        <f>+'45'!AB46+'44'!AB46+'43'!AB46+'42'!AB46+'41'!AB46</f>
        <v>5533</v>
      </c>
      <c r="AC46" s="353">
        <f>+'45'!AC46+'44'!AC46+'43'!AC46+'42'!AC46+'41'!AC46</f>
        <v>5411</v>
      </c>
      <c r="AD46" s="466">
        <f>+'45'!AD46+'44'!AD46+'43'!AD46+'42'!AD46+'41'!AD46</f>
        <v>3117</v>
      </c>
      <c r="AE46" s="498"/>
      <c r="AF46" s="498"/>
      <c r="AG46" s="498"/>
      <c r="AH46" s="498"/>
      <c r="AI46" s="498"/>
      <c r="AJ46" s="498"/>
      <c r="AK46" s="498"/>
      <c r="AL46" s="498"/>
      <c r="AM46" s="498"/>
      <c r="AN46" s="498"/>
      <c r="AO46" s="498"/>
      <c r="AP46" s="498"/>
      <c r="AQ46" s="498"/>
      <c r="AR46" s="491"/>
      <c r="AS46" s="491"/>
      <c r="AT46" s="491"/>
      <c r="AU46" s="491"/>
      <c r="AV46" s="491"/>
      <c r="AW46" s="491"/>
      <c r="AX46" s="491"/>
      <c r="AY46" s="491"/>
      <c r="AZ46" s="491"/>
      <c r="BA46" s="491"/>
      <c r="BB46" s="491"/>
      <c r="BC46" s="491"/>
      <c r="BD46" s="491"/>
      <c r="BE46" s="491"/>
      <c r="BF46" s="491"/>
      <c r="BG46" s="491"/>
      <c r="BH46" s="491"/>
      <c r="BI46" s="491"/>
      <c r="BJ46" s="491"/>
      <c r="BK46" s="491"/>
      <c r="BL46" s="491"/>
      <c r="BM46" s="491"/>
      <c r="BN46" s="491"/>
      <c r="BO46" s="491"/>
      <c r="BP46" s="491"/>
      <c r="BQ46" s="491"/>
      <c r="BR46" s="491"/>
      <c r="BS46" s="491"/>
      <c r="BT46" s="491"/>
      <c r="BU46" s="491"/>
    </row>
    <row r="47" spans="1:73" s="481" customFormat="1" ht="22.5" customHeight="1">
      <c r="A47" s="465"/>
      <c r="B47" s="465" t="s">
        <v>625</v>
      </c>
      <c r="C47" s="352">
        <f t="shared" ref="C47:AD47" si="32">SUM(C45:C46)</f>
        <v>24842</v>
      </c>
      <c r="D47" s="353">
        <f t="shared" si="32"/>
        <v>28680</v>
      </c>
      <c r="E47" s="353">
        <f t="shared" si="32"/>
        <v>28460</v>
      </c>
      <c r="F47" s="353">
        <f t="shared" si="32"/>
        <v>23211</v>
      </c>
      <c r="G47" s="352">
        <f t="shared" si="32"/>
        <v>4229</v>
      </c>
      <c r="H47" s="353">
        <f t="shared" si="32"/>
        <v>4135</v>
      </c>
      <c r="I47" s="353">
        <f t="shared" si="32"/>
        <v>4553</v>
      </c>
      <c r="J47" s="353">
        <f t="shared" ref="J47" si="33">SUM(J45:J46)</f>
        <v>2015</v>
      </c>
      <c r="K47" s="352">
        <f t="shared" si="32"/>
        <v>5941</v>
      </c>
      <c r="L47" s="353">
        <f t="shared" si="32"/>
        <v>6314</v>
      </c>
      <c r="M47" s="353">
        <f t="shared" si="32"/>
        <v>6069</v>
      </c>
      <c r="N47" s="353">
        <f t="shared" si="32"/>
        <v>3054</v>
      </c>
      <c r="O47" s="352">
        <f t="shared" si="32"/>
        <v>2883</v>
      </c>
      <c r="P47" s="353">
        <f t="shared" si="32"/>
        <v>3123</v>
      </c>
      <c r="Q47" s="353">
        <f t="shared" si="32"/>
        <v>3724</v>
      </c>
      <c r="R47" s="353">
        <f t="shared" si="32"/>
        <v>1159</v>
      </c>
      <c r="S47" s="352">
        <f t="shared" si="32"/>
        <v>488</v>
      </c>
      <c r="T47" s="353">
        <f t="shared" si="32"/>
        <v>1075</v>
      </c>
      <c r="U47" s="353">
        <f t="shared" si="32"/>
        <v>1342</v>
      </c>
      <c r="V47" s="353">
        <f t="shared" si="32"/>
        <v>1114</v>
      </c>
      <c r="W47" s="352">
        <f t="shared" si="32"/>
        <v>139</v>
      </c>
      <c r="X47" s="353">
        <f t="shared" si="32"/>
        <v>0</v>
      </c>
      <c r="Y47" s="353">
        <f t="shared" si="32"/>
        <v>0</v>
      </c>
      <c r="Z47" s="353">
        <f t="shared" si="32"/>
        <v>1</v>
      </c>
      <c r="AA47" s="352">
        <f t="shared" si="32"/>
        <v>38522</v>
      </c>
      <c r="AB47" s="353">
        <f t="shared" si="32"/>
        <v>43327</v>
      </c>
      <c r="AC47" s="353">
        <f t="shared" si="32"/>
        <v>44148</v>
      </c>
      <c r="AD47" s="466">
        <f t="shared" si="32"/>
        <v>30554</v>
      </c>
      <c r="AE47" s="498"/>
      <c r="AF47" s="498"/>
      <c r="AG47" s="498"/>
      <c r="AH47" s="498"/>
      <c r="AI47" s="498"/>
      <c r="AJ47" s="498"/>
      <c r="AK47" s="498"/>
      <c r="AL47" s="498"/>
      <c r="AM47" s="498"/>
      <c r="AN47" s="498"/>
      <c r="AO47" s="498"/>
      <c r="AP47" s="498"/>
      <c r="AQ47" s="498"/>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row>
    <row r="48" spans="1:73" s="6" customFormat="1" ht="22.5" customHeight="1">
      <c r="A48" s="475" t="s">
        <v>935</v>
      </c>
      <c r="B48" s="471"/>
      <c r="C48" s="472">
        <f t="shared" ref="C48:AD48" si="34">SUM(C41:C46)+C31+C37</f>
        <v>219354</v>
      </c>
      <c r="D48" s="473">
        <f t="shared" si="34"/>
        <v>223221</v>
      </c>
      <c r="E48" s="473">
        <f t="shared" si="34"/>
        <v>230717</v>
      </c>
      <c r="F48" s="473">
        <f t="shared" si="34"/>
        <v>137474</v>
      </c>
      <c r="G48" s="472">
        <f t="shared" si="34"/>
        <v>39165</v>
      </c>
      <c r="H48" s="473">
        <f t="shared" si="34"/>
        <v>40541</v>
      </c>
      <c r="I48" s="473">
        <f t="shared" si="34"/>
        <v>42746</v>
      </c>
      <c r="J48" s="473">
        <f>SUM(J41:J46)+J31+J37</f>
        <v>22001</v>
      </c>
      <c r="K48" s="472">
        <f t="shared" si="34"/>
        <v>60990</v>
      </c>
      <c r="L48" s="473">
        <f t="shared" si="34"/>
        <v>62571</v>
      </c>
      <c r="M48" s="473">
        <f t="shared" si="34"/>
        <v>59767</v>
      </c>
      <c r="N48" s="473">
        <f t="shared" si="34"/>
        <v>35755</v>
      </c>
      <c r="O48" s="472">
        <f t="shared" si="34"/>
        <v>35876</v>
      </c>
      <c r="P48" s="473">
        <f t="shared" si="34"/>
        <v>36862</v>
      </c>
      <c r="Q48" s="473">
        <f t="shared" si="34"/>
        <v>36368</v>
      </c>
      <c r="R48" s="473">
        <f t="shared" si="34"/>
        <v>10517</v>
      </c>
      <c r="S48" s="472">
        <f t="shared" si="34"/>
        <v>11144</v>
      </c>
      <c r="T48" s="473">
        <f t="shared" si="34"/>
        <v>12137</v>
      </c>
      <c r="U48" s="473">
        <f t="shared" si="34"/>
        <v>13785</v>
      </c>
      <c r="V48" s="473">
        <f t="shared" si="34"/>
        <v>9382</v>
      </c>
      <c r="W48" s="472">
        <f t="shared" si="34"/>
        <v>624</v>
      </c>
      <c r="X48" s="473">
        <f t="shared" si="34"/>
        <v>1291</v>
      </c>
      <c r="Y48" s="473">
        <f t="shared" si="34"/>
        <v>10</v>
      </c>
      <c r="Z48" s="473">
        <f t="shared" si="34"/>
        <v>3</v>
      </c>
      <c r="AA48" s="472">
        <f t="shared" si="34"/>
        <v>367153</v>
      </c>
      <c r="AB48" s="473">
        <f t="shared" si="34"/>
        <v>376623</v>
      </c>
      <c r="AC48" s="473">
        <f t="shared" si="34"/>
        <v>383393</v>
      </c>
      <c r="AD48" s="474">
        <f t="shared" si="34"/>
        <v>215132</v>
      </c>
      <c r="AE48" s="498"/>
      <c r="AF48" s="498"/>
    </row>
    <row r="49" spans="1:73" s="481" customFormat="1" ht="22.5" customHeight="1">
      <c r="A49" s="1631" t="s">
        <v>637</v>
      </c>
      <c r="B49" s="1633"/>
      <c r="C49" s="476">
        <f t="shared" ref="C49:AD49" si="35">+C23+C48</f>
        <v>345233</v>
      </c>
      <c r="D49" s="477">
        <f t="shared" si="35"/>
        <v>353268</v>
      </c>
      <c r="E49" s="477">
        <f t="shared" si="35"/>
        <v>362084</v>
      </c>
      <c r="F49" s="478">
        <f t="shared" si="35"/>
        <v>227379</v>
      </c>
      <c r="G49" s="476">
        <f t="shared" si="35"/>
        <v>66180</v>
      </c>
      <c r="H49" s="477">
        <f t="shared" si="35"/>
        <v>66671</v>
      </c>
      <c r="I49" s="477">
        <f t="shared" si="35"/>
        <v>72718</v>
      </c>
      <c r="J49" s="478">
        <f t="shared" si="35"/>
        <v>32873</v>
      </c>
      <c r="K49" s="477">
        <f t="shared" si="35"/>
        <v>97221</v>
      </c>
      <c r="L49" s="477">
        <f t="shared" si="35"/>
        <v>96251</v>
      </c>
      <c r="M49" s="477">
        <f t="shared" si="35"/>
        <v>95368</v>
      </c>
      <c r="N49" s="477">
        <f t="shared" si="35"/>
        <v>57057</v>
      </c>
      <c r="O49" s="476">
        <f t="shared" si="35"/>
        <v>59266</v>
      </c>
      <c r="P49" s="477">
        <f t="shared" si="35"/>
        <v>58843</v>
      </c>
      <c r="Q49" s="477">
        <f t="shared" si="35"/>
        <v>58401</v>
      </c>
      <c r="R49" s="478">
        <f t="shared" si="35"/>
        <v>15497</v>
      </c>
      <c r="S49" s="477">
        <f t="shared" si="35"/>
        <v>16345</v>
      </c>
      <c r="T49" s="477">
        <f t="shared" si="35"/>
        <v>18583</v>
      </c>
      <c r="U49" s="477">
        <f t="shared" si="35"/>
        <v>22914</v>
      </c>
      <c r="V49" s="477">
        <f t="shared" si="35"/>
        <v>16797</v>
      </c>
      <c r="W49" s="476">
        <f t="shared" si="35"/>
        <v>1614</v>
      </c>
      <c r="X49" s="477">
        <f t="shared" si="35"/>
        <v>2372</v>
      </c>
      <c r="Y49" s="477">
        <f t="shared" si="35"/>
        <v>11</v>
      </c>
      <c r="Z49" s="478">
        <f t="shared" si="35"/>
        <v>382</v>
      </c>
      <c r="AA49" s="477">
        <f t="shared" si="35"/>
        <v>585859</v>
      </c>
      <c r="AB49" s="477">
        <f t="shared" si="35"/>
        <v>595988</v>
      </c>
      <c r="AC49" s="477">
        <f t="shared" si="35"/>
        <v>611496</v>
      </c>
      <c r="AD49" s="478">
        <f t="shared" si="35"/>
        <v>349985</v>
      </c>
      <c r="AE49" s="498"/>
      <c r="AF49" s="498"/>
      <c r="AG49" s="498"/>
      <c r="AH49" s="498"/>
      <c r="AI49" s="498"/>
      <c r="AJ49" s="498"/>
      <c r="AK49" s="498"/>
      <c r="AL49" s="498"/>
      <c r="AM49" s="498"/>
      <c r="AN49" s="498"/>
      <c r="AO49" s="498"/>
      <c r="AP49" s="498"/>
      <c r="AQ49" s="498"/>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row>
    <row r="50" spans="1:73">
      <c r="A50" s="409"/>
      <c r="B50" s="409"/>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95"/>
      <c r="AS50" s="495"/>
      <c r="AT50" s="495"/>
      <c r="AU50" s="495"/>
      <c r="AV50" s="495"/>
      <c r="AW50" s="495"/>
      <c r="AX50" s="495"/>
      <c r="AY50" s="495"/>
      <c r="AZ50" s="495"/>
      <c r="BA50" s="495"/>
      <c r="BB50" s="495"/>
      <c r="BC50" s="495"/>
      <c r="BD50" s="495"/>
      <c r="BE50" s="495"/>
      <c r="BF50" s="495"/>
      <c r="BG50" s="495"/>
      <c r="BH50" s="495"/>
      <c r="BI50" s="495"/>
      <c r="BJ50" s="495"/>
      <c r="BK50" s="495"/>
      <c r="BL50" s="495"/>
      <c r="BM50" s="495"/>
      <c r="BN50" s="495"/>
      <c r="BO50" s="495"/>
      <c r="BP50" s="495"/>
      <c r="BQ50" s="495"/>
      <c r="BR50" s="495"/>
      <c r="BS50" s="495"/>
      <c r="BT50" s="495"/>
      <c r="BU50" s="495"/>
    </row>
    <row r="51" spans="1:73">
      <c r="B51" s="204"/>
      <c r="C51" s="486"/>
      <c r="D51" s="486"/>
      <c r="E51" s="486"/>
      <c r="F51" s="1399"/>
      <c r="G51" s="486"/>
      <c r="H51" s="486"/>
      <c r="I51" s="486"/>
      <c r="J51" s="1399"/>
      <c r="K51" s="486"/>
      <c r="L51" s="486"/>
      <c r="M51" s="486"/>
      <c r="N51" s="1399"/>
      <c r="O51" s="486"/>
      <c r="P51" s="486"/>
      <c r="Q51" s="486"/>
      <c r="R51" s="1399"/>
      <c r="S51" s="486"/>
      <c r="T51" s="486"/>
      <c r="U51" s="486"/>
      <c r="V51" s="1399"/>
      <c r="W51" s="486"/>
      <c r="X51" s="486"/>
      <c r="Y51" s="486"/>
      <c r="Z51" s="1399"/>
      <c r="AA51" s="486"/>
      <c r="AB51" s="486"/>
      <c r="AC51" s="486"/>
      <c r="AD51" s="1399"/>
      <c r="AE51" s="486"/>
      <c r="AF51" s="486"/>
      <c r="AG51" s="486"/>
      <c r="AH51" s="486"/>
      <c r="AI51" s="486"/>
      <c r="AJ51" s="486"/>
      <c r="AK51" s="486"/>
      <c r="AL51" s="486"/>
      <c r="AM51" s="486"/>
      <c r="AN51" s="486"/>
      <c r="AO51" s="486"/>
      <c r="AP51" s="486"/>
      <c r="AQ51" s="486"/>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5"/>
      <c r="BR51" s="495"/>
      <c r="BS51" s="495"/>
      <c r="BT51" s="495"/>
      <c r="BU51" s="495"/>
    </row>
    <row r="52" spans="1:73">
      <c r="B52" s="204"/>
      <c r="C52" s="483"/>
      <c r="D52" s="483"/>
      <c r="E52" s="483"/>
      <c r="F52" s="486"/>
      <c r="G52" s="483"/>
      <c r="H52" s="483"/>
      <c r="I52" s="483"/>
      <c r="J52" s="486"/>
      <c r="K52" s="483"/>
      <c r="L52" s="483"/>
      <c r="M52" s="483"/>
      <c r="N52" s="486"/>
      <c r="O52" s="483"/>
      <c r="P52" s="483"/>
      <c r="Q52" s="483"/>
      <c r="R52" s="486"/>
      <c r="S52" s="483"/>
      <c r="T52" s="483"/>
      <c r="U52" s="483"/>
      <c r="V52" s="486"/>
      <c r="W52" s="483"/>
      <c r="X52" s="483"/>
      <c r="Y52" s="483"/>
      <c r="Z52" s="486"/>
      <c r="AA52" s="483"/>
      <c r="AB52" s="483"/>
      <c r="AC52" s="483"/>
      <c r="AD52" s="486"/>
      <c r="AE52" s="483"/>
      <c r="AF52" s="483"/>
      <c r="AG52" s="483"/>
      <c r="AH52" s="483"/>
      <c r="AI52" s="483"/>
      <c r="AJ52" s="483"/>
      <c r="AK52" s="483"/>
      <c r="AL52" s="483"/>
      <c r="AM52" s="483"/>
      <c r="AN52" s="483"/>
      <c r="AO52" s="483"/>
      <c r="AP52" s="483"/>
      <c r="AQ52" s="483"/>
    </row>
    <row r="53" spans="1:73">
      <c r="B53" s="204"/>
      <c r="C53" s="483"/>
      <c r="D53" s="483"/>
      <c r="E53" s="483"/>
      <c r="F53" s="486"/>
      <c r="G53" s="483"/>
      <c r="H53" s="483"/>
      <c r="I53" s="483"/>
      <c r="J53" s="486"/>
      <c r="K53" s="483"/>
      <c r="L53" s="483"/>
      <c r="M53" s="483"/>
      <c r="N53" s="486"/>
      <c r="O53" s="483"/>
      <c r="P53" s="483"/>
      <c r="Q53" s="483"/>
      <c r="R53" s="486"/>
      <c r="S53" s="483"/>
      <c r="T53" s="483"/>
      <c r="U53" s="483"/>
      <c r="V53" s="486"/>
      <c r="W53" s="483"/>
      <c r="X53" s="483"/>
      <c r="Y53" s="483"/>
      <c r="Z53" s="486"/>
      <c r="AA53" s="483"/>
      <c r="AB53" s="483"/>
      <c r="AC53" s="483"/>
      <c r="AD53" s="486"/>
      <c r="AE53" s="483"/>
      <c r="AF53" s="483"/>
      <c r="AG53" s="483"/>
      <c r="AH53" s="483"/>
      <c r="AI53" s="483"/>
      <c r="AJ53" s="483"/>
      <c r="AK53" s="483"/>
      <c r="AL53" s="483"/>
      <c r="AM53" s="483"/>
      <c r="AN53" s="483"/>
      <c r="AO53" s="483"/>
      <c r="AP53" s="483"/>
      <c r="AQ53" s="483"/>
    </row>
    <row r="54" spans="1:73">
      <c r="B54" s="204"/>
      <c r="C54" s="483"/>
      <c r="D54" s="483"/>
      <c r="E54" s="483"/>
      <c r="F54" s="486"/>
      <c r="G54" s="483"/>
      <c r="H54" s="486"/>
      <c r="I54" s="483"/>
      <c r="J54" s="486"/>
      <c r="K54" s="486"/>
      <c r="L54" s="486"/>
      <c r="M54" s="486"/>
      <c r="N54" s="486"/>
      <c r="O54" s="486"/>
      <c r="P54" s="486"/>
      <c r="Q54" s="486"/>
      <c r="R54" s="486"/>
      <c r="S54" s="486"/>
      <c r="T54" s="486"/>
      <c r="U54" s="486"/>
      <c r="V54" s="486"/>
      <c r="W54" s="486"/>
      <c r="X54" s="486"/>
      <c r="Y54" s="486"/>
      <c r="Z54" s="486"/>
      <c r="AA54" s="486"/>
      <c r="AB54" s="486"/>
      <c r="AC54" s="486"/>
      <c r="AD54" s="486"/>
      <c r="AE54" s="483"/>
      <c r="AF54" s="486"/>
      <c r="AG54" s="483"/>
      <c r="AH54" s="483"/>
      <c r="AI54" s="483"/>
      <c r="AJ54" s="483"/>
      <c r="AK54" s="483"/>
      <c r="AL54" s="483"/>
      <c r="AM54" s="483"/>
      <c r="AN54" s="483"/>
      <c r="AO54" s="483"/>
      <c r="AP54" s="483"/>
      <c r="AQ54" s="483"/>
    </row>
    <row r="55" spans="1:73">
      <c r="F55" s="495"/>
      <c r="G55" s="495"/>
      <c r="H55" s="495"/>
      <c r="I55" s="495"/>
      <c r="J55" s="495"/>
      <c r="K55" s="495"/>
      <c r="L55" s="495"/>
      <c r="M55" s="495"/>
      <c r="N55" s="495"/>
      <c r="O55" s="495"/>
      <c r="P55" s="495"/>
      <c r="Q55" s="495"/>
      <c r="R55" s="495"/>
      <c r="S55" s="495"/>
      <c r="T55" s="495"/>
      <c r="U55" s="495"/>
      <c r="V55" s="495"/>
      <c r="W55" s="495"/>
      <c r="X55" s="495"/>
      <c r="Y55" s="495"/>
      <c r="Z55" s="495"/>
      <c r="AA55" s="495"/>
      <c r="AB55" s="495"/>
      <c r="AC55" s="495"/>
      <c r="AD55" s="495"/>
    </row>
    <row r="56" spans="1:73">
      <c r="F56" s="495"/>
      <c r="G56" s="495"/>
      <c r="H56" s="495"/>
      <c r="I56" s="495"/>
      <c r="J56" s="495"/>
      <c r="K56" s="495"/>
      <c r="L56" s="495"/>
      <c r="M56" s="495"/>
      <c r="N56" s="495"/>
      <c r="O56" s="495"/>
      <c r="P56" s="495"/>
      <c r="Q56" s="495"/>
      <c r="R56" s="495"/>
      <c r="S56" s="495"/>
      <c r="T56" s="495"/>
      <c r="U56" s="495"/>
      <c r="V56" s="495"/>
      <c r="W56" s="495"/>
      <c r="X56" s="495"/>
      <c r="Y56" s="495"/>
      <c r="Z56" s="495"/>
      <c r="AA56" s="495"/>
      <c r="AB56" s="495"/>
      <c r="AC56" s="495"/>
      <c r="AD56" s="495"/>
    </row>
    <row r="57" spans="1:73">
      <c r="B57" s="204"/>
      <c r="F57" s="495"/>
      <c r="J57" s="495"/>
      <c r="N57" s="495"/>
      <c r="R57" s="495"/>
      <c r="V57" s="495"/>
      <c r="Z57" s="495"/>
      <c r="AD57" s="495"/>
    </row>
    <row r="58" spans="1:73">
      <c r="F58" s="495"/>
      <c r="G58" s="495"/>
      <c r="H58" s="495"/>
      <c r="I58" s="495"/>
      <c r="J58" s="495"/>
      <c r="K58" s="495"/>
      <c r="L58" s="495"/>
      <c r="M58" s="495"/>
      <c r="N58" s="495"/>
      <c r="O58" s="495"/>
      <c r="P58" s="495"/>
      <c r="Q58" s="495"/>
      <c r="R58" s="495"/>
      <c r="S58" s="495"/>
      <c r="T58" s="495"/>
      <c r="U58" s="495"/>
      <c r="V58" s="495"/>
      <c r="W58" s="495"/>
      <c r="X58" s="495"/>
      <c r="Y58" s="495"/>
      <c r="Z58" s="495"/>
      <c r="AA58" s="495"/>
      <c r="AB58" s="495"/>
      <c r="AC58" s="495"/>
      <c r="AD58" s="495"/>
    </row>
    <row r="59" spans="1:73">
      <c r="F59" s="495"/>
      <c r="J59" s="495"/>
      <c r="N59" s="495"/>
      <c r="R59" s="495"/>
      <c r="V59" s="495"/>
      <c r="Z59" s="495"/>
      <c r="AD59" s="495"/>
    </row>
    <row r="60" spans="1:73">
      <c r="F60" s="495"/>
      <c r="J60" s="495"/>
      <c r="N60" s="495"/>
      <c r="R60" s="495"/>
      <c r="Z60" s="495"/>
      <c r="AD60" s="495"/>
    </row>
    <row r="63" spans="1:73">
      <c r="F63" s="495"/>
      <c r="J63" s="495"/>
      <c r="N63" s="495"/>
      <c r="R63" s="495"/>
      <c r="V63" s="495"/>
      <c r="Z63" s="495"/>
      <c r="AD63" s="495"/>
    </row>
  </sheetData>
  <mergeCells count="12">
    <mergeCell ref="A49:B49"/>
    <mergeCell ref="A1:AD1"/>
    <mergeCell ref="A2:AD2"/>
    <mergeCell ref="A3:AD3"/>
    <mergeCell ref="A4:AD4"/>
    <mergeCell ref="AA7:AD7"/>
    <mergeCell ref="W7:Z7"/>
    <mergeCell ref="C7:F7"/>
    <mergeCell ref="G7:J7"/>
    <mergeCell ref="K7:N7"/>
    <mergeCell ref="O7:R7"/>
    <mergeCell ref="S7:V7"/>
  </mergeCells>
  <phoneticPr fontId="19" type="noConversion"/>
  <pageMargins left="0.39370078740157483" right="0" top="0.98425196850393704" bottom="0.98425196850393704" header="0" footer="0"/>
  <pageSetup paperSize="5" scale="69" orientation="landscape" horizontalDpi="300" verticalDpi="300" r:id="rId1"/>
  <headerFooter alignWithMargins="0"/>
  <ignoredErrors>
    <ignoredError sqref="J47"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5"/>
  <sheetViews>
    <sheetView topLeftCell="Q35" workbookViewId="0">
      <selection activeCell="X9" sqref="X9:Y9"/>
    </sheetView>
  </sheetViews>
  <sheetFormatPr baseColWidth="10" defaultColWidth="11.77734375" defaultRowHeight="11.4"/>
  <cols>
    <col min="1" max="1" width="12.77734375" style="378" customWidth="1"/>
    <col min="2" max="2" width="20.77734375" style="378" customWidth="1"/>
    <col min="3" max="48" width="7.21875" style="378" customWidth="1"/>
    <col min="49" max="16384" width="11.77734375" style="378"/>
  </cols>
  <sheetData>
    <row r="1" spans="1:29" ht="23.25" customHeight="1">
      <c r="A1" s="1634" t="s">
        <v>941</v>
      </c>
      <c r="B1" s="1616"/>
      <c r="C1" s="1616"/>
      <c r="D1" s="1616"/>
      <c r="E1" s="1616"/>
      <c r="F1" s="1616"/>
      <c r="G1" s="1616"/>
      <c r="H1" s="1616"/>
      <c r="I1" s="1616"/>
      <c r="J1" s="1616"/>
      <c r="K1" s="1616"/>
      <c r="L1" s="1616"/>
      <c r="M1" s="1616"/>
      <c r="N1" s="1616"/>
      <c r="O1" s="1616"/>
      <c r="P1" s="1616"/>
      <c r="Q1" s="1616"/>
      <c r="R1" s="1616"/>
      <c r="S1" s="1616"/>
      <c r="T1" s="1616"/>
      <c r="U1" s="1616"/>
      <c r="V1" s="1616"/>
    </row>
    <row r="2" spans="1:29" ht="12">
      <c r="A2" s="1616" t="s">
        <v>879</v>
      </c>
      <c r="B2" s="1616"/>
      <c r="C2" s="1616"/>
      <c r="D2" s="1616"/>
      <c r="E2" s="1616"/>
      <c r="F2" s="1616"/>
      <c r="G2" s="1616"/>
      <c r="H2" s="1616"/>
      <c r="I2" s="1616"/>
      <c r="J2" s="1616"/>
      <c r="K2" s="1616"/>
      <c r="L2" s="1616"/>
      <c r="M2" s="1616"/>
      <c r="N2" s="1616"/>
      <c r="O2" s="1616"/>
      <c r="P2" s="1616"/>
      <c r="Q2" s="1616"/>
      <c r="R2" s="1616"/>
      <c r="S2" s="1616"/>
      <c r="T2" s="1616"/>
      <c r="U2" s="1616"/>
      <c r="V2" s="1616"/>
    </row>
    <row r="3" spans="1:29" ht="12">
      <c r="A3" s="1616" t="str">
        <f>+'46'!A4:AD4</f>
        <v>2017 - 2020</v>
      </c>
      <c r="B3" s="1616"/>
      <c r="C3" s="1616"/>
      <c r="D3" s="1616"/>
      <c r="E3" s="1616"/>
      <c r="F3" s="1616"/>
      <c r="G3" s="1616"/>
      <c r="H3" s="1616"/>
      <c r="I3" s="1616"/>
      <c r="J3" s="1616"/>
      <c r="K3" s="1616"/>
      <c r="L3" s="1616"/>
      <c r="M3" s="1616"/>
      <c r="N3" s="1616"/>
      <c r="O3" s="1616"/>
      <c r="P3" s="1616"/>
      <c r="Q3" s="1616"/>
      <c r="R3" s="1616"/>
      <c r="S3" s="1616"/>
      <c r="T3" s="1616"/>
      <c r="U3" s="1616"/>
      <c r="V3" s="1616"/>
    </row>
    <row r="6" spans="1:29" s="481" customFormat="1" ht="18" customHeight="1">
      <c r="A6" s="439" t="s">
        <v>536</v>
      </c>
      <c r="B6" s="480" t="s">
        <v>835</v>
      </c>
      <c r="C6" s="1612" t="s">
        <v>942</v>
      </c>
      <c r="D6" s="1612"/>
      <c r="E6" s="1612"/>
      <c r="F6" s="1613"/>
      <c r="G6" s="1612" t="s">
        <v>943</v>
      </c>
      <c r="H6" s="1612"/>
      <c r="I6" s="1612"/>
      <c r="J6" s="1612"/>
      <c r="K6" s="1611" t="s">
        <v>944</v>
      </c>
      <c r="L6" s="1612"/>
      <c r="M6" s="1612"/>
      <c r="N6" s="1613"/>
      <c r="O6" s="1611" t="s">
        <v>945</v>
      </c>
      <c r="P6" s="1612"/>
      <c r="Q6" s="1612"/>
      <c r="R6" s="1613"/>
      <c r="S6" s="1607" t="s">
        <v>517</v>
      </c>
      <c r="T6" s="1607"/>
      <c r="U6" s="1607"/>
      <c r="V6" s="1608"/>
    </row>
    <row r="7" spans="1:29" s="481" customFormat="1" ht="18" customHeight="1">
      <c r="A7" s="461"/>
      <c r="B7" s="497"/>
      <c r="C7" s="462">
        <f>+'46'!S8</f>
        <v>2017</v>
      </c>
      <c r="D7" s="463">
        <f>+'46'!T8</f>
        <v>2018</v>
      </c>
      <c r="E7" s="463">
        <f>+'46'!U8</f>
        <v>2019</v>
      </c>
      <c r="F7" s="464">
        <f>+'46'!V8</f>
        <v>2020</v>
      </c>
      <c r="G7" s="462">
        <f>+'46'!W8</f>
        <v>2017</v>
      </c>
      <c r="H7" s="463">
        <f>+'46'!X8</f>
        <v>2018</v>
      </c>
      <c r="I7" s="463">
        <f>+'46'!Y8</f>
        <v>2019</v>
      </c>
      <c r="J7" s="464">
        <f>+'46'!Z8</f>
        <v>2020</v>
      </c>
      <c r="K7" s="462">
        <f t="shared" ref="K7:V7" si="0">+C7</f>
        <v>2017</v>
      </c>
      <c r="L7" s="463">
        <f t="shared" si="0"/>
        <v>2018</v>
      </c>
      <c r="M7" s="463">
        <f t="shared" si="0"/>
        <v>2019</v>
      </c>
      <c r="N7" s="464">
        <f t="shared" si="0"/>
        <v>2020</v>
      </c>
      <c r="O7" s="463">
        <f t="shared" si="0"/>
        <v>2017</v>
      </c>
      <c r="P7" s="463">
        <f t="shared" si="0"/>
        <v>2018</v>
      </c>
      <c r="Q7" s="463">
        <f t="shared" si="0"/>
        <v>2019</v>
      </c>
      <c r="R7" s="464">
        <f t="shared" si="0"/>
        <v>2020</v>
      </c>
      <c r="S7" s="463">
        <f t="shared" si="0"/>
        <v>2017</v>
      </c>
      <c r="T7" s="463">
        <f t="shared" si="0"/>
        <v>2018</v>
      </c>
      <c r="U7" s="463">
        <f t="shared" si="0"/>
        <v>2019</v>
      </c>
      <c r="V7" s="464">
        <f t="shared" si="0"/>
        <v>2020</v>
      </c>
      <c r="W7" s="500"/>
      <c r="X7" s="500"/>
      <c r="Y7" s="500"/>
      <c r="Z7" s="500"/>
      <c r="AA7" s="500"/>
      <c r="AB7" s="500"/>
      <c r="AC7" s="500"/>
    </row>
    <row r="8" spans="1:29" s="481" customFormat="1" ht="18" customHeight="1">
      <c r="A8" s="465"/>
      <c r="B8" s="293" t="s">
        <v>1322</v>
      </c>
      <c r="C8" s="353">
        <v>329</v>
      </c>
      <c r="D8" s="353">
        <v>261</v>
      </c>
      <c r="E8" s="353">
        <v>226</v>
      </c>
      <c r="F8" s="466">
        <v>54</v>
      </c>
      <c r="G8" s="353">
        <v>575</v>
      </c>
      <c r="H8" s="353">
        <v>421</v>
      </c>
      <c r="I8" s="353">
        <v>434</v>
      </c>
      <c r="J8" s="466">
        <v>132</v>
      </c>
      <c r="K8" s="353">
        <v>1581</v>
      </c>
      <c r="L8" s="353">
        <v>1216</v>
      </c>
      <c r="M8" s="353">
        <v>1640</v>
      </c>
      <c r="N8" s="466">
        <v>449</v>
      </c>
      <c r="O8" s="353">
        <v>582</v>
      </c>
      <c r="P8" s="353">
        <v>566</v>
      </c>
      <c r="Q8" s="353">
        <v>962</v>
      </c>
      <c r="R8" s="466">
        <v>217</v>
      </c>
      <c r="S8" s="352">
        <f t="shared" ref="S8:V8" si="1">+C8+G8+K8+O8</f>
        <v>3067</v>
      </c>
      <c r="T8" s="353">
        <f t="shared" si="1"/>
        <v>2464</v>
      </c>
      <c r="U8" s="353">
        <f t="shared" si="1"/>
        <v>3262</v>
      </c>
      <c r="V8" s="466">
        <f t="shared" si="1"/>
        <v>852</v>
      </c>
      <c r="W8" s="500"/>
      <c r="X8" s="498"/>
      <c r="Y8" s="500"/>
      <c r="Z8" s="498"/>
      <c r="AA8" s="500"/>
      <c r="AB8" s="500"/>
      <c r="AC8" s="500"/>
    </row>
    <row r="9" spans="1:29" s="481" customFormat="1" ht="18" customHeight="1">
      <c r="A9" s="465"/>
      <c r="B9" s="293" t="s">
        <v>1323</v>
      </c>
      <c r="C9" s="353">
        <v>499</v>
      </c>
      <c r="D9" s="353">
        <v>329</v>
      </c>
      <c r="E9" s="353">
        <v>310</v>
      </c>
      <c r="F9" s="466">
        <v>107</v>
      </c>
      <c r="G9" s="353">
        <v>805</v>
      </c>
      <c r="H9" s="353">
        <v>783</v>
      </c>
      <c r="I9" s="353">
        <v>716</v>
      </c>
      <c r="J9" s="466">
        <v>288</v>
      </c>
      <c r="K9" s="353">
        <v>1457</v>
      </c>
      <c r="L9" s="353">
        <v>1239</v>
      </c>
      <c r="M9" s="353">
        <v>1134</v>
      </c>
      <c r="N9" s="466">
        <v>766</v>
      </c>
      <c r="O9" s="353">
        <v>153</v>
      </c>
      <c r="P9" s="353">
        <v>105</v>
      </c>
      <c r="Q9" s="353">
        <v>129</v>
      </c>
      <c r="R9" s="466">
        <v>66</v>
      </c>
      <c r="S9" s="352">
        <f t="shared" ref="S9:V11" si="2">+C9+G9+K9+O9</f>
        <v>2914</v>
      </c>
      <c r="T9" s="353">
        <f t="shared" si="2"/>
        <v>2456</v>
      </c>
      <c r="U9" s="353">
        <f t="shared" si="2"/>
        <v>2289</v>
      </c>
      <c r="V9" s="466">
        <f t="shared" si="2"/>
        <v>1227</v>
      </c>
      <c r="W9" s="500"/>
      <c r="X9" s="498"/>
      <c r="Y9" s="500"/>
      <c r="Z9" s="500"/>
      <c r="AA9" s="498"/>
      <c r="AB9" s="500"/>
      <c r="AC9" s="500"/>
    </row>
    <row r="10" spans="1:29" s="481" customFormat="1" ht="18" customHeight="1">
      <c r="A10" s="465"/>
      <c r="B10" s="293" t="s">
        <v>1188</v>
      </c>
      <c r="C10" s="353">
        <v>9</v>
      </c>
      <c r="D10" s="353">
        <v>8</v>
      </c>
      <c r="E10" s="353">
        <v>6</v>
      </c>
      <c r="F10" s="466">
        <v>5</v>
      </c>
      <c r="G10" s="353">
        <v>20</v>
      </c>
      <c r="H10" s="353">
        <v>10</v>
      </c>
      <c r="I10" s="353">
        <v>14</v>
      </c>
      <c r="J10" s="466">
        <v>7</v>
      </c>
      <c r="K10" s="353">
        <v>72</v>
      </c>
      <c r="L10" s="353">
        <v>78</v>
      </c>
      <c r="M10" s="353">
        <v>75</v>
      </c>
      <c r="N10" s="466">
        <v>29</v>
      </c>
      <c r="O10" s="353">
        <v>4</v>
      </c>
      <c r="P10" s="353">
        <v>10</v>
      </c>
      <c r="Q10" s="353">
        <v>5</v>
      </c>
      <c r="R10" s="466">
        <v>1</v>
      </c>
      <c r="S10" s="353">
        <f t="shared" si="2"/>
        <v>105</v>
      </c>
      <c r="T10" s="353">
        <f t="shared" si="2"/>
        <v>106</v>
      </c>
      <c r="U10" s="353">
        <f t="shared" si="2"/>
        <v>100</v>
      </c>
      <c r="V10" s="466">
        <f t="shared" si="2"/>
        <v>42</v>
      </c>
      <c r="W10" s="500"/>
      <c r="X10" s="498"/>
      <c r="Y10" s="500"/>
      <c r="Z10" s="500"/>
      <c r="AA10" s="500"/>
      <c r="AB10" s="500"/>
      <c r="AC10" s="500"/>
    </row>
    <row r="11" spans="1:29" s="481" customFormat="1" ht="18" customHeight="1">
      <c r="A11" s="465"/>
      <c r="B11" s="293" t="s">
        <v>1561</v>
      </c>
      <c r="C11" s="353"/>
      <c r="D11" s="353">
        <v>161</v>
      </c>
      <c r="E11" s="353">
        <v>375</v>
      </c>
      <c r="F11" s="466">
        <v>77</v>
      </c>
      <c r="G11" s="353"/>
      <c r="H11" s="353">
        <v>571</v>
      </c>
      <c r="I11" s="353">
        <v>1967</v>
      </c>
      <c r="J11" s="466">
        <v>442</v>
      </c>
      <c r="K11" s="353"/>
      <c r="L11" s="353">
        <v>1165</v>
      </c>
      <c r="M11" s="353">
        <v>3387</v>
      </c>
      <c r="N11" s="466">
        <v>764</v>
      </c>
      <c r="O11" s="353"/>
      <c r="P11" s="353">
        <v>185</v>
      </c>
      <c r="Q11" s="353">
        <v>3215</v>
      </c>
      <c r="R11" s="466">
        <v>982</v>
      </c>
      <c r="S11" s="353">
        <f t="shared" ref="S11" si="3">+C11+G11+K11+O11</f>
        <v>0</v>
      </c>
      <c r="T11" s="353">
        <f t="shared" ref="T11" si="4">+D11+H11+L11+P11</f>
        <v>2082</v>
      </c>
      <c r="U11" s="353">
        <f t="shared" ref="U11" si="5">+E11+I11+M11+Q11</f>
        <v>8944</v>
      </c>
      <c r="V11" s="466">
        <f t="shared" si="2"/>
        <v>2265</v>
      </c>
      <c r="W11" s="500"/>
      <c r="X11" s="500"/>
      <c r="Y11" s="500"/>
      <c r="Z11" s="500"/>
      <c r="AA11" s="500"/>
      <c r="AB11" s="500"/>
      <c r="AC11" s="500"/>
    </row>
    <row r="12" spans="1:29" s="481" customFormat="1" ht="18" customHeight="1">
      <c r="A12" s="465"/>
      <c r="B12" s="334" t="s">
        <v>804</v>
      </c>
      <c r="C12" s="353">
        <v>132</v>
      </c>
      <c r="D12" s="353">
        <v>141</v>
      </c>
      <c r="E12" s="353">
        <v>108</v>
      </c>
      <c r="F12" s="466">
        <v>12</v>
      </c>
      <c r="G12" s="353">
        <v>144</v>
      </c>
      <c r="H12" s="353">
        <v>189</v>
      </c>
      <c r="I12" s="353">
        <v>159</v>
      </c>
      <c r="J12" s="466">
        <v>33</v>
      </c>
      <c r="K12" s="353">
        <v>275</v>
      </c>
      <c r="L12" s="353">
        <v>347</v>
      </c>
      <c r="M12" s="353">
        <v>310</v>
      </c>
      <c r="N12" s="466">
        <v>101</v>
      </c>
      <c r="O12" s="353">
        <v>63</v>
      </c>
      <c r="P12" s="353">
        <v>32</v>
      </c>
      <c r="Q12" s="353">
        <v>112</v>
      </c>
      <c r="R12" s="466">
        <v>78</v>
      </c>
      <c r="S12" s="352">
        <f>+C12+G12+K12+O12</f>
        <v>614</v>
      </c>
      <c r="T12" s="353">
        <f>+D12+H12+L12+P12</f>
        <v>709</v>
      </c>
      <c r="U12" s="353">
        <f>+E12+I12+M12+Q12</f>
        <v>689</v>
      </c>
      <c r="V12" s="466">
        <f t="shared" ref="V12:V19" si="6">+F12+J12+N12+R12</f>
        <v>224</v>
      </c>
      <c r="W12" s="500"/>
      <c r="X12" s="500"/>
      <c r="Y12" s="498"/>
      <c r="Z12" s="500"/>
      <c r="AA12" s="500"/>
      <c r="AB12" s="500"/>
      <c r="AC12" s="500"/>
    </row>
    <row r="13" spans="1:29" s="481" customFormat="1" ht="18" customHeight="1">
      <c r="A13" s="465"/>
      <c r="B13" s="334" t="s">
        <v>625</v>
      </c>
      <c r="C13" s="353">
        <v>969</v>
      </c>
      <c r="D13" s="353">
        <v>900</v>
      </c>
      <c r="E13" s="353">
        <f>SUM(E8:E12)</f>
        <v>1025</v>
      </c>
      <c r="F13" s="466">
        <f>SUM(F8:F12)</f>
        <v>255</v>
      </c>
      <c r="G13" s="353">
        <v>1544</v>
      </c>
      <c r="H13" s="353">
        <v>1974</v>
      </c>
      <c r="I13" s="353">
        <f>SUM(I8:I12)</f>
        <v>3290</v>
      </c>
      <c r="J13" s="466">
        <f>SUM(J8:J12)</f>
        <v>902</v>
      </c>
      <c r="K13" s="353">
        <v>3385</v>
      </c>
      <c r="L13" s="353">
        <v>4045</v>
      </c>
      <c r="M13" s="353">
        <f>SUM(M8:M12)</f>
        <v>6546</v>
      </c>
      <c r="N13" s="466">
        <f>SUM(N8:N12)</f>
        <v>2109</v>
      </c>
      <c r="O13" s="353">
        <v>802</v>
      </c>
      <c r="P13" s="353">
        <v>898</v>
      </c>
      <c r="Q13" s="353">
        <f t="shared" ref="Q13" si="7">SUM(Q8:Q12)</f>
        <v>4423</v>
      </c>
      <c r="R13" s="466">
        <f t="shared" ref="R13:V13" si="8">SUM(R8:R12)</f>
        <v>1344</v>
      </c>
      <c r="S13" s="352">
        <f t="shared" si="8"/>
        <v>6700</v>
      </c>
      <c r="T13" s="353">
        <f t="shared" si="8"/>
        <v>7817</v>
      </c>
      <c r="U13" s="353">
        <f t="shared" si="8"/>
        <v>15284</v>
      </c>
      <c r="V13" s="466">
        <f t="shared" si="8"/>
        <v>4610</v>
      </c>
      <c r="W13" s="500"/>
      <c r="X13" s="500"/>
      <c r="Y13" s="500"/>
      <c r="Z13" s="498"/>
      <c r="AA13" s="500"/>
      <c r="AB13" s="500"/>
      <c r="AC13" s="500"/>
    </row>
    <row r="14" spans="1:29" s="481" customFormat="1" ht="18" customHeight="1">
      <c r="A14" s="465" t="s">
        <v>522</v>
      </c>
      <c r="B14" s="334" t="s">
        <v>805</v>
      </c>
      <c r="C14" s="353">
        <v>79</v>
      </c>
      <c r="D14" s="353">
        <v>53</v>
      </c>
      <c r="E14" s="353">
        <v>92</v>
      </c>
      <c r="F14" s="466">
        <v>57</v>
      </c>
      <c r="G14" s="353">
        <v>206</v>
      </c>
      <c r="H14" s="353">
        <v>138</v>
      </c>
      <c r="I14" s="353">
        <v>223</v>
      </c>
      <c r="J14" s="466">
        <v>187</v>
      </c>
      <c r="K14" s="353">
        <v>524</v>
      </c>
      <c r="L14" s="353">
        <v>381</v>
      </c>
      <c r="M14" s="353">
        <v>479</v>
      </c>
      <c r="N14" s="466">
        <v>523</v>
      </c>
      <c r="O14" s="353">
        <v>108</v>
      </c>
      <c r="P14" s="353">
        <v>71</v>
      </c>
      <c r="Q14" s="353">
        <v>92</v>
      </c>
      <c r="R14" s="466">
        <v>74</v>
      </c>
      <c r="S14" s="352">
        <f t="shared" ref="S14:U16" si="9">+C14+G14+K14+O14</f>
        <v>917</v>
      </c>
      <c r="T14" s="353">
        <f t="shared" si="9"/>
        <v>643</v>
      </c>
      <c r="U14" s="353">
        <f t="shared" si="9"/>
        <v>886</v>
      </c>
      <c r="V14" s="466">
        <f t="shared" si="6"/>
        <v>841</v>
      </c>
      <c r="W14" s="500"/>
      <c r="X14" s="500"/>
      <c r="Y14" s="500"/>
      <c r="Z14" s="498"/>
      <c r="AA14" s="500"/>
      <c r="AB14" s="500"/>
      <c r="AC14" s="500"/>
    </row>
    <row r="15" spans="1:29" s="481" customFormat="1" ht="18" customHeight="1">
      <c r="A15" s="465"/>
      <c r="B15" s="293" t="s">
        <v>1189</v>
      </c>
      <c r="C15" s="353">
        <v>2</v>
      </c>
      <c r="D15" s="353">
        <v>4</v>
      </c>
      <c r="E15" s="353">
        <v>12</v>
      </c>
      <c r="F15" s="466">
        <v>1</v>
      </c>
      <c r="G15" s="353">
        <v>13</v>
      </c>
      <c r="H15" s="353">
        <v>23</v>
      </c>
      <c r="I15" s="353">
        <v>20</v>
      </c>
      <c r="J15" s="466">
        <v>4</v>
      </c>
      <c r="K15" s="353">
        <v>162</v>
      </c>
      <c r="L15" s="353">
        <v>72</v>
      </c>
      <c r="M15" s="353">
        <v>50</v>
      </c>
      <c r="N15" s="466">
        <v>18</v>
      </c>
      <c r="O15" s="353">
        <v>14</v>
      </c>
      <c r="P15" s="353">
        <v>8</v>
      </c>
      <c r="Q15" s="353">
        <v>3</v>
      </c>
      <c r="R15" s="466">
        <v>0</v>
      </c>
      <c r="S15" s="353">
        <f t="shared" si="9"/>
        <v>191</v>
      </c>
      <c r="T15" s="353">
        <f t="shared" si="9"/>
        <v>107</v>
      </c>
      <c r="U15" s="353">
        <f t="shared" si="9"/>
        <v>85</v>
      </c>
      <c r="V15" s="466">
        <f t="shared" si="6"/>
        <v>23</v>
      </c>
      <c r="W15" s="500"/>
      <c r="X15" s="500"/>
      <c r="Y15" s="500"/>
      <c r="Z15" s="500"/>
      <c r="AA15" s="500"/>
      <c r="AB15" s="500"/>
      <c r="AC15" s="500"/>
    </row>
    <row r="16" spans="1:29" s="481" customFormat="1" ht="18" customHeight="1">
      <c r="A16" s="465"/>
      <c r="B16" s="293" t="s">
        <v>1190</v>
      </c>
      <c r="C16" s="353">
        <v>7</v>
      </c>
      <c r="D16" s="353">
        <v>1</v>
      </c>
      <c r="E16" s="353">
        <v>3</v>
      </c>
      <c r="F16" s="466">
        <v>0</v>
      </c>
      <c r="G16" s="353">
        <v>18</v>
      </c>
      <c r="H16" s="353">
        <v>18</v>
      </c>
      <c r="I16" s="353">
        <v>9</v>
      </c>
      <c r="J16" s="466">
        <v>2</v>
      </c>
      <c r="K16" s="353">
        <v>42</v>
      </c>
      <c r="L16" s="353">
        <v>67</v>
      </c>
      <c r="M16" s="353">
        <v>39</v>
      </c>
      <c r="N16" s="466">
        <v>28</v>
      </c>
      <c r="O16" s="353">
        <v>17</v>
      </c>
      <c r="P16" s="353">
        <v>15</v>
      </c>
      <c r="Q16" s="353">
        <v>19</v>
      </c>
      <c r="R16" s="466">
        <v>14</v>
      </c>
      <c r="S16" s="353">
        <f t="shared" si="9"/>
        <v>84</v>
      </c>
      <c r="T16" s="353">
        <f t="shared" si="9"/>
        <v>101</v>
      </c>
      <c r="U16" s="353">
        <f t="shared" si="9"/>
        <v>70</v>
      </c>
      <c r="V16" s="466">
        <f t="shared" si="6"/>
        <v>44</v>
      </c>
      <c r="W16" s="500"/>
      <c r="X16" s="500"/>
      <c r="Y16" s="500"/>
      <c r="Z16" s="500"/>
      <c r="AA16" s="500"/>
      <c r="AB16" s="500"/>
      <c r="AC16" s="500"/>
    </row>
    <row r="17" spans="1:29" s="481" customFormat="1" ht="18" customHeight="1">
      <c r="A17" s="465"/>
      <c r="B17" s="334" t="s">
        <v>625</v>
      </c>
      <c r="C17" s="353">
        <v>88</v>
      </c>
      <c r="D17" s="353">
        <v>58</v>
      </c>
      <c r="E17" s="353">
        <f>SUM(E14:E16)</f>
        <v>107</v>
      </c>
      <c r="F17" s="466">
        <f>SUM(F14:F16)</f>
        <v>58</v>
      </c>
      <c r="G17" s="353">
        <v>237</v>
      </c>
      <c r="H17" s="353">
        <v>179</v>
      </c>
      <c r="I17" s="353">
        <f>SUM(I14:I16)</f>
        <v>252</v>
      </c>
      <c r="J17" s="466">
        <f>SUM(J14:J16)</f>
        <v>193</v>
      </c>
      <c r="K17" s="353">
        <v>728</v>
      </c>
      <c r="L17" s="353">
        <v>520</v>
      </c>
      <c r="M17" s="353">
        <f>SUM(M14:M16)</f>
        <v>568</v>
      </c>
      <c r="N17" s="466">
        <f>SUM(N14:N16)</f>
        <v>569</v>
      </c>
      <c r="O17" s="353">
        <v>139</v>
      </c>
      <c r="P17" s="353">
        <v>94</v>
      </c>
      <c r="Q17" s="353">
        <f>SUM(Q14:Q16)</f>
        <v>114</v>
      </c>
      <c r="R17" s="466">
        <f>SUM(R14:R16)</f>
        <v>88</v>
      </c>
      <c r="S17" s="352">
        <f t="shared" ref="S17:U19" si="10">+C17+G17+K17+O17</f>
        <v>1192</v>
      </c>
      <c r="T17" s="353">
        <f t="shared" si="10"/>
        <v>851</v>
      </c>
      <c r="U17" s="353">
        <f t="shared" si="10"/>
        <v>1041</v>
      </c>
      <c r="V17" s="466">
        <f>SUM(V14:V16)</f>
        <v>908</v>
      </c>
      <c r="W17" s="500"/>
      <c r="X17" s="500"/>
      <c r="Y17" s="500"/>
      <c r="Z17" s="500"/>
      <c r="AA17" s="500"/>
      <c r="AB17" s="500"/>
      <c r="AC17" s="500"/>
    </row>
    <row r="18" spans="1:29" s="481" customFormat="1" ht="18" customHeight="1">
      <c r="A18" s="465" t="s">
        <v>930</v>
      </c>
      <c r="B18" s="293" t="s">
        <v>807</v>
      </c>
      <c r="C18" s="353">
        <v>192</v>
      </c>
      <c r="D18" s="353">
        <v>221</v>
      </c>
      <c r="E18" s="353">
        <v>285</v>
      </c>
      <c r="F18" s="466">
        <v>53</v>
      </c>
      <c r="G18" s="353">
        <v>281</v>
      </c>
      <c r="H18" s="353">
        <v>532</v>
      </c>
      <c r="I18" s="353">
        <v>331</v>
      </c>
      <c r="J18" s="466">
        <v>127</v>
      </c>
      <c r="K18" s="353">
        <v>763</v>
      </c>
      <c r="L18" s="353">
        <v>929</v>
      </c>
      <c r="M18" s="353">
        <v>1115</v>
      </c>
      <c r="N18" s="466">
        <v>507</v>
      </c>
      <c r="O18" s="353">
        <v>225</v>
      </c>
      <c r="P18" s="353">
        <v>235</v>
      </c>
      <c r="Q18" s="353">
        <v>298</v>
      </c>
      <c r="R18" s="466">
        <v>118</v>
      </c>
      <c r="S18" s="352">
        <f t="shared" si="10"/>
        <v>1461</v>
      </c>
      <c r="T18" s="353">
        <f t="shared" si="10"/>
        <v>1917</v>
      </c>
      <c r="U18" s="353">
        <f t="shared" si="10"/>
        <v>2029</v>
      </c>
      <c r="V18" s="466">
        <f t="shared" si="6"/>
        <v>805</v>
      </c>
      <c r="W18" s="500"/>
      <c r="X18" s="500"/>
      <c r="Y18" s="500"/>
      <c r="Z18" s="500"/>
      <c r="AA18" s="500"/>
      <c r="AB18" s="500"/>
      <c r="AC18" s="500"/>
    </row>
    <row r="19" spans="1:29" s="481" customFormat="1" ht="18" customHeight="1">
      <c r="A19" s="465"/>
      <c r="B19" s="293" t="s">
        <v>1192</v>
      </c>
      <c r="C19" s="353">
        <v>12</v>
      </c>
      <c r="D19" s="353">
        <v>3</v>
      </c>
      <c r="E19" s="353">
        <v>18</v>
      </c>
      <c r="F19" s="466">
        <v>4</v>
      </c>
      <c r="G19" s="353">
        <v>15</v>
      </c>
      <c r="H19" s="353">
        <v>16</v>
      </c>
      <c r="I19" s="353">
        <v>22</v>
      </c>
      <c r="J19" s="466">
        <v>2</v>
      </c>
      <c r="K19" s="353">
        <v>56</v>
      </c>
      <c r="L19" s="353">
        <v>70</v>
      </c>
      <c r="M19" s="353">
        <v>53</v>
      </c>
      <c r="N19" s="466">
        <v>23</v>
      </c>
      <c r="O19" s="353">
        <v>24</v>
      </c>
      <c r="P19" s="353">
        <v>35</v>
      </c>
      <c r="Q19" s="353">
        <v>19</v>
      </c>
      <c r="R19" s="466">
        <v>11</v>
      </c>
      <c r="S19" s="353">
        <f t="shared" si="10"/>
        <v>107</v>
      </c>
      <c r="T19" s="353">
        <f t="shared" si="10"/>
        <v>124</v>
      </c>
      <c r="U19" s="353">
        <f t="shared" si="10"/>
        <v>112</v>
      </c>
      <c r="V19" s="466">
        <f t="shared" si="6"/>
        <v>40</v>
      </c>
      <c r="W19" s="500"/>
      <c r="X19" s="500"/>
      <c r="Y19" s="500"/>
      <c r="Z19" s="500"/>
      <c r="AA19" s="500"/>
      <c r="AB19" s="500"/>
      <c r="AC19" s="500"/>
    </row>
    <row r="20" spans="1:29" s="481" customFormat="1" ht="18" customHeight="1">
      <c r="A20" s="465"/>
      <c r="B20" s="334" t="s">
        <v>625</v>
      </c>
      <c r="C20" s="353">
        <v>204</v>
      </c>
      <c r="D20" s="353">
        <v>224</v>
      </c>
      <c r="E20" s="353">
        <f>SUM(E18:E19)</f>
        <v>303</v>
      </c>
      <c r="F20" s="466">
        <f>SUM(F18:F19)</f>
        <v>57</v>
      </c>
      <c r="G20" s="353">
        <v>296</v>
      </c>
      <c r="H20" s="353">
        <v>548</v>
      </c>
      <c r="I20" s="353">
        <f>SUM(I18:I19)</f>
        <v>353</v>
      </c>
      <c r="J20" s="466">
        <f>SUM(J18:J19)</f>
        <v>129</v>
      </c>
      <c r="K20" s="353">
        <v>819</v>
      </c>
      <c r="L20" s="353">
        <v>999</v>
      </c>
      <c r="M20" s="353">
        <f>SUM(M18:M19)</f>
        <v>1168</v>
      </c>
      <c r="N20" s="466">
        <f>SUM(N18:N19)</f>
        <v>530</v>
      </c>
      <c r="O20" s="353">
        <v>249</v>
      </c>
      <c r="P20" s="353">
        <v>270</v>
      </c>
      <c r="Q20" s="353">
        <f>SUM(Q18:Q19)</f>
        <v>317</v>
      </c>
      <c r="R20" s="353">
        <f>SUM(R18:R19)</f>
        <v>129</v>
      </c>
      <c r="S20" s="352">
        <f t="shared" ref="S20:U21" si="11">+C20+G20+K20+O20</f>
        <v>1568</v>
      </c>
      <c r="T20" s="353">
        <f t="shared" si="11"/>
        <v>2041</v>
      </c>
      <c r="U20" s="353">
        <f t="shared" si="11"/>
        <v>2141</v>
      </c>
      <c r="V20" s="466">
        <f>SUM(V18:V19)</f>
        <v>845</v>
      </c>
      <c r="W20" s="500"/>
      <c r="X20" s="500"/>
      <c r="Y20" s="498"/>
      <c r="Z20" s="500"/>
      <c r="AA20" s="500"/>
      <c r="AB20" s="500"/>
      <c r="AC20" s="500"/>
    </row>
    <row r="21" spans="1:29" s="481" customFormat="1" ht="18" customHeight="1">
      <c r="A21" s="465" t="s">
        <v>524</v>
      </c>
      <c r="B21" s="334" t="s">
        <v>808</v>
      </c>
      <c r="C21" s="353">
        <v>377</v>
      </c>
      <c r="D21" s="353">
        <v>372</v>
      </c>
      <c r="E21" s="353">
        <v>340</v>
      </c>
      <c r="F21" s="466">
        <v>103</v>
      </c>
      <c r="G21" s="353">
        <v>526</v>
      </c>
      <c r="H21" s="353">
        <v>489</v>
      </c>
      <c r="I21" s="353">
        <v>552</v>
      </c>
      <c r="J21" s="466">
        <v>222</v>
      </c>
      <c r="K21" s="353">
        <v>828</v>
      </c>
      <c r="L21" s="353">
        <v>922</v>
      </c>
      <c r="M21" s="353">
        <v>1031</v>
      </c>
      <c r="N21" s="466">
        <v>674</v>
      </c>
      <c r="O21" s="353">
        <v>170</v>
      </c>
      <c r="P21" s="353">
        <v>190</v>
      </c>
      <c r="Q21" s="353">
        <v>269</v>
      </c>
      <c r="R21" s="466">
        <v>128</v>
      </c>
      <c r="S21" s="352">
        <f t="shared" si="11"/>
        <v>1901</v>
      </c>
      <c r="T21" s="353">
        <f t="shared" si="11"/>
        <v>1973</v>
      </c>
      <c r="U21" s="353">
        <f t="shared" si="11"/>
        <v>2192</v>
      </c>
      <c r="V21" s="466">
        <f>+F21+J21+N21+R21</f>
        <v>1127</v>
      </c>
      <c r="W21" s="500"/>
      <c r="X21" s="500"/>
      <c r="Y21" s="500"/>
      <c r="Z21" s="500"/>
      <c r="AA21" s="500"/>
      <c r="AB21" s="500"/>
      <c r="AC21" s="500"/>
    </row>
    <row r="22" spans="1:29" s="481" customFormat="1" ht="18" customHeight="1">
      <c r="A22" s="475" t="s">
        <v>931</v>
      </c>
      <c r="B22" s="484"/>
      <c r="C22" s="473">
        <v>1638</v>
      </c>
      <c r="D22" s="473">
        <v>1554</v>
      </c>
      <c r="E22" s="473">
        <f>+E13+E17+E20+E21</f>
        <v>1775</v>
      </c>
      <c r="F22" s="474">
        <f>+F13+F17+F20+F21</f>
        <v>473</v>
      </c>
      <c r="G22" s="473">
        <v>2603</v>
      </c>
      <c r="H22" s="473">
        <v>3190</v>
      </c>
      <c r="I22" s="473">
        <f>+I13+I17+I20+I21</f>
        <v>4447</v>
      </c>
      <c r="J22" s="474">
        <f>+J13+J17+J20+J21</f>
        <v>1446</v>
      </c>
      <c r="K22" s="473">
        <v>5760</v>
      </c>
      <c r="L22" s="473">
        <v>6486</v>
      </c>
      <c r="M22" s="473">
        <f>+M13+M17+M20+M21</f>
        <v>9313</v>
      </c>
      <c r="N22" s="474">
        <f>+N13+N17+N20+N21</f>
        <v>3882</v>
      </c>
      <c r="O22" s="473">
        <v>1360</v>
      </c>
      <c r="P22" s="473">
        <v>1452</v>
      </c>
      <c r="Q22" s="473">
        <f t="shared" ref="Q22" si="12">+Q13+Q17+Q20+Q21</f>
        <v>5123</v>
      </c>
      <c r="R22" s="474">
        <f t="shared" ref="R22:U22" si="13">+R13+R17+R20+R21</f>
        <v>1689</v>
      </c>
      <c r="S22" s="472">
        <f t="shared" si="13"/>
        <v>11361</v>
      </c>
      <c r="T22" s="473">
        <f t="shared" si="13"/>
        <v>12682</v>
      </c>
      <c r="U22" s="473">
        <f t="shared" si="13"/>
        <v>20658</v>
      </c>
      <c r="V22" s="474">
        <f>+V13+V17+V20+V21</f>
        <v>7490</v>
      </c>
      <c r="W22" s="500"/>
      <c r="X22" s="500"/>
      <c r="Y22" s="500"/>
      <c r="Z22" s="500"/>
      <c r="AA22" s="500"/>
      <c r="AB22" s="500"/>
      <c r="AC22" s="500"/>
    </row>
    <row r="23" spans="1:29" s="481" customFormat="1" ht="18" customHeight="1">
      <c r="A23" s="465" t="s">
        <v>932</v>
      </c>
      <c r="B23" s="293" t="s">
        <v>1325</v>
      </c>
      <c r="C23" s="353">
        <v>449</v>
      </c>
      <c r="D23" s="353">
        <v>357</v>
      </c>
      <c r="E23" s="353">
        <v>568</v>
      </c>
      <c r="F23" s="466">
        <v>218</v>
      </c>
      <c r="G23" s="353">
        <v>695</v>
      </c>
      <c r="H23" s="353">
        <v>755</v>
      </c>
      <c r="I23" s="353">
        <v>693</v>
      </c>
      <c r="J23" s="466">
        <v>168</v>
      </c>
      <c r="K23" s="353">
        <v>2170</v>
      </c>
      <c r="L23" s="353">
        <v>2130</v>
      </c>
      <c r="M23" s="353">
        <v>1917</v>
      </c>
      <c r="N23" s="466">
        <v>549</v>
      </c>
      <c r="O23" s="353">
        <v>920</v>
      </c>
      <c r="P23" s="353">
        <v>993</v>
      </c>
      <c r="Q23" s="353">
        <v>853</v>
      </c>
      <c r="R23" s="466">
        <v>263</v>
      </c>
      <c r="S23" s="352">
        <f t="shared" ref="S23:S43" si="14">+C23+G23+K23+O23</f>
        <v>4234</v>
      </c>
      <c r="T23" s="353">
        <f t="shared" ref="S23:T44" si="15">+D23+H23+L23+P23</f>
        <v>4235</v>
      </c>
      <c r="U23" s="353">
        <f t="shared" ref="U23:U44" si="16">+E23+I23+M23+Q23</f>
        <v>4031</v>
      </c>
      <c r="V23" s="466">
        <f t="shared" ref="V23:V28" si="17">+F23+J23+N23+R23</f>
        <v>1198</v>
      </c>
      <c r="W23" s="500"/>
      <c r="X23" s="500"/>
      <c r="Y23" s="500"/>
      <c r="Z23" s="500"/>
      <c r="AA23" s="500"/>
      <c r="AB23" s="500"/>
      <c r="AC23" s="500"/>
    </row>
    <row r="24" spans="1:29" s="481" customFormat="1" ht="18" customHeight="1">
      <c r="A24" s="465"/>
      <c r="B24" s="293" t="s">
        <v>1451</v>
      </c>
      <c r="C24" s="353"/>
      <c r="D24" s="353"/>
      <c r="E24" s="353"/>
      <c r="F24" s="466"/>
      <c r="G24" s="353"/>
      <c r="H24" s="353"/>
      <c r="I24" s="353"/>
      <c r="J24" s="466"/>
      <c r="K24" s="353">
        <v>319</v>
      </c>
      <c r="L24" s="353">
        <v>526</v>
      </c>
      <c r="M24" s="353">
        <v>599</v>
      </c>
      <c r="N24" s="466">
        <v>115</v>
      </c>
      <c r="O24" s="353"/>
      <c r="P24" s="353"/>
      <c r="Q24" s="353"/>
      <c r="R24" s="466"/>
      <c r="S24" s="352">
        <f t="shared" ref="S24:S25" si="18">+C24+G24+K24+O24</f>
        <v>319</v>
      </c>
      <c r="T24" s="353">
        <f t="shared" ref="T24:T25" si="19">+D24+H24+L24+P24</f>
        <v>526</v>
      </c>
      <c r="U24" s="353">
        <f t="shared" si="16"/>
        <v>599</v>
      </c>
      <c r="V24" s="466">
        <f t="shared" si="17"/>
        <v>115</v>
      </c>
      <c r="W24" s="500"/>
      <c r="X24" s="500"/>
      <c r="Y24" s="500"/>
      <c r="Z24" s="500"/>
      <c r="AA24" s="500"/>
      <c r="AB24" s="500"/>
      <c r="AC24" s="500"/>
    </row>
    <row r="25" spans="1:29" s="481" customFormat="1" ht="18" customHeight="1">
      <c r="A25" s="465"/>
      <c r="B25" s="293" t="s">
        <v>1454</v>
      </c>
      <c r="C25" s="353">
        <v>61</v>
      </c>
      <c r="D25" s="353">
        <v>256</v>
      </c>
      <c r="E25" s="353">
        <v>231</v>
      </c>
      <c r="F25" s="466">
        <v>58</v>
      </c>
      <c r="G25" s="353">
        <v>345</v>
      </c>
      <c r="H25" s="353">
        <v>1394</v>
      </c>
      <c r="I25" s="353">
        <v>1549</v>
      </c>
      <c r="J25" s="466">
        <v>475</v>
      </c>
      <c r="K25" s="353">
        <v>550</v>
      </c>
      <c r="L25" s="353">
        <v>1566</v>
      </c>
      <c r="M25" s="353">
        <v>2180</v>
      </c>
      <c r="N25" s="466">
        <v>770</v>
      </c>
      <c r="O25" s="353">
        <v>151</v>
      </c>
      <c r="P25" s="353">
        <v>245</v>
      </c>
      <c r="Q25" s="353">
        <v>353</v>
      </c>
      <c r="R25" s="466">
        <v>59</v>
      </c>
      <c r="S25" s="352">
        <f t="shared" si="18"/>
        <v>1107</v>
      </c>
      <c r="T25" s="353">
        <f t="shared" si="19"/>
        <v>3461</v>
      </c>
      <c r="U25" s="353">
        <f t="shared" si="16"/>
        <v>4313</v>
      </c>
      <c r="V25" s="466">
        <f t="shared" si="17"/>
        <v>1362</v>
      </c>
      <c r="W25" s="500"/>
      <c r="X25" s="500"/>
      <c r="Y25" s="500"/>
      <c r="Z25" s="500"/>
      <c r="AA25" s="500"/>
      <c r="AB25" s="500"/>
      <c r="AC25" s="500"/>
    </row>
    <row r="26" spans="1:29" s="481" customFormat="1" ht="18" customHeight="1">
      <c r="A26" s="465"/>
      <c r="B26" s="293" t="s">
        <v>1324</v>
      </c>
      <c r="C26" s="353">
        <v>795</v>
      </c>
      <c r="D26" s="522">
        <v>870</v>
      </c>
      <c r="E26" s="522">
        <v>1232</v>
      </c>
      <c r="F26" s="507">
        <v>375</v>
      </c>
      <c r="G26" s="353">
        <v>1085</v>
      </c>
      <c r="H26" s="522">
        <v>1193</v>
      </c>
      <c r="I26" s="522">
        <v>1216</v>
      </c>
      <c r="J26" s="507">
        <v>429</v>
      </c>
      <c r="K26" s="353">
        <v>3025</v>
      </c>
      <c r="L26" s="522">
        <v>3152</v>
      </c>
      <c r="M26" s="522">
        <v>3013</v>
      </c>
      <c r="N26" s="507">
        <v>1508</v>
      </c>
      <c r="O26" s="353">
        <v>644</v>
      </c>
      <c r="P26" s="522">
        <v>652</v>
      </c>
      <c r="Q26" s="522">
        <v>566</v>
      </c>
      <c r="R26" s="507">
        <v>331</v>
      </c>
      <c r="S26" s="352">
        <f t="shared" si="14"/>
        <v>5549</v>
      </c>
      <c r="T26" s="353">
        <f t="shared" si="15"/>
        <v>5867</v>
      </c>
      <c r="U26" s="353">
        <f t="shared" si="16"/>
        <v>6027</v>
      </c>
      <c r="V26" s="466">
        <f t="shared" si="17"/>
        <v>2643</v>
      </c>
      <c r="W26" s="500"/>
      <c r="X26" s="500"/>
      <c r="Y26" s="500"/>
      <c r="Z26" s="500"/>
      <c r="AA26" s="500"/>
      <c r="AB26" s="500"/>
      <c r="AC26" s="500"/>
    </row>
    <row r="27" spans="1:29" s="481" customFormat="1" ht="18" customHeight="1">
      <c r="A27" s="465"/>
      <c r="B27" s="334" t="s">
        <v>532</v>
      </c>
      <c r="C27" s="353">
        <v>91</v>
      </c>
      <c r="D27" s="353">
        <v>99</v>
      </c>
      <c r="E27" s="353">
        <v>92</v>
      </c>
      <c r="F27" s="466">
        <v>42</v>
      </c>
      <c r="G27" s="353">
        <v>199</v>
      </c>
      <c r="H27" s="353">
        <v>206</v>
      </c>
      <c r="I27" s="353">
        <v>262</v>
      </c>
      <c r="J27" s="466">
        <v>127</v>
      </c>
      <c r="K27" s="353">
        <v>287</v>
      </c>
      <c r="L27" s="353">
        <v>384</v>
      </c>
      <c r="M27" s="353">
        <v>329</v>
      </c>
      <c r="N27" s="466">
        <v>222</v>
      </c>
      <c r="O27" s="353">
        <v>97</v>
      </c>
      <c r="P27" s="353">
        <v>77</v>
      </c>
      <c r="Q27" s="353">
        <v>94</v>
      </c>
      <c r="R27" s="466">
        <v>91</v>
      </c>
      <c r="S27" s="352">
        <f>+C27+G27+K27+O27</f>
        <v>674</v>
      </c>
      <c r="T27" s="353">
        <f>+D27+H27+L27+P27</f>
        <v>766</v>
      </c>
      <c r="U27" s="353">
        <f>+E27+I27+M27+Q27</f>
        <v>777</v>
      </c>
      <c r="V27" s="466">
        <f t="shared" si="17"/>
        <v>482</v>
      </c>
      <c r="W27" s="500"/>
      <c r="X27" s="500"/>
      <c r="Y27" s="498"/>
      <c r="Z27" s="500"/>
      <c r="AA27" s="500"/>
      <c r="AB27" s="500"/>
      <c r="AC27" s="500"/>
    </row>
    <row r="28" spans="1:29" s="481" customFormat="1" ht="18" customHeight="1">
      <c r="A28" s="465"/>
      <c r="B28" s="334" t="s">
        <v>812</v>
      </c>
      <c r="C28" s="353">
        <v>201</v>
      </c>
      <c r="D28" s="353">
        <v>183</v>
      </c>
      <c r="E28" s="353">
        <v>236</v>
      </c>
      <c r="F28" s="466">
        <v>67</v>
      </c>
      <c r="G28" s="353">
        <v>198</v>
      </c>
      <c r="H28" s="353">
        <v>183</v>
      </c>
      <c r="I28" s="353">
        <v>206</v>
      </c>
      <c r="J28" s="466">
        <v>98</v>
      </c>
      <c r="K28" s="353">
        <v>783</v>
      </c>
      <c r="L28" s="353">
        <v>645</v>
      </c>
      <c r="M28" s="353">
        <v>740</v>
      </c>
      <c r="N28" s="466">
        <v>395</v>
      </c>
      <c r="O28" s="353">
        <v>222</v>
      </c>
      <c r="P28" s="353">
        <v>224</v>
      </c>
      <c r="Q28" s="353">
        <v>272</v>
      </c>
      <c r="R28" s="466">
        <v>104</v>
      </c>
      <c r="S28" s="352">
        <f t="shared" si="14"/>
        <v>1404</v>
      </c>
      <c r="T28" s="353">
        <f t="shared" si="15"/>
        <v>1235</v>
      </c>
      <c r="U28" s="353">
        <f t="shared" si="16"/>
        <v>1454</v>
      </c>
      <c r="V28" s="466">
        <f t="shared" si="17"/>
        <v>664</v>
      </c>
      <c r="W28" s="500"/>
      <c r="X28" s="500"/>
      <c r="Y28" s="500"/>
      <c r="Z28" s="500"/>
      <c r="AA28" s="500"/>
      <c r="AB28" s="500"/>
      <c r="AC28" s="500"/>
    </row>
    <row r="29" spans="1:29" s="481" customFormat="1" ht="18" customHeight="1">
      <c r="A29" s="465"/>
      <c r="B29" s="334" t="s">
        <v>625</v>
      </c>
      <c r="C29" s="353">
        <v>1597</v>
      </c>
      <c r="D29" s="353">
        <v>1765</v>
      </c>
      <c r="E29" s="353">
        <f>SUM(E23:E28)</f>
        <v>2359</v>
      </c>
      <c r="F29" s="466">
        <f>SUM(F23:F28)</f>
        <v>760</v>
      </c>
      <c r="G29" s="353">
        <v>2522</v>
      </c>
      <c r="H29" s="353">
        <v>3731</v>
      </c>
      <c r="I29" s="353">
        <f>SUM(I23:I28)</f>
        <v>3926</v>
      </c>
      <c r="J29" s="466">
        <f>SUM(J23:J28)</f>
        <v>1297</v>
      </c>
      <c r="K29" s="353">
        <v>7134</v>
      </c>
      <c r="L29" s="353">
        <v>8403</v>
      </c>
      <c r="M29" s="353">
        <f>SUM(M23:M28)</f>
        <v>8778</v>
      </c>
      <c r="N29" s="466">
        <f>SUM(N23:N28)</f>
        <v>3559</v>
      </c>
      <c r="O29" s="353">
        <v>2034</v>
      </c>
      <c r="P29" s="353">
        <v>2191</v>
      </c>
      <c r="Q29" s="353">
        <f t="shared" ref="Q29" si="20">SUM(Q23:Q28)</f>
        <v>2138</v>
      </c>
      <c r="R29" s="466">
        <f t="shared" ref="R29:U29" si="21">SUM(R23:R28)</f>
        <v>848</v>
      </c>
      <c r="S29" s="352">
        <f t="shared" si="21"/>
        <v>13287</v>
      </c>
      <c r="T29" s="353">
        <f t="shared" si="21"/>
        <v>16090</v>
      </c>
      <c r="U29" s="353">
        <f t="shared" si="21"/>
        <v>17201</v>
      </c>
      <c r="V29" s="466">
        <f>SUM(V23:V28)</f>
        <v>6464</v>
      </c>
      <c r="W29" s="500"/>
      <c r="X29" s="500"/>
      <c r="Y29" s="500"/>
      <c r="Z29" s="500"/>
      <c r="AA29" s="500"/>
      <c r="AB29" s="500"/>
      <c r="AC29" s="500"/>
    </row>
    <row r="30" spans="1:29" s="481" customFormat="1" ht="18" customHeight="1">
      <c r="A30" s="465" t="s">
        <v>527</v>
      </c>
      <c r="B30" s="334" t="s">
        <v>813</v>
      </c>
      <c r="C30" s="353">
        <v>170</v>
      </c>
      <c r="D30" s="353">
        <v>97</v>
      </c>
      <c r="E30" s="353">
        <v>112</v>
      </c>
      <c r="F30" s="466">
        <v>36</v>
      </c>
      <c r="G30" s="353">
        <v>254</v>
      </c>
      <c r="H30" s="353">
        <v>220</v>
      </c>
      <c r="I30" s="353">
        <v>210</v>
      </c>
      <c r="J30" s="466">
        <v>92</v>
      </c>
      <c r="K30" s="353">
        <v>654</v>
      </c>
      <c r="L30" s="353">
        <v>469</v>
      </c>
      <c r="M30" s="353">
        <v>482</v>
      </c>
      <c r="N30" s="466">
        <v>293</v>
      </c>
      <c r="O30" s="353">
        <v>164</v>
      </c>
      <c r="P30" s="353">
        <v>118</v>
      </c>
      <c r="Q30" s="353">
        <v>135</v>
      </c>
      <c r="R30" s="466">
        <v>72</v>
      </c>
      <c r="S30" s="352">
        <f t="shared" si="14"/>
        <v>1242</v>
      </c>
      <c r="T30" s="353">
        <f t="shared" si="15"/>
        <v>904</v>
      </c>
      <c r="U30" s="353">
        <f t="shared" si="16"/>
        <v>939</v>
      </c>
      <c r="V30" s="466">
        <f>+F30+J30+N30+R30</f>
        <v>493</v>
      </c>
      <c r="W30" s="500"/>
      <c r="X30" s="500"/>
      <c r="Y30" s="500"/>
      <c r="Z30" s="500"/>
      <c r="AA30" s="500"/>
      <c r="AB30" s="500"/>
      <c r="AC30" s="500"/>
    </row>
    <row r="31" spans="1:29" s="481" customFormat="1" ht="18" customHeight="1">
      <c r="A31" s="465"/>
      <c r="B31" s="293" t="s">
        <v>1455</v>
      </c>
      <c r="C31" s="353">
        <v>5</v>
      </c>
      <c r="D31" s="353">
        <v>14</v>
      </c>
      <c r="E31" s="353">
        <v>12</v>
      </c>
      <c r="F31" s="466">
        <v>2</v>
      </c>
      <c r="G31" s="353">
        <v>2</v>
      </c>
      <c r="H31" s="353">
        <v>8</v>
      </c>
      <c r="I31" s="353">
        <v>7</v>
      </c>
      <c r="J31" s="466">
        <v>5</v>
      </c>
      <c r="K31" s="353">
        <v>9</v>
      </c>
      <c r="L31" s="353">
        <v>35</v>
      </c>
      <c r="M31" s="353">
        <v>48</v>
      </c>
      <c r="N31" s="466">
        <v>25</v>
      </c>
      <c r="O31" s="353">
        <v>8</v>
      </c>
      <c r="P31" s="353">
        <v>10</v>
      </c>
      <c r="Q31" s="353">
        <v>4</v>
      </c>
      <c r="R31" s="466">
        <v>11</v>
      </c>
      <c r="S31" s="352">
        <f t="shared" ref="S31" si="22">+C31+G31+K31+O31</f>
        <v>24</v>
      </c>
      <c r="T31" s="353">
        <f t="shared" ref="T31" si="23">+D31+H31+L31+P31</f>
        <v>67</v>
      </c>
      <c r="U31" s="353">
        <f t="shared" si="16"/>
        <v>71</v>
      </c>
      <c r="V31" s="466">
        <f>+F31+J31+N31+R31</f>
        <v>43</v>
      </c>
      <c r="W31" s="500"/>
      <c r="X31" s="500"/>
      <c r="Y31" s="500"/>
      <c r="Z31" s="500"/>
      <c r="AA31" s="500"/>
      <c r="AB31" s="500"/>
      <c r="AC31" s="500"/>
    </row>
    <row r="32" spans="1:29" s="481" customFormat="1" ht="18" customHeight="1">
      <c r="A32" s="465"/>
      <c r="B32" s="293" t="s">
        <v>1182</v>
      </c>
      <c r="C32" s="353">
        <v>54</v>
      </c>
      <c r="D32" s="353">
        <v>39</v>
      </c>
      <c r="E32" s="353">
        <v>22</v>
      </c>
      <c r="F32" s="466">
        <v>10</v>
      </c>
      <c r="G32" s="353">
        <v>62</v>
      </c>
      <c r="H32" s="353">
        <v>23</v>
      </c>
      <c r="I32" s="353">
        <v>29</v>
      </c>
      <c r="J32" s="466">
        <v>14</v>
      </c>
      <c r="K32" s="353">
        <v>135</v>
      </c>
      <c r="L32" s="353">
        <v>136</v>
      </c>
      <c r="M32" s="353">
        <v>174</v>
      </c>
      <c r="N32" s="466">
        <v>70</v>
      </c>
      <c r="O32" s="353">
        <v>67</v>
      </c>
      <c r="P32" s="353">
        <v>75</v>
      </c>
      <c r="Q32" s="353">
        <v>58</v>
      </c>
      <c r="R32" s="466">
        <v>27</v>
      </c>
      <c r="S32" s="353">
        <f t="shared" si="15"/>
        <v>318</v>
      </c>
      <c r="T32" s="353">
        <f t="shared" si="15"/>
        <v>273</v>
      </c>
      <c r="U32" s="353">
        <f t="shared" si="16"/>
        <v>283</v>
      </c>
      <c r="V32" s="466">
        <f>+F32+J32+N32+R32</f>
        <v>121</v>
      </c>
      <c r="W32" s="500"/>
      <c r="X32" s="500"/>
      <c r="Y32" s="500"/>
      <c r="Z32" s="500"/>
      <c r="AA32" s="500"/>
      <c r="AB32" s="500"/>
      <c r="AC32" s="500"/>
    </row>
    <row r="33" spans="1:29" s="481" customFormat="1" ht="18" customHeight="1">
      <c r="A33" s="465"/>
      <c r="B33" s="293" t="s">
        <v>1191</v>
      </c>
      <c r="C33" s="353">
        <v>0</v>
      </c>
      <c r="D33" s="353">
        <v>0</v>
      </c>
      <c r="E33" s="353">
        <v>0</v>
      </c>
      <c r="F33" s="466">
        <v>0</v>
      </c>
      <c r="G33" s="353">
        <v>8</v>
      </c>
      <c r="H33" s="353">
        <v>10</v>
      </c>
      <c r="I33" s="353">
        <v>10</v>
      </c>
      <c r="J33" s="466">
        <v>1</v>
      </c>
      <c r="K33" s="353">
        <v>269</v>
      </c>
      <c r="L33" s="353">
        <v>232</v>
      </c>
      <c r="M33" s="353">
        <v>318</v>
      </c>
      <c r="N33" s="466">
        <v>100</v>
      </c>
      <c r="O33" s="353">
        <v>132</v>
      </c>
      <c r="P33" s="353">
        <v>164</v>
      </c>
      <c r="Q33" s="353">
        <v>256</v>
      </c>
      <c r="R33" s="466">
        <v>72</v>
      </c>
      <c r="S33" s="353">
        <f t="shared" si="15"/>
        <v>409</v>
      </c>
      <c r="T33" s="353">
        <f t="shared" si="15"/>
        <v>406</v>
      </c>
      <c r="U33" s="353">
        <f t="shared" si="16"/>
        <v>584</v>
      </c>
      <c r="V33" s="466">
        <f>+F33+J33+N33+R33</f>
        <v>173</v>
      </c>
      <c r="W33" s="500"/>
      <c r="X33" s="500"/>
      <c r="Y33" s="500"/>
      <c r="Z33" s="500"/>
      <c r="AA33" s="500"/>
      <c r="AB33" s="500"/>
      <c r="AC33" s="500"/>
    </row>
    <row r="34" spans="1:29" s="481" customFormat="1" ht="18" customHeight="1">
      <c r="A34" s="465"/>
      <c r="B34" s="334" t="s">
        <v>933</v>
      </c>
      <c r="C34" s="353">
        <v>81</v>
      </c>
      <c r="D34" s="353"/>
      <c r="E34" s="353"/>
      <c r="F34" s="466"/>
      <c r="G34" s="353">
        <v>546</v>
      </c>
      <c r="H34" s="353"/>
      <c r="I34" s="353"/>
      <c r="J34" s="466"/>
      <c r="K34" s="353">
        <v>756</v>
      </c>
      <c r="L34" s="353"/>
      <c r="M34" s="353"/>
      <c r="N34" s="466"/>
      <c r="O34" s="353">
        <v>108</v>
      </c>
      <c r="P34" s="353"/>
      <c r="Q34" s="353"/>
      <c r="R34" s="466"/>
      <c r="S34" s="352">
        <f t="shared" si="14"/>
        <v>1491</v>
      </c>
      <c r="T34" s="353">
        <f t="shared" si="15"/>
        <v>0</v>
      </c>
      <c r="U34" s="353">
        <f t="shared" si="16"/>
        <v>0</v>
      </c>
      <c r="V34" s="466">
        <f>+F34+J34+N34+R34</f>
        <v>0</v>
      </c>
      <c r="W34" s="500"/>
      <c r="X34" s="500"/>
      <c r="Y34" s="498"/>
      <c r="Z34" s="500"/>
      <c r="AA34" s="498"/>
      <c r="AB34" s="500"/>
      <c r="AC34" s="500"/>
    </row>
    <row r="35" spans="1:29" s="481" customFormat="1" ht="18" customHeight="1">
      <c r="A35" s="465"/>
      <c r="B35" s="334" t="s">
        <v>625</v>
      </c>
      <c r="C35" s="353">
        <v>310</v>
      </c>
      <c r="D35" s="353">
        <v>150</v>
      </c>
      <c r="E35" s="353">
        <f>SUM(E30:E34)</f>
        <v>146</v>
      </c>
      <c r="F35" s="466">
        <f>SUM(F30:F34)</f>
        <v>48</v>
      </c>
      <c r="G35" s="353">
        <v>872</v>
      </c>
      <c r="H35" s="353">
        <v>261</v>
      </c>
      <c r="I35" s="353">
        <f>SUM(I30:I34)</f>
        <v>256</v>
      </c>
      <c r="J35" s="466">
        <f>SUM(J30:J34)</f>
        <v>112</v>
      </c>
      <c r="K35" s="353">
        <v>1823</v>
      </c>
      <c r="L35" s="353">
        <v>872</v>
      </c>
      <c r="M35" s="353">
        <f>SUM(M30:M34)</f>
        <v>1022</v>
      </c>
      <c r="N35" s="466">
        <f>SUM(N30:N34)</f>
        <v>488</v>
      </c>
      <c r="O35" s="353">
        <v>479</v>
      </c>
      <c r="P35" s="353">
        <v>367</v>
      </c>
      <c r="Q35" s="353">
        <f t="shared" ref="Q35" si="24">SUM(Q30:Q34)</f>
        <v>453</v>
      </c>
      <c r="R35" s="466">
        <f t="shared" ref="R35:U35" si="25">SUM(R30:R34)</f>
        <v>182</v>
      </c>
      <c r="S35" s="352">
        <f t="shared" si="25"/>
        <v>3484</v>
      </c>
      <c r="T35" s="353">
        <f t="shared" si="25"/>
        <v>1650</v>
      </c>
      <c r="U35" s="353">
        <f t="shared" si="25"/>
        <v>1877</v>
      </c>
      <c r="V35" s="466">
        <f>SUM(V30:V34)</f>
        <v>830</v>
      </c>
      <c r="W35" s="500"/>
      <c r="X35" s="500"/>
      <c r="Y35" s="1101"/>
      <c r="Z35" s="1151"/>
      <c r="AA35" s="1101"/>
      <c r="AB35" s="500"/>
      <c r="AC35" s="500"/>
    </row>
    <row r="36" spans="1:29" s="481" customFormat="1" ht="18" customHeight="1">
      <c r="A36" s="465" t="s">
        <v>528</v>
      </c>
      <c r="B36" s="293" t="s">
        <v>629</v>
      </c>
      <c r="C36" s="353">
        <v>271</v>
      </c>
      <c r="D36" s="353">
        <v>277</v>
      </c>
      <c r="E36" s="353">
        <v>332</v>
      </c>
      <c r="F36" s="466">
        <v>58</v>
      </c>
      <c r="G36" s="353">
        <v>461</v>
      </c>
      <c r="H36" s="353">
        <v>401</v>
      </c>
      <c r="I36" s="353">
        <v>423</v>
      </c>
      <c r="J36" s="466">
        <v>146</v>
      </c>
      <c r="K36" s="353">
        <v>1052</v>
      </c>
      <c r="L36" s="353">
        <v>1025</v>
      </c>
      <c r="M36" s="353">
        <v>1066</v>
      </c>
      <c r="N36" s="466">
        <v>320</v>
      </c>
      <c r="O36" s="353">
        <v>273</v>
      </c>
      <c r="P36" s="353">
        <v>280</v>
      </c>
      <c r="Q36" s="353">
        <v>357</v>
      </c>
      <c r="R36" s="466">
        <v>90</v>
      </c>
      <c r="S36" s="352">
        <f t="shared" si="14"/>
        <v>2057</v>
      </c>
      <c r="T36" s="353">
        <f t="shared" si="15"/>
        <v>1983</v>
      </c>
      <c r="U36" s="353">
        <f t="shared" si="16"/>
        <v>2178</v>
      </c>
      <c r="V36" s="466">
        <f>+F36+J36+N36+R36</f>
        <v>614</v>
      </c>
      <c r="W36" s="500"/>
      <c r="X36" s="500"/>
      <c r="Y36" s="500"/>
      <c r="Z36" s="500"/>
      <c r="AA36" s="500"/>
      <c r="AB36" s="500"/>
      <c r="AC36" s="500"/>
    </row>
    <row r="37" spans="1:29" s="481" customFormat="1" ht="18" customHeight="1">
      <c r="A37" s="465"/>
      <c r="B37" s="293" t="s">
        <v>815</v>
      </c>
      <c r="C37" s="353">
        <v>39</v>
      </c>
      <c r="D37" s="353">
        <v>28</v>
      </c>
      <c r="E37" s="353">
        <v>21</v>
      </c>
      <c r="F37" s="466">
        <v>8</v>
      </c>
      <c r="G37" s="353">
        <v>80</v>
      </c>
      <c r="H37" s="353">
        <v>68</v>
      </c>
      <c r="I37" s="353">
        <v>51</v>
      </c>
      <c r="J37" s="466">
        <v>14</v>
      </c>
      <c r="K37" s="353">
        <v>291</v>
      </c>
      <c r="L37" s="353">
        <v>233</v>
      </c>
      <c r="M37" s="353">
        <v>214</v>
      </c>
      <c r="N37" s="466">
        <v>83</v>
      </c>
      <c r="O37" s="353">
        <v>113</v>
      </c>
      <c r="P37" s="353">
        <v>153</v>
      </c>
      <c r="Q37" s="353">
        <v>126</v>
      </c>
      <c r="R37" s="466">
        <v>33</v>
      </c>
      <c r="S37" s="352">
        <f t="shared" si="14"/>
        <v>523</v>
      </c>
      <c r="T37" s="353">
        <f t="shared" si="15"/>
        <v>482</v>
      </c>
      <c r="U37" s="353">
        <f t="shared" si="16"/>
        <v>412</v>
      </c>
      <c r="V37" s="466">
        <f>+F37+J37+N37+R37</f>
        <v>138</v>
      </c>
      <c r="W37" s="500"/>
      <c r="X37" s="500"/>
      <c r="Y37" s="500"/>
      <c r="Z37" s="500"/>
      <c r="AA37" s="500"/>
      <c r="AB37" s="500"/>
      <c r="AC37" s="500"/>
    </row>
    <row r="38" spans="1:29" s="481" customFormat="1" ht="18" customHeight="1">
      <c r="A38" s="465"/>
      <c r="B38" s="293" t="s">
        <v>1183</v>
      </c>
      <c r="C38" s="353">
        <v>25</v>
      </c>
      <c r="D38" s="353">
        <v>27</v>
      </c>
      <c r="E38" s="353">
        <v>27</v>
      </c>
      <c r="F38" s="466">
        <v>8</v>
      </c>
      <c r="G38" s="353">
        <v>12</v>
      </c>
      <c r="H38" s="353">
        <v>22</v>
      </c>
      <c r="I38" s="353">
        <v>22</v>
      </c>
      <c r="J38" s="466">
        <v>9</v>
      </c>
      <c r="K38" s="353">
        <v>85</v>
      </c>
      <c r="L38" s="353">
        <v>74</v>
      </c>
      <c r="M38" s="353">
        <v>60</v>
      </c>
      <c r="N38" s="466">
        <v>17</v>
      </c>
      <c r="O38" s="353">
        <v>30</v>
      </c>
      <c r="P38" s="353">
        <v>25</v>
      </c>
      <c r="Q38" s="353">
        <v>22</v>
      </c>
      <c r="R38" s="466">
        <v>9</v>
      </c>
      <c r="S38" s="353">
        <f t="shared" si="15"/>
        <v>152</v>
      </c>
      <c r="T38" s="353">
        <f t="shared" si="15"/>
        <v>148</v>
      </c>
      <c r="U38" s="353">
        <f t="shared" si="16"/>
        <v>131</v>
      </c>
      <c r="V38" s="466">
        <f>+F38+J38+N38+R38</f>
        <v>43</v>
      </c>
      <c r="W38" s="500"/>
      <c r="X38" s="500"/>
      <c r="Y38" s="500"/>
      <c r="Z38" s="500"/>
      <c r="AA38" s="500"/>
      <c r="AB38" s="500"/>
      <c r="AC38" s="500"/>
    </row>
    <row r="39" spans="1:29" s="481" customFormat="1" ht="18" customHeight="1">
      <c r="A39" s="465"/>
      <c r="B39" s="334" t="s">
        <v>625</v>
      </c>
      <c r="C39" s="353">
        <v>335</v>
      </c>
      <c r="D39" s="353">
        <v>332</v>
      </c>
      <c r="E39" s="353">
        <f>SUM(E36:E38)</f>
        <v>380</v>
      </c>
      <c r="F39" s="466">
        <f>SUM(F36:F38)</f>
        <v>74</v>
      </c>
      <c r="G39" s="353">
        <v>553</v>
      </c>
      <c r="H39" s="353">
        <v>491</v>
      </c>
      <c r="I39" s="353">
        <f>SUM(I36:I38)</f>
        <v>496</v>
      </c>
      <c r="J39" s="466">
        <f>SUM(J36:J38)</f>
        <v>169</v>
      </c>
      <c r="K39" s="353">
        <v>1428</v>
      </c>
      <c r="L39" s="353">
        <v>1332</v>
      </c>
      <c r="M39" s="353">
        <f>SUM(M36:M38)</f>
        <v>1340</v>
      </c>
      <c r="N39" s="466">
        <f>SUM(N36:N38)</f>
        <v>420</v>
      </c>
      <c r="O39" s="353">
        <v>416</v>
      </c>
      <c r="P39" s="353">
        <v>458</v>
      </c>
      <c r="Q39" s="353">
        <f t="shared" ref="Q39" si="26">SUM(Q36:Q38)</f>
        <v>505</v>
      </c>
      <c r="R39" s="466">
        <f t="shared" ref="R39:U39" si="27">SUM(R36:R38)</f>
        <v>132</v>
      </c>
      <c r="S39" s="353">
        <f t="shared" si="27"/>
        <v>2732</v>
      </c>
      <c r="T39" s="353">
        <f t="shared" si="27"/>
        <v>2613</v>
      </c>
      <c r="U39" s="353">
        <f t="shared" si="27"/>
        <v>2721</v>
      </c>
      <c r="V39" s="466">
        <f>SUM(V36:V38)</f>
        <v>795</v>
      </c>
      <c r="W39" s="500"/>
      <c r="X39" s="500"/>
      <c r="Y39" s="500"/>
      <c r="Z39" s="500"/>
      <c r="AA39" s="500"/>
      <c r="AB39" s="500"/>
      <c r="AC39" s="500"/>
    </row>
    <row r="40" spans="1:29" s="481" customFormat="1" ht="18" customHeight="1">
      <c r="A40" s="465" t="s">
        <v>529</v>
      </c>
      <c r="B40" s="334" t="s">
        <v>816</v>
      </c>
      <c r="C40" s="353">
        <v>225</v>
      </c>
      <c r="D40" s="353">
        <v>176</v>
      </c>
      <c r="E40" s="353">
        <v>147</v>
      </c>
      <c r="F40" s="466">
        <v>41</v>
      </c>
      <c r="G40" s="353">
        <v>248</v>
      </c>
      <c r="H40" s="353">
        <v>135</v>
      </c>
      <c r="I40" s="353">
        <v>172</v>
      </c>
      <c r="J40" s="466">
        <v>106</v>
      </c>
      <c r="K40" s="353">
        <v>573</v>
      </c>
      <c r="L40" s="353">
        <v>282</v>
      </c>
      <c r="M40" s="353">
        <v>399</v>
      </c>
      <c r="N40" s="466">
        <v>305</v>
      </c>
      <c r="O40" s="353">
        <v>190</v>
      </c>
      <c r="P40" s="353">
        <v>98</v>
      </c>
      <c r="Q40" s="353">
        <v>77</v>
      </c>
      <c r="R40" s="466">
        <v>68</v>
      </c>
      <c r="S40" s="352">
        <f t="shared" si="14"/>
        <v>1236</v>
      </c>
      <c r="T40" s="353">
        <f t="shared" si="15"/>
        <v>691</v>
      </c>
      <c r="U40" s="353">
        <f t="shared" si="16"/>
        <v>795</v>
      </c>
      <c r="V40" s="466">
        <f>+F40+J40+N40+R40</f>
        <v>520</v>
      </c>
      <c r="W40" s="500"/>
      <c r="X40" s="500"/>
      <c r="Y40" s="500"/>
      <c r="Z40" s="500"/>
      <c r="AA40" s="500"/>
      <c r="AB40" s="500"/>
      <c r="AC40" s="500"/>
    </row>
    <row r="41" spans="1:29" s="481" customFormat="1" ht="18" customHeight="1">
      <c r="A41" s="465" t="s">
        <v>934</v>
      </c>
      <c r="B41" s="334" t="s">
        <v>817</v>
      </c>
      <c r="C41" s="353">
        <v>157</v>
      </c>
      <c r="D41" s="353">
        <v>132</v>
      </c>
      <c r="E41" s="353">
        <v>252</v>
      </c>
      <c r="F41" s="466">
        <v>103</v>
      </c>
      <c r="G41" s="353">
        <v>262</v>
      </c>
      <c r="H41" s="353">
        <v>460</v>
      </c>
      <c r="I41" s="353">
        <v>696</v>
      </c>
      <c r="J41" s="466">
        <v>154</v>
      </c>
      <c r="K41" s="353">
        <v>970</v>
      </c>
      <c r="L41" s="353">
        <v>791</v>
      </c>
      <c r="M41" s="353">
        <v>1365</v>
      </c>
      <c r="N41" s="466">
        <v>577</v>
      </c>
      <c r="O41" s="353">
        <v>350</v>
      </c>
      <c r="P41" s="353">
        <v>188</v>
      </c>
      <c r="Q41" s="353">
        <v>254</v>
      </c>
      <c r="R41" s="466">
        <v>90</v>
      </c>
      <c r="S41" s="352">
        <f t="shared" si="14"/>
        <v>1739</v>
      </c>
      <c r="T41" s="353">
        <f t="shared" si="15"/>
        <v>1571</v>
      </c>
      <c r="U41" s="353">
        <f t="shared" si="16"/>
        <v>2567</v>
      </c>
      <c r="V41" s="466">
        <f>+F41+J41+N41+R41</f>
        <v>924</v>
      </c>
      <c r="W41" s="500"/>
      <c r="X41" s="500"/>
      <c r="Y41" s="500"/>
      <c r="Z41" s="500"/>
      <c r="AA41" s="500"/>
      <c r="AB41" s="500"/>
      <c r="AC41" s="500"/>
    </row>
    <row r="42" spans="1:29" s="481" customFormat="1" ht="18" customHeight="1">
      <c r="A42" s="465"/>
      <c r="B42" s="293" t="s">
        <v>967</v>
      </c>
      <c r="C42" s="353"/>
      <c r="D42" s="353"/>
      <c r="E42" s="353">
        <v>34</v>
      </c>
      <c r="F42" s="466">
        <v>47</v>
      </c>
      <c r="G42" s="353"/>
      <c r="H42" s="353"/>
      <c r="I42" s="353">
        <v>144</v>
      </c>
      <c r="J42" s="466">
        <v>274</v>
      </c>
      <c r="K42" s="353"/>
      <c r="L42" s="353"/>
      <c r="M42" s="353">
        <v>269</v>
      </c>
      <c r="N42" s="466">
        <v>344</v>
      </c>
      <c r="O42" s="353"/>
      <c r="P42" s="353"/>
      <c r="Q42" s="353">
        <v>21</v>
      </c>
      <c r="R42" s="466">
        <v>18</v>
      </c>
      <c r="S42" s="352"/>
      <c r="T42" s="353"/>
      <c r="U42" s="353">
        <f t="shared" si="16"/>
        <v>468</v>
      </c>
      <c r="V42" s="466">
        <f>+F42+J42+N42+R42</f>
        <v>683</v>
      </c>
      <c r="W42" s="500"/>
      <c r="X42" s="500"/>
      <c r="Y42" s="500"/>
      <c r="Z42" s="500"/>
      <c r="AA42" s="500"/>
      <c r="AB42" s="500"/>
      <c r="AC42" s="500"/>
    </row>
    <row r="43" spans="1:29" s="481" customFormat="1" ht="18" customHeight="1">
      <c r="A43" s="465" t="s">
        <v>531</v>
      </c>
      <c r="B43" s="293" t="s">
        <v>818</v>
      </c>
      <c r="C43" s="353">
        <v>301</v>
      </c>
      <c r="D43" s="353">
        <v>168</v>
      </c>
      <c r="E43" s="353">
        <v>297</v>
      </c>
      <c r="F43" s="466">
        <v>131</v>
      </c>
      <c r="G43" s="353">
        <v>325</v>
      </c>
      <c r="H43" s="353">
        <v>294</v>
      </c>
      <c r="I43" s="353">
        <v>525</v>
      </c>
      <c r="J43" s="466">
        <v>163</v>
      </c>
      <c r="K43" s="353">
        <v>874</v>
      </c>
      <c r="L43" s="353">
        <v>580</v>
      </c>
      <c r="M43" s="353">
        <v>775</v>
      </c>
      <c r="N43" s="466">
        <v>365</v>
      </c>
      <c r="O43" s="353">
        <v>263</v>
      </c>
      <c r="P43" s="353">
        <v>110</v>
      </c>
      <c r="Q43" s="353">
        <v>171</v>
      </c>
      <c r="R43" s="466">
        <v>80</v>
      </c>
      <c r="S43" s="352">
        <f t="shared" si="14"/>
        <v>1763</v>
      </c>
      <c r="T43" s="353">
        <f t="shared" si="15"/>
        <v>1152</v>
      </c>
      <c r="U43" s="353">
        <f t="shared" si="16"/>
        <v>1768</v>
      </c>
      <c r="V43" s="466">
        <f>+F43+J43+N43+R43</f>
        <v>739</v>
      </c>
      <c r="W43" s="500"/>
      <c r="X43" s="500"/>
      <c r="Y43" s="500"/>
      <c r="Z43" s="500"/>
      <c r="AA43" s="500"/>
      <c r="AB43" s="500"/>
      <c r="AC43" s="500"/>
    </row>
    <row r="44" spans="1:29" s="481" customFormat="1" ht="18" customHeight="1">
      <c r="A44" s="465"/>
      <c r="B44" s="293" t="s">
        <v>1177</v>
      </c>
      <c r="C44" s="353">
        <v>24</v>
      </c>
      <c r="D44" s="353">
        <v>33</v>
      </c>
      <c r="E44" s="353">
        <v>40</v>
      </c>
      <c r="F44" s="466">
        <v>11</v>
      </c>
      <c r="G44" s="353">
        <v>41</v>
      </c>
      <c r="H44" s="353">
        <v>22</v>
      </c>
      <c r="I44" s="353">
        <v>46</v>
      </c>
      <c r="J44" s="466">
        <v>28</v>
      </c>
      <c r="K44" s="353">
        <v>112</v>
      </c>
      <c r="L44" s="353">
        <v>90</v>
      </c>
      <c r="M44" s="353">
        <v>144</v>
      </c>
      <c r="N44" s="466">
        <v>111</v>
      </c>
      <c r="O44" s="353">
        <v>21</v>
      </c>
      <c r="P44" s="353">
        <v>17</v>
      </c>
      <c r="Q44" s="353">
        <v>27</v>
      </c>
      <c r="R44" s="466">
        <v>11</v>
      </c>
      <c r="S44" s="353">
        <f t="shared" si="15"/>
        <v>198</v>
      </c>
      <c r="T44" s="353">
        <f t="shared" si="15"/>
        <v>162</v>
      </c>
      <c r="U44" s="353">
        <f t="shared" si="16"/>
        <v>257</v>
      </c>
      <c r="V44" s="466">
        <f>+F44+J44+N44+R44</f>
        <v>161</v>
      </c>
      <c r="W44" s="500"/>
      <c r="X44" s="500"/>
      <c r="Y44" s="500"/>
      <c r="Z44" s="498"/>
      <c r="AA44" s="498"/>
      <c r="AB44" s="500"/>
      <c r="AC44" s="500"/>
    </row>
    <row r="45" spans="1:29" s="481" customFormat="1" ht="18" customHeight="1">
      <c r="A45" s="465"/>
      <c r="B45" s="334" t="s">
        <v>625</v>
      </c>
      <c r="C45" s="353">
        <v>356</v>
      </c>
      <c r="D45" s="353">
        <v>325</v>
      </c>
      <c r="E45" s="353">
        <f>SUM(E43:E44)</f>
        <v>337</v>
      </c>
      <c r="F45" s="466">
        <f>SUM(F43:F44)</f>
        <v>142</v>
      </c>
      <c r="G45" s="353">
        <v>530</v>
      </c>
      <c r="H45" s="353">
        <v>366</v>
      </c>
      <c r="I45" s="353">
        <f t="shared" ref="I45:J45" si="28">SUM(I43:I44)</f>
        <v>571</v>
      </c>
      <c r="J45" s="466">
        <f t="shared" si="28"/>
        <v>191</v>
      </c>
      <c r="K45" s="353">
        <v>1054</v>
      </c>
      <c r="L45" s="353">
        <v>986</v>
      </c>
      <c r="M45" s="353">
        <f t="shared" ref="M45:N45" si="29">SUM(M43:M44)</f>
        <v>919</v>
      </c>
      <c r="N45" s="466">
        <f t="shared" si="29"/>
        <v>476</v>
      </c>
      <c r="O45" s="353">
        <v>311</v>
      </c>
      <c r="P45" s="353">
        <v>284</v>
      </c>
      <c r="Q45" s="353">
        <f t="shared" ref="Q45:R45" si="30">SUM(Q43:Q44)</f>
        <v>198</v>
      </c>
      <c r="R45" s="466">
        <f t="shared" si="30"/>
        <v>91</v>
      </c>
      <c r="S45" s="353">
        <f t="shared" ref="S45:V45" si="31">SUM(S43:S44)</f>
        <v>1961</v>
      </c>
      <c r="T45" s="353">
        <f t="shared" si="31"/>
        <v>1314</v>
      </c>
      <c r="U45" s="353">
        <f t="shared" si="31"/>
        <v>2025</v>
      </c>
      <c r="V45" s="466">
        <f t="shared" si="31"/>
        <v>900</v>
      </c>
      <c r="W45" s="500"/>
      <c r="X45" s="500"/>
      <c r="Y45" s="500"/>
      <c r="Z45" s="500"/>
      <c r="AA45" s="500"/>
      <c r="AB45" s="500"/>
      <c r="AC45" s="500"/>
    </row>
    <row r="46" spans="1:29" s="481" customFormat="1" ht="18" customHeight="1">
      <c r="A46" s="475" t="s">
        <v>935</v>
      </c>
      <c r="B46" s="484"/>
      <c r="C46" s="473">
        <f>+C29+C35+C39+C40+C41+C45</f>
        <v>2980</v>
      </c>
      <c r="D46" s="473">
        <f>+D29+D35+D39+D40+D41+D45</f>
        <v>2880</v>
      </c>
      <c r="E46" s="473">
        <f>+E29+E35+E39+E40+E41+E45</f>
        <v>3621</v>
      </c>
      <c r="F46" s="474">
        <f>+F29+F35+F39+F40+F41+F45+F42</f>
        <v>1215</v>
      </c>
      <c r="G46" s="473">
        <f t="shared" ref="G46:Q46" si="32">+G29+G35+G39+G40+G41+G45</f>
        <v>4987</v>
      </c>
      <c r="H46" s="473">
        <f t="shared" si="32"/>
        <v>5444</v>
      </c>
      <c r="I46" s="473">
        <f t="shared" si="32"/>
        <v>6117</v>
      </c>
      <c r="J46" s="474">
        <f>+J29+J35+J39+J40+J41+J45+J42</f>
        <v>2303</v>
      </c>
      <c r="K46" s="473">
        <f t="shared" si="32"/>
        <v>12982</v>
      </c>
      <c r="L46" s="473">
        <f t="shared" si="32"/>
        <v>12666</v>
      </c>
      <c r="M46" s="473">
        <f t="shared" si="32"/>
        <v>13823</v>
      </c>
      <c r="N46" s="474">
        <f>+N29+N35+N39+N40+N41+N45+N42</f>
        <v>6169</v>
      </c>
      <c r="O46" s="473">
        <f t="shared" si="32"/>
        <v>3780</v>
      </c>
      <c r="P46" s="473">
        <f t="shared" si="32"/>
        <v>3586</v>
      </c>
      <c r="Q46" s="473">
        <f t="shared" si="32"/>
        <v>3625</v>
      </c>
      <c r="R46" s="474">
        <f>+R29+R35+R39+R40+R41+R45+R42</f>
        <v>1429</v>
      </c>
      <c r="S46" s="473">
        <f>+S29+S35+S39+S40+S41+S45</f>
        <v>24439</v>
      </c>
      <c r="T46" s="473">
        <f>+T29+T35+T39+T40+T41+T45</f>
        <v>23929</v>
      </c>
      <c r="U46" s="473">
        <f>+U29+U35+U39+U40+U41+U45+U42</f>
        <v>27654</v>
      </c>
      <c r="V46" s="474">
        <f>+V29+V35+V39+V40+V41+V45+V42</f>
        <v>11116</v>
      </c>
      <c r="W46" s="501"/>
      <c r="X46" s="499"/>
      <c r="Y46" s="501"/>
      <c r="Z46" s="499"/>
      <c r="AA46" s="501"/>
      <c r="AB46" s="500"/>
      <c r="AC46" s="500"/>
    </row>
    <row r="47" spans="1:29" s="481" customFormat="1" ht="18" customHeight="1">
      <c r="A47" s="1631" t="s">
        <v>637</v>
      </c>
      <c r="B47" s="1632"/>
      <c r="C47" s="476">
        <f t="shared" ref="C47:U47" si="33">+C22+C46</f>
        <v>4618</v>
      </c>
      <c r="D47" s="477">
        <f t="shared" si="33"/>
        <v>4434</v>
      </c>
      <c r="E47" s="477">
        <f t="shared" si="33"/>
        <v>5396</v>
      </c>
      <c r="F47" s="478">
        <f t="shared" si="33"/>
        <v>1688</v>
      </c>
      <c r="G47" s="477">
        <f t="shared" si="33"/>
        <v>7590</v>
      </c>
      <c r="H47" s="477">
        <f t="shared" si="33"/>
        <v>8634</v>
      </c>
      <c r="I47" s="477">
        <f t="shared" si="33"/>
        <v>10564</v>
      </c>
      <c r="J47" s="478">
        <f t="shared" si="33"/>
        <v>3749</v>
      </c>
      <c r="K47" s="477">
        <f t="shared" si="33"/>
        <v>18742</v>
      </c>
      <c r="L47" s="477">
        <f t="shared" si="33"/>
        <v>19152</v>
      </c>
      <c r="M47" s="477">
        <f t="shared" si="33"/>
        <v>23136</v>
      </c>
      <c r="N47" s="478">
        <f t="shared" si="33"/>
        <v>10051</v>
      </c>
      <c r="O47" s="477">
        <f t="shared" si="33"/>
        <v>5140</v>
      </c>
      <c r="P47" s="477">
        <f t="shared" si="33"/>
        <v>5038</v>
      </c>
      <c r="Q47" s="477">
        <f t="shared" si="33"/>
        <v>8748</v>
      </c>
      <c r="R47" s="478">
        <f t="shared" si="33"/>
        <v>3118</v>
      </c>
      <c r="S47" s="476">
        <f t="shared" si="33"/>
        <v>35800</v>
      </c>
      <c r="T47" s="477">
        <f t="shared" si="33"/>
        <v>36611</v>
      </c>
      <c r="U47" s="477">
        <f t="shared" si="33"/>
        <v>48312</v>
      </c>
      <c r="V47" s="478">
        <f>+V22+V46</f>
        <v>18606</v>
      </c>
      <c r="W47" s="1256"/>
      <c r="X47" s="492"/>
      <c r="Y47" s="492"/>
      <c r="Z47" s="499"/>
      <c r="AA47" s="485"/>
    </row>
    <row r="48" spans="1:29" s="481" customFormat="1" ht="18" customHeight="1">
      <c r="C48" s="491"/>
      <c r="D48" s="491"/>
      <c r="E48" s="491"/>
      <c r="F48" s="491"/>
      <c r="G48" s="491"/>
      <c r="H48" s="491"/>
      <c r="I48" s="491"/>
      <c r="J48" s="491"/>
      <c r="K48" s="491"/>
      <c r="L48" s="491"/>
      <c r="M48" s="491"/>
      <c r="N48" s="491"/>
      <c r="O48" s="491"/>
      <c r="P48" s="491"/>
      <c r="Q48" s="491"/>
      <c r="R48" s="491"/>
      <c r="S48" s="491"/>
      <c r="T48" s="491"/>
      <c r="U48" s="491"/>
      <c r="V48" s="491"/>
      <c r="X48" s="491"/>
      <c r="Y48" s="491"/>
      <c r="Z48" s="491"/>
    </row>
    <row r="49" spans="2:25">
      <c r="B49" s="204"/>
      <c r="C49" s="495"/>
      <c r="D49" s="495"/>
      <c r="E49" s="495"/>
      <c r="F49" s="495"/>
      <c r="G49" s="495"/>
      <c r="H49" s="495"/>
      <c r="I49" s="495"/>
      <c r="J49" s="495"/>
      <c r="K49" s="495"/>
      <c r="L49" s="495"/>
      <c r="M49" s="495"/>
      <c r="N49" s="495"/>
      <c r="O49" s="495"/>
      <c r="P49" s="495"/>
      <c r="Q49" s="495"/>
      <c r="R49" s="495"/>
      <c r="S49" s="495"/>
      <c r="T49" s="495"/>
      <c r="U49" s="495"/>
      <c r="V49" s="495"/>
      <c r="W49" s="495"/>
      <c r="X49" s="495"/>
    </row>
    <row r="50" spans="2:25">
      <c r="B50" s="204"/>
      <c r="C50" s="495"/>
      <c r="D50" s="495"/>
      <c r="E50" s="495"/>
      <c r="F50" s="495"/>
      <c r="G50" s="495"/>
      <c r="H50" s="495"/>
      <c r="I50" s="495"/>
      <c r="J50" s="495"/>
      <c r="K50" s="495"/>
      <c r="L50" s="495"/>
      <c r="M50" s="495"/>
      <c r="N50" s="495"/>
      <c r="O50" s="495"/>
      <c r="P50" s="495"/>
      <c r="Q50" s="495"/>
      <c r="R50" s="495"/>
      <c r="S50" s="495"/>
      <c r="T50" s="495"/>
      <c r="U50" s="495"/>
      <c r="V50" s="495"/>
      <c r="W50" s="495"/>
    </row>
    <row r="51" spans="2:25">
      <c r="C51" s="495"/>
      <c r="D51" s="495"/>
      <c r="E51" s="495"/>
      <c r="F51" s="495"/>
      <c r="G51" s="495"/>
      <c r="H51" s="495"/>
      <c r="I51" s="495"/>
      <c r="J51" s="495"/>
      <c r="K51" s="495"/>
      <c r="L51" s="495"/>
      <c r="M51" s="495"/>
      <c r="N51" s="495"/>
      <c r="O51" s="495"/>
      <c r="P51" s="495"/>
      <c r="Q51" s="495"/>
      <c r="R51" s="495"/>
      <c r="S51" s="495"/>
      <c r="T51" s="495"/>
      <c r="U51" s="495"/>
      <c r="V51" s="495"/>
      <c r="X51" s="495"/>
      <c r="Y51" s="495"/>
    </row>
    <row r="52" spans="2:25">
      <c r="C52" s="495"/>
      <c r="D52" s="495"/>
      <c r="E52" s="495"/>
      <c r="F52" s="495"/>
      <c r="G52" s="495"/>
      <c r="H52" s="495"/>
      <c r="I52" s="495"/>
      <c r="J52" s="495"/>
      <c r="K52" s="495"/>
      <c r="L52" s="495"/>
      <c r="M52" s="495"/>
      <c r="N52" s="495"/>
      <c r="O52" s="495"/>
      <c r="P52" s="495"/>
      <c r="Q52" s="495"/>
      <c r="R52" s="495"/>
      <c r="S52" s="495"/>
      <c r="T52" s="495"/>
      <c r="U52" s="495"/>
      <c r="V52" s="495"/>
      <c r="X52" s="495"/>
      <c r="Y52" s="495"/>
    </row>
    <row r="53" spans="2:25">
      <c r="C53" s="495"/>
      <c r="D53" s="495"/>
      <c r="E53" s="495"/>
      <c r="F53" s="495"/>
      <c r="G53" s="495"/>
      <c r="H53" s="495"/>
      <c r="I53" s="495"/>
      <c r="J53" s="495"/>
      <c r="K53" s="495"/>
      <c r="L53" s="495"/>
      <c r="M53" s="495"/>
      <c r="N53" s="495"/>
      <c r="O53" s="495"/>
      <c r="P53" s="495"/>
      <c r="Q53" s="495"/>
      <c r="R53" s="495"/>
      <c r="S53" s="495"/>
      <c r="T53" s="495"/>
      <c r="U53" s="495"/>
      <c r="V53" s="495"/>
    </row>
    <row r="54" spans="2:25">
      <c r="C54" s="495"/>
      <c r="D54" s="495"/>
      <c r="E54" s="495"/>
      <c r="F54" s="495"/>
      <c r="G54" s="495"/>
      <c r="H54" s="495"/>
      <c r="I54" s="495"/>
      <c r="J54" s="495"/>
      <c r="K54" s="495"/>
      <c r="L54" s="495"/>
      <c r="M54" s="495"/>
      <c r="N54" s="495"/>
      <c r="O54" s="495"/>
      <c r="P54" s="495"/>
      <c r="Q54" s="495"/>
      <c r="R54" s="495"/>
      <c r="S54" s="495"/>
      <c r="T54" s="495"/>
      <c r="U54" s="495"/>
      <c r="V54" s="495"/>
    </row>
    <row r="55" spans="2:25">
      <c r="C55" s="495"/>
      <c r="D55" s="495"/>
      <c r="E55" s="495"/>
      <c r="F55" s="495"/>
      <c r="G55" s="495"/>
      <c r="H55" s="495"/>
      <c r="I55" s="495"/>
      <c r="J55" s="495"/>
      <c r="K55" s="495"/>
      <c r="L55" s="495"/>
      <c r="M55" s="495"/>
      <c r="N55" s="495"/>
      <c r="O55" s="495"/>
      <c r="P55" s="495"/>
      <c r="Q55" s="495"/>
      <c r="R55" s="495"/>
      <c r="S55" s="495"/>
      <c r="T55" s="495"/>
      <c r="U55" s="495"/>
      <c r="V55" s="495"/>
    </row>
  </sheetData>
  <mergeCells count="9">
    <mergeCell ref="O6:R6"/>
    <mergeCell ref="S6:V6"/>
    <mergeCell ref="A47:B47"/>
    <mergeCell ref="A1:V1"/>
    <mergeCell ref="A2:V2"/>
    <mergeCell ref="A3:V3"/>
    <mergeCell ref="C6:F6"/>
    <mergeCell ref="G6:J6"/>
    <mergeCell ref="K6:N6"/>
  </mergeCells>
  <phoneticPr fontId="19" type="noConversion"/>
  <pageMargins left="1.5748031496062993" right="0.78740157480314965" top="1.1811023622047245" bottom="0.59055118110236227" header="0" footer="0"/>
  <pageSetup paperSize="5" scale="7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7"/>
  <sheetViews>
    <sheetView topLeftCell="AI27" workbookViewId="0">
      <selection activeCell="AD8" sqref="AD8"/>
    </sheetView>
  </sheetViews>
  <sheetFormatPr baseColWidth="10" defaultColWidth="11.44140625" defaultRowHeight="11.4"/>
  <cols>
    <col min="1" max="1" width="12.77734375" style="378" customWidth="1"/>
    <col min="2" max="2" width="19.44140625" style="378" customWidth="1"/>
    <col min="3" max="10" width="7.21875" style="378" customWidth="1"/>
    <col min="11" max="14" width="5.77734375" style="378" customWidth="1"/>
    <col min="15" max="22" width="7.21875" style="378" customWidth="1"/>
    <col min="23" max="23" width="6.44140625" style="378" customWidth="1"/>
    <col min="24" max="24" width="7.44140625" style="378" customWidth="1"/>
    <col min="25" max="25" width="6.5546875" style="378" customWidth="1"/>
    <col min="26" max="34" width="6.21875" style="378" customWidth="1"/>
    <col min="35" max="60" width="7.21875" style="378" customWidth="1"/>
    <col min="61" max="16384" width="11.44140625" style="378"/>
  </cols>
  <sheetData>
    <row r="1" spans="1:40" ht="12">
      <c r="A1" s="1616" t="s">
        <v>947</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row>
    <row r="2" spans="1:40" ht="12">
      <c r="A2" s="1616" t="s">
        <v>1229</v>
      </c>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row>
    <row r="3" spans="1:40" ht="12">
      <c r="A3" s="1635" t="str">
        <f>+'47'!A3:V3</f>
        <v>2017 - 2020</v>
      </c>
      <c r="B3" s="1635"/>
      <c r="C3" s="1635"/>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row>
    <row r="6" spans="1:40" s="481" customFormat="1" ht="20.25" customHeight="1">
      <c r="A6" s="1076" t="s">
        <v>536</v>
      </c>
      <c r="B6" s="480" t="s">
        <v>835</v>
      </c>
      <c r="C6" s="1607" t="s">
        <v>942</v>
      </c>
      <c r="D6" s="1607"/>
      <c r="E6" s="1607"/>
      <c r="F6" s="1607"/>
      <c r="G6" s="1611" t="s">
        <v>943</v>
      </c>
      <c r="H6" s="1612"/>
      <c r="I6" s="1607"/>
      <c r="J6" s="1613"/>
      <c r="K6" s="1612" t="s">
        <v>948</v>
      </c>
      <c r="L6" s="1612"/>
      <c r="M6" s="1612"/>
      <c r="N6" s="1612"/>
      <c r="O6" s="1611" t="s">
        <v>944</v>
      </c>
      <c r="P6" s="1612"/>
      <c r="Q6" s="1612"/>
      <c r="R6" s="1613"/>
      <c r="S6" s="1612" t="s">
        <v>949</v>
      </c>
      <c r="T6" s="1612"/>
      <c r="U6" s="1612"/>
      <c r="V6" s="1613"/>
      <c r="W6" s="1612" t="s">
        <v>950</v>
      </c>
      <c r="X6" s="1612"/>
      <c r="Y6" s="1612"/>
      <c r="Z6" s="1612"/>
      <c r="AA6" s="1636" t="s">
        <v>951</v>
      </c>
      <c r="AB6" s="1637"/>
      <c r="AC6" s="1637"/>
      <c r="AD6" s="1638"/>
      <c r="AE6" s="1639" t="s">
        <v>1224</v>
      </c>
      <c r="AF6" s="1578"/>
      <c r="AG6" s="1578"/>
      <c r="AH6" s="1640"/>
      <c r="AI6" s="1611" t="s">
        <v>517</v>
      </c>
      <c r="AJ6" s="1612"/>
      <c r="AK6" s="1612"/>
      <c r="AL6" s="1613"/>
    </row>
    <row r="7" spans="1:40" s="481" customFormat="1" ht="20.25" customHeight="1">
      <c r="A7" s="461"/>
      <c r="B7" s="461"/>
      <c r="C7" s="1073">
        <f>+'47'!C7</f>
        <v>2017</v>
      </c>
      <c r="D7" s="1074">
        <f>+'47'!D7</f>
        <v>2018</v>
      </c>
      <c r="E7" s="1074">
        <f>+'47'!E7</f>
        <v>2019</v>
      </c>
      <c r="F7" s="1075">
        <f>+'47'!F7</f>
        <v>2020</v>
      </c>
      <c r="G7" s="1074">
        <f>+'47'!G7</f>
        <v>2017</v>
      </c>
      <c r="H7" s="1074">
        <f>+'47'!H7</f>
        <v>2018</v>
      </c>
      <c r="I7" s="1074">
        <f>+'47'!I7</f>
        <v>2019</v>
      </c>
      <c r="J7" s="1074">
        <f>+'47'!J7</f>
        <v>2020</v>
      </c>
      <c r="K7" s="1073">
        <f>+'47'!K7</f>
        <v>2017</v>
      </c>
      <c r="L7" s="1074">
        <f>+'47'!L7</f>
        <v>2018</v>
      </c>
      <c r="M7" s="1074">
        <f>+'47'!M7</f>
        <v>2019</v>
      </c>
      <c r="N7" s="1075">
        <f>+'47'!N7</f>
        <v>2020</v>
      </c>
      <c r="O7" s="1074">
        <f>+'47'!K7</f>
        <v>2017</v>
      </c>
      <c r="P7" s="1074">
        <f>+'47'!L7</f>
        <v>2018</v>
      </c>
      <c r="Q7" s="1074">
        <f>+'47'!M7</f>
        <v>2019</v>
      </c>
      <c r="R7" s="1074">
        <f>+'47'!N7</f>
        <v>2020</v>
      </c>
      <c r="S7" s="1073">
        <f>+'47'!O7</f>
        <v>2017</v>
      </c>
      <c r="T7" s="1074">
        <f>+'47'!P7</f>
        <v>2018</v>
      </c>
      <c r="U7" s="1074">
        <f>+'47'!Q7</f>
        <v>2019</v>
      </c>
      <c r="V7" s="1075">
        <f>+'47'!R7</f>
        <v>2020</v>
      </c>
      <c r="W7" s="1074">
        <f>+'47'!S7</f>
        <v>2017</v>
      </c>
      <c r="X7" s="1074">
        <f>+'47'!T7</f>
        <v>2018</v>
      </c>
      <c r="Y7" s="1074">
        <f>+'47'!U7</f>
        <v>2019</v>
      </c>
      <c r="Z7" s="1075">
        <f>+'47'!V7</f>
        <v>2020</v>
      </c>
      <c r="AA7" s="502">
        <f t="shared" ref="AA7:AH7" si="0">+W7</f>
        <v>2017</v>
      </c>
      <c r="AB7" s="955">
        <f t="shared" si="0"/>
        <v>2018</v>
      </c>
      <c r="AC7" s="955">
        <f t="shared" si="0"/>
        <v>2019</v>
      </c>
      <c r="AD7" s="503">
        <f t="shared" si="0"/>
        <v>2020</v>
      </c>
      <c r="AE7" s="502">
        <f t="shared" si="0"/>
        <v>2017</v>
      </c>
      <c r="AF7" s="955">
        <f t="shared" si="0"/>
        <v>2018</v>
      </c>
      <c r="AG7" s="955">
        <f t="shared" si="0"/>
        <v>2019</v>
      </c>
      <c r="AH7" s="503">
        <f t="shared" si="0"/>
        <v>2020</v>
      </c>
      <c r="AI7" s="1073">
        <f>+W7</f>
        <v>2017</v>
      </c>
      <c r="AJ7" s="1074">
        <f>+X7</f>
        <v>2018</v>
      </c>
      <c r="AK7" s="1074">
        <f>+Y7</f>
        <v>2019</v>
      </c>
      <c r="AL7" s="1075">
        <f>+Z7</f>
        <v>2020</v>
      </c>
    </row>
    <row r="8" spans="1:40" s="481" customFormat="1" ht="20.25" customHeight="1">
      <c r="A8" s="479" t="s">
        <v>929</v>
      </c>
      <c r="B8" s="480" t="s">
        <v>952</v>
      </c>
      <c r="C8" s="353">
        <v>4610</v>
      </c>
      <c r="D8" s="353">
        <v>4544</v>
      </c>
      <c r="E8" s="353">
        <v>3721</v>
      </c>
      <c r="F8" s="466">
        <f>+'[6]23'!$E$13</f>
        <v>1386</v>
      </c>
      <c r="G8" s="353">
        <v>2757</v>
      </c>
      <c r="H8" s="353">
        <v>2761</v>
      </c>
      <c r="I8" s="353">
        <v>2582</v>
      </c>
      <c r="J8" s="466">
        <f>+'[6]23'!$E$14</f>
        <v>1282</v>
      </c>
      <c r="K8" s="353"/>
      <c r="L8" s="353"/>
      <c r="M8" s="353"/>
      <c r="N8" s="466"/>
      <c r="O8" s="353">
        <v>12887</v>
      </c>
      <c r="P8" s="353">
        <v>13686</v>
      </c>
      <c r="Q8" s="353">
        <v>12504</v>
      </c>
      <c r="R8" s="466">
        <f>+'[6]23'!$E$15</f>
        <v>12117</v>
      </c>
      <c r="S8" s="353">
        <v>7882</v>
      </c>
      <c r="T8" s="353">
        <v>8357</v>
      </c>
      <c r="U8" s="353">
        <v>8106</v>
      </c>
      <c r="V8" s="466">
        <f>+'[6]23'!$E$16</f>
        <v>7452</v>
      </c>
      <c r="W8" s="353">
        <v>1071</v>
      </c>
      <c r="X8" s="353">
        <v>1451</v>
      </c>
      <c r="Y8" s="353">
        <v>1595</v>
      </c>
      <c r="Z8" s="466">
        <f>+'[6]23'!$E$21</f>
        <v>319</v>
      </c>
      <c r="AA8" s="353">
        <v>319</v>
      </c>
      <c r="AB8" s="353">
        <v>501</v>
      </c>
      <c r="AC8" s="353">
        <v>460</v>
      </c>
      <c r="AD8" s="466">
        <f>+'[6]23'!$E$22</f>
        <v>67</v>
      </c>
      <c r="AE8" s="353">
        <v>0</v>
      </c>
      <c r="AF8" s="353"/>
      <c r="AG8" s="353"/>
      <c r="AH8" s="466">
        <f>+'[6]23'!$E$23</f>
        <v>31</v>
      </c>
      <c r="AI8" s="352">
        <f t="shared" ref="AI8:AJ10" si="1">+C8+G8+K8+O8+S8+W8+AA8</f>
        <v>29526</v>
      </c>
      <c r="AJ8" s="353">
        <f t="shared" si="1"/>
        <v>31300</v>
      </c>
      <c r="AK8" s="353">
        <f t="shared" ref="AK8:AL11" si="2">+E8+I8+M8+Q8+U8+Y8+AC8+AG8</f>
        <v>28968</v>
      </c>
      <c r="AL8" s="466">
        <f t="shared" si="2"/>
        <v>22654</v>
      </c>
    </row>
    <row r="9" spans="1:40" s="481" customFormat="1" ht="20.25" customHeight="1">
      <c r="A9" s="465"/>
      <c r="B9" s="334" t="s">
        <v>953</v>
      </c>
      <c r="C9" s="353">
        <v>4296</v>
      </c>
      <c r="D9" s="353">
        <v>4107</v>
      </c>
      <c r="E9" s="353">
        <v>3821</v>
      </c>
      <c r="F9" s="466">
        <f>+'[6]23'!$F$13</f>
        <v>1434</v>
      </c>
      <c r="G9" s="353">
        <v>2107</v>
      </c>
      <c r="H9" s="353">
        <v>1928</v>
      </c>
      <c r="I9" s="353">
        <v>1923</v>
      </c>
      <c r="J9" s="466">
        <f>+'[6]23'!$F$14</f>
        <v>957</v>
      </c>
      <c r="K9" s="353"/>
      <c r="L9" s="353"/>
      <c r="M9" s="353"/>
      <c r="N9" s="466"/>
      <c r="O9" s="353">
        <v>12121</v>
      </c>
      <c r="P9" s="353">
        <v>11370</v>
      </c>
      <c r="Q9" s="353">
        <v>11279</v>
      </c>
      <c r="R9" s="466">
        <f>+'[6]23'!$F$15</f>
        <v>7601</v>
      </c>
      <c r="S9" s="353">
        <v>6329</v>
      </c>
      <c r="T9" s="353">
        <v>6246</v>
      </c>
      <c r="U9" s="353">
        <v>5391</v>
      </c>
      <c r="V9" s="466">
        <f>+'[6]23'!$F$16</f>
        <v>2569</v>
      </c>
      <c r="W9" s="353">
        <v>2460</v>
      </c>
      <c r="X9" s="353">
        <v>2292</v>
      </c>
      <c r="Y9" s="353">
        <v>2151</v>
      </c>
      <c r="Z9" s="466">
        <f>+'[6]23'!$F$21</f>
        <v>1160</v>
      </c>
      <c r="AA9" s="353">
        <v>40</v>
      </c>
      <c r="AB9" s="353">
        <v>56</v>
      </c>
      <c r="AC9" s="353">
        <v>28</v>
      </c>
      <c r="AD9" s="466">
        <f>+'[6]23'!$F$22</f>
        <v>10</v>
      </c>
      <c r="AE9" s="353">
        <v>0</v>
      </c>
      <c r="AF9" s="353"/>
      <c r="AG9" s="353"/>
      <c r="AH9" s="466"/>
      <c r="AI9" s="352">
        <f t="shared" ref="AI9" si="3">+C9+G9+K9+O9+S9+W9+AA9</f>
        <v>27353</v>
      </c>
      <c r="AJ9" s="353">
        <f t="shared" ref="AJ9" si="4">+D9+H9+L9+P9+T9+X9+AB9</f>
        <v>25999</v>
      </c>
      <c r="AK9" s="353">
        <f t="shared" ref="AK9" si="5">+E9+I9+M9+Q9+U9+Y9+AC9+AG9</f>
        <v>24593</v>
      </c>
      <c r="AL9" s="466">
        <f t="shared" ref="AL9" si="6">+F9+J9+N9+R9+V9+Z9+AD9+AH9</f>
        <v>13731</v>
      </c>
    </row>
    <row r="10" spans="1:40" s="481" customFormat="1" ht="20.25" customHeight="1">
      <c r="A10" s="465"/>
      <c r="B10" s="293" t="s">
        <v>1560</v>
      </c>
      <c r="C10" s="353"/>
      <c r="D10" s="353">
        <v>0</v>
      </c>
      <c r="E10" s="353">
        <v>0</v>
      </c>
      <c r="F10" s="466">
        <f>+'[6]23'!$G$13</f>
        <v>0</v>
      </c>
      <c r="G10" s="353"/>
      <c r="H10" s="353">
        <v>9</v>
      </c>
      <c r="I10" s="353">
        <v>23</v>
      </c>
      <c r="J10" s="466">
        <f>+'[6]23'!$G$14</f>
        <v>0</v>
      </c>
      <c r="K10" s="353"/>
      <c r="L10" s="353"/>
      <c r="M10" s="353"/>
      <c r="N10" s="466"/>
      <c r="O10" s="353"/>
      <c r="P10" s="353">
        <v>254</v>
      </c>
      <c r="Q10" s="353">
        <v>730</v>
      </c>
      <c r="R10" s="466">
        <f>+'[6]23'!$G$15</f>
        <v>0</v>
      </c>
      <c r="S10" s="353"/>
      <c r="T10" s="353">
        <v>110</v>
      </c>
      <c r="U10" s="353">
        <v>510</v>
      </c>
      <c r="V10" s="466">
        <f>+'[6]23'!$G$16</f>
        <v>0</v>
      </c>
      <c r="W10" s="353"/>
      <c r="X10" s="353">
        <v>0</v>
      </c>
      <c r="Y10" s="353">
        <v>0</v>
      </c>
      <c r="Z10" s="466">
        <f>+'[6]23'!$G$21</f>
        <v>0</v>
      </c>
      <c r="AA10" s="353"/>
      <c r="AB10" s="353"/>
      <c r="AC10" s="353"/>
      <c r="AD10" s="466"/>
      <c r="AE10" s="353"/>
      <c r="AF10" s="353"/>
      <c r="AG10" s="353"/>
      <c r="AH10" s="466"/>
      <c r="AI10" s="352">
        <f t="shared" si="1"/>
        <v>0</v>
      </c>
      <c r="AJ10" s="353">
        <f t="shared" si="1"/>
        <v>373</v>
      </c>
      <c r="AK10" s="353">
        <f t="shared" si="2"/>
        <v>1263</v>
      </c>
      <c r="AL10" s="466">
        <f t="shared" si="2"/>
        <v>0</v>
      </c>
    </row>
    <row r="11" spans="1:40" s="481" customFormat="1" ht="20.25" customHeight="1">
      <c r="A11" s="465"/>
      <c r="B11" s="334" t="s">
        <v>625</v>
      </c>
      <c r="C11" s="353">
        <v>8906</v>
      </c>
      <c r="D11" s="353">
        <v>8651</v>
      </c>
      <c r="E11" s="353">
        <v>7542</v>
      </c>
      <c r="F11" s="466">
        <f>SUM(F8:F10)</f>
        <v>2820</v>
      </c>
      <c r="G11" s="353">
        <v>4864</v>
      </c>
      <c r="H11" s="353">
        <v>4698</v>
      </c>
      <c r="I11" s="353">
        <v>4528</v>
      </c>
      <c r="J11" s="466">
        <f>SUM(J8:J10)</f>
        <v>2239</v>
      </c>
      <c r="K11" s="353">
        <f t="shared" ref="K11:N11" si="7">SUM(K8:K10)</f>
        <v>0</v>
      </c>
      <c r="L11" s="353">
        <f t="shared" si="7"/>
        <v>0</v>
      </c>
      <c r="M11" s="353">
        <f t="shared" si="7"/>
        <v>0</v>
      </c>
      <c r="N11" s="466">
        <f t="shared" si="7"/>
        <v>0</v>
      </c>
      <c r="O11" s="353">
        <v>25008</v>
      </c>
      <c r="P11" s="353">
        <v>25310</v>
      </c>
      <c r="Q11" s="353">
        <v>24513</v>
      </c>
      <c r="R11" s="466">
        <f>SUM(R8:R10)</f>
        <v>19718</v>
      </c>
      <c r="S11" s="353">
        <v>14211</v>
      </c>
      <c r="T11" s="353">
        <v>14713</v>
      </c>
      <c r="U11" s="353">
        <v>14007</v>
      </c>
      <c r="V11" s="466">
        <f>SUM(V8:V10)</f>
        <v>10021</v>
      </c>
      <c r="W11" s="353">
        <v>3531</v>
      </c>
      <c r="X11" s="353">
        <v>3743</v>
      </c>
      <c r="Y11" s="353">
        <v>3746</v>
      </c>
      <c r="Z11" s="466">
        <f>SUM(Z8:Z10)</f>
        <v>1479</v>
      </c>
      <c r="AA11" s="353">
        <v>359</v>
      </c>
      <c r="AB11" s="353">
        <v>557</v>
      </c>
      <c r="AC11" s="353">
        <v>488</v>
      </c>
      <c r="AD11" s="466">
        <f>SUM(AD8:AD10)</f>
        <v>77</v>
      </c>
      <c r="AE11" s="353">
        <v>0</v>
      </c>
      <c r="AF11" s="353">
        <v>0</v>
      </c>
      <c r="AG11" s="353">
        <v>0</v>
      </c>
      <c r="AH11" s="466">
        <f>SUM(AH8:AH10)</f>
        <v>31</v>
      </c>
      <c r="AI11" s="352">
        <f>SUM(AI8:AI10)</f>
        <v>56879</v>
      </c>
      <c r="AJ11" s="353">
        <f>SUM(AJ8:AJ10)</f>
        <v>57672</v>
      </c>
      <c r="AK11" s="353">
        <f t="shared" si="2"/>
        <v>54824</v>
      </c>
      <c r="AL11" s="466">
        <f t="shared" si="2"/>
        <v>36385</v>
      </c>
    </row>
    <row r="12" spans="1:40" s="481" customFormat="1" ht="20.25" customHeight="1">
      <c r="A12" s="465" t="s">
        <v>522</v>
      </c>
      <c r="B12" s="334" t="s">
        <v>954</v>
      </c>
      <c r="C12" s="353">
        <v>3563</v>
      </c>
      <c r="D12" s="353">
        <v>3329</v>
      </c>
      <c r="E12" s="353">
        <v>3761</v>
      </c>
      <c r="F12" s="466">
        <f>+'[6]23'!$J$13</f>
        <v>1486</v>
      </c>
      <c r="G12" s="353">
        <v>2115</v>
      </c>
      <c r="H12" s="353">
        <v>2092</v>
      </c>
      <c r="I12" s="353">
        <v>2498</v>
      </c>
      <c r="J12" s="466">
        <f>+'[6]23'!$J$14</f>
        <v>1331</v>
      </c>
      <c r="K12" s="353"/>
      <c r="L12" s="353"/>
      <c r="M12" s="353"/>
      <c r="N12" s="466"/>
      <c r="O12" s="353">
        <v>9411</v>
      </c>
      <c r="P12" s="353">
        <v>9535</v>
      </c>
      <c r="Q12" s="353">
        <v>11416</v>
      </c>
      <c r="R12" s="466">
        <f>+'[6]23'!$J$15</f>
        <v>12368</v>
      </c>
      <c r="S12" s="353">
        <v>3554</v>
      </c>
      <c r="T12" s="353">
        <v>3524</v>
      </c>
      <c r="U12" s="353">
        <v>4190</v>
      </c>
      <c r="V12" s="466">
        <f>+'[6]23'!$J$16</f>
        <v>4324</v>
      </c>
      <c r="W12" s="353">
        <v>355</v>
      </c>
      <c r="X12" s="353">
        <v>532</v>
      </c>
      <c r="Y12" s="353">
        <v>770</v>
      </c>
      <c r="Z12" s="466">
        <f>+'[6]23'!$J$21</f>
        <v>337</v>
      </c>
      <c r="AA12" s="353">
        <v>10</v>
      </c>
      <c r="AB12" s="353">
        <v>38</v>
      </c>
      <c r="AC12" s="353">
        <v>62</v>
      </c>
      <c r="AD12" s="466">
        <f>+'[6]23'!$J$22</f>
        <v>51</v>
      </c>
      <c r="AE12" s="353">
        <v>0</v>
      </c>
      <c r="AF12" s="353"/>
      <c r="AG12" s="353">
        <v>109</v>
      </c>
      <c r="AH12" s="466">
        <f>+'[6]23'!$J$23</f>
        <v>52</v>
      </c>
      <c r="AI12" s="352">
        <f>+C12+G12+K12+O12+S12+W12+AA12+AE12</f>
        <v>19008</v>
      </c>
      <c r="AJ12" s="353">
        <f t="shared" ref="AJ12:AL14" si="8">+D12+H12+L12+P12+T12+X12+AB12+AF12</f>
        <v>19050</v>
      </c>
      <c r="AK12" s="353">
        <f t="shared" si="8"/>
        <v>22806</v>
      </c>
      <c r="AL12" s="466">
        <f t="shared" si="8"/>
        <v>19949</v>
      </c>
      <c r="AN12" s="491"/>
    </row>
    <row r="13" spans="1:40" s="481" customFormat="1" ht="20.25" customHeight="1">
      <c r="A13" s="465" t="s">
        <v>930</v>
      </c>
      <c r="B13" s="334" t="s">
        <v>955</v>
      </c>
      <c r="C13" s="353">
        <v>3190</v>
      </c>
      <c r="D13" s="353">
        <v>3580</v>
      </c>
      <c r="E13" s="353">
        <v>3012</v>
      </c>
      <c r="F13" s="466">
        <f>+'[6]23'!$H$13</f>
        <v>1087</v>
      </c>
      <c r="G13" s="353">
        <v>1640</v>
      </c>
      <c r="H13" s="353">
        <v>1892</v>
      </c>
      <c r="I13" s="353">
        <v>1580</v>
      </c>
      <c r="J13" s="466">
        <f>+'[6]23'!$H$14</f>
        <v>825</v>
      </c>
      <c r="K13" s="353"/>
      <c r="L13" s="353"/>
      <c r="M13" s="353"/>
      <c r="N13" s="466"/>
      <c r="O13" s="353">
        <v>8235</v>
      </c>
      <c r="P13" s="353">
        <v>9321</v>
      </c>
      <c r="Q13" s="353">
        <v>7839</v>
      </c>
      <c r="R13" s="466">
        <f>+'[6]23'!$H$15</f>
        <v>7148</v>
      </c>
      <c r="S13" s="353">
        <v>2927</v>
      </c>
      <c r="T13" s="353">
        <v>3539</v>
      </c>
      <c r="U13" s="353">
        <v>2932</v>
      </c>
      <c r="V13" s="466">
        <f>+'[6]23'!$H$16</f>
        <v>2627</v>
      </c>
      <c r="W13" s="353">
        <v>251</v>
      </c>
      <c r="X13" s="353">
        <v>369</v>
      </c>
      <c r="Y13" s="353">
        <v>680</v>
      </c>
      <c r="Z13" s="466">
        <f>+'[6]23'!$H$21</f>
        <v>463</v>
      </c>
      <c r="AA13" s="353">
        <v>156</v>
      </c>
      <c r="AB13" s="353">
        <v>66</v>
      </c>
      <c r="AC13" s="353">
        <v>62</v>
      </c>
      <c r="AD13" s="466">
        <f>+'[6]23'!$H$22</f>
        <v>6</v>
      </c>
      <c r="AE13" s="353">
        <v>0</v>
      </c>
      <c r="AF13" s="353">
        <v>28</v>
      </c>
      <c r="AG13" s="353">
        <v>0</v>
      </c>
      <c r="AH13" s="466">
        <f>+'[6]23'!$H$23</f>
        <v>0</v>
      </c>
      <c r="AI13" s="352">
        <f>+C13+G13+K13+O13+S13+W13+AA13+AE13</f>
        <v>16399</v>
      </c>
      <c r="AJ13" s="353">
        <f>+D13+H13+L13+P13+T13+X13+AB13+AF13</f>
        <v>18795</v>
      </c>
      <c r="AK13" s="353">
        <f t="shared" si="8"/>
        <v>16105</v>
      </c>
      <c r="AL13" s="466">
        <f t="shared" si="8"/>
        <v>12156</v>
      </c>
    </row>
    <row r="14" spans="1:40" s="481" customFormat="1" ht="20.25" customHeight="1">
      <c r="A14" s="465" t="s">
        <v>524</v>
      </c>
      <c r="B14" s="334" t="s">
        <v>956</v>
      </c>
      <c r="C14" s="353">
        <v>2205</v>
      </c>
      <c r="D14" s="353">
        <v>1905</v>
      </c>
      <c r="E14" s="353">
        <v>2388</v>
      </c>
      <c r="F14" s="466">
        <f>+'[6]23'!$I$13</f>
        <v>1172</v>
      </c>
      <c r="G14" s="353">
        <v>1277</v>
      </c>
      <c r="H14" s="353">
        <v>1045</v>
      </c>
      <c r="I14" s="353">
        <v>1300</v>
      </c>
      <c r="J14" s="466">
        <f>+'[6]23'!$I$14</f>
        <v>901</v>
      </c>
      <c r="K14" s="353"/>
      <c r="L14" s="353"/>
      <c r="M14" s="353"/>
      <c r="N14" s="466"/>
      <c r="O14" s="353">
        <v>6076</v>
      </c>
      <c r="P14" s="353">
        <v>5267</v>
      </c>
      <c r="Q14" s="353">
        <v>7256</v>
      </c>
      <c r="R14" s="466">
        <f>+'[6]23'!$I$15</f>
        <v>7625</v>
      </c>
      <c r="S14" s="353">
        <v>1851</v>
      </c>
      <c r="T14" s="353">
        <v>1585</v>
      </c>
      <c r="U14" s="353">
        <v>2764</v>
      </c>
      <c r="V14" s="466">
        <f>+'[6]23'!$I$16</f>
        <v>2848</v>
      </c>
      <c r="W14" s="353">
        <v>395</v>
      </c>
      <c r="X14" s="353">
        <v>848</v>
      </c>
      <c r="Y14" s="353">
        <v>965</v>
      </c>
      <c r="Z14" s="466">
        <f>+'[6]23'!$I$21</f>
        <v>676</v>
      </c>
      <c r="AA14" s="353">
        <v>9</v>
      </c>
      <c r="AB14" s="353">
        <v>14</v>
      </c>
      <c r="AC14" s="353">
        <v>8</v>
      </c>
      <c r="AD14" s="466">
        <f>+'[6]23'!$I$22</f>
        <v>1</v>
      </c>
      <c r="AE14" s="353">
        <v>0</v>
      </c>
      <c r="AF14" s="353"/>
      <c r="AG14" s="353"/>
      <c r="AH14" s="466"/>
      <c r="AI14" s="352">
        <f>+C14+G14+K14+O14+S14+W14+AA14+AE14</f>
        <v>11813</v>
      </c>
      <c r="AJ14" s="353">
        <f>+D14+H14+L14+P14+T14+X14+AB14</f>
        <v>10664</v>
      </c>
      <c r="AK14" s="353">
        <f t="shared" si="8"/>
        <v>14681</v>
      </c>
      <c r="AL14" s="466">
        <f t="shared" si="8"/>
        <v>13223</v>
      </c>
    </row>
    <row r="15" spans="1:40" s="481" customFormat="1" ht="20.25" customHeight="1">
      <c r="A15" s="475" t="s">
        <v>931</v>
      </c>
      <c r="B15" s="484"/>
      <c r="C15" s="473">
        <v>17864</v>
      </c>
      <c r="D15" s="473">
        <v>17465</v>
      </c>
      <c r="E15" s="473">
        <v>16703</v>
      </c>
      <c r="F15" s="474">
        <f>SUM(F11:F14)</f>
        <v>6565</v>
      </c>
      <c r="G15" s="473">
        <v>9896</v>
      </c>
      <c r="H15" s="473">
        <v>9727</v>
      </c>
      <c r="I15" s="473">
        <v>9906</v>
      </c>
      <c r="J15" s="474">
        <f>SUM(J11:J14)</f>
        <v>5296</v>
      </c>
      <c r="K15" s="473">
        <f t="shared" ref="K15:N15" si="9">SUM(K11:K14)</f>
        <v>0</v>
      </c>
      <c r="L15" s="473">
        <f t="shared" si="9"/>
        <v>0</v>
      </c>
      <c r="M15" s="473">
        <f t="shared" si="9"/>
        <v>0</v>
      </c>
      <c r="N15" s="474">
        <f t="shared" si="9"/>
        <v>0</v>
      </c>
      <c r="O15" s="473">
        <v>48730</v>
      </c>
      <c r="P15" s="473">
        <v>49433</v>
      </c>
      <c r="Q15" s="473">
        <v>51024</v>
      </c>
      <c r="R15" s="474">
        <f>SUM(R11:R14)</f>
        <v>46859</v>
      </c>
      <c r="S15" s="473">
        <v>22543</v>
      </c>
      <c r="T15" s="473">
        <v>23361</v>
      </c>
      <c r="U15" s="473">
        <v>23893</v>
      </c>
      <c r="V15" s="474">
        <f>SUM(V11:V14)</f>
        <v>19820</v>
      </c>
      <c r="W15" s="473">
        <v>4532</v>
      </c>
      <c r="X15" s="473">
        <v>5492</v>
      </c>
      <c r="Y15" s="473">
        <v>6161</v>
      </c>
      <c r="Z15" s="474">
        <f>SUM(Z11:Z14)</f>
        <v>2955</v>
      </c>
      <c r="AA15" s="473">
        <v>534</v>
      </c>
      <c r="AB15" s="473">
        <v>675</v>
      </c>
      <c r="AC15" s="473">
        <v>620</v>
      </c>
      <c r="AD15" s="474">
        <f>SUM(AD11:AD14)</f>
        <v>135</v>
      </c>
      <c r="AE15" s="473">
        <v>0</v>
      </c>
      <c r="AF15" s="473">
        <v>28</v>
      </c>
      <c r="AG15" s="473">
        <v>109</v>
      </c>
      <c r="AH15" s="474">
        <f>SUM(AH11:AH14)</f>
        <v>83</v>
      </c>
      <c r="AI15" s="472">
        <f t="shared" ref="AI15:AL15" si="10">SUM(AI11:AI14)</f>
        <v>104099</v>
      </c>
      <c r="AJ15" s="473">
        <f t="shared" si="10"/>
        <v>106181</v>
      </c>
      <c r="AK15" s="473">
        <f t="shared" si="10"/>
        <v>108416</v>
      </c>
      <c r="AL15" s="474">
        <f t="shared" si="10"/>
        <v>81713</v>
      </c>
    </row>
    <row r="16" spans="1:40" s="481" customFormat="1" ht="20.25" customHeight="1">
      <c r="A16" s="465" t="s">
        <v>932</v>
      </c>
      <c r="B16" s="334" t="s">
        <v>957</v>
      </c>
      <c r="C16" s="353">
        <v>5034</v>
      </c>
      <c r="D16" s="353">
        <v>4450</v>
      </c>
      <c r="E16" s="353">
        <v>4467</v>
      </c>
      <c r="F16" s="466">
        <f>+'[6]23'!$O$13</f>
        <v>1185</v>
      </c>
      <c r="G16" s="353">
        <v>2394</v>
      </c>
      <c r="H16" s="353">
        <v>2281</v>
      </c>
      <c r="I16" s="353">
        <v>2490</v>
      </c>
      <c r="J16" s="466">
        <f>+'[6]23'!$O$14</f>
        <v>878</v>
      </c>
      <c r="K16" s="353"/>
      <c r="L16" s="353"/>
      <c r="M16" s="353"/>
      <c r="N16" s="466"/>
      <c r="O16" s="353">
        <v>13158</v>
      </c>
      <c r="P16" s="353">
        <v>12950</v>
      </c>
      <c r="Q16" s="353">
        <v>13411</v>
      </c>
      <c r="R16" s="466">
        <f>+'[6]23'!$O$15</f>
        <v>6482</v>
      </c>
      <c r="S16" s="353">
        <v>6242</v>
      </c>
      <c r="T16" s="353">
        <v>6363</v>
      </c>
      <c r="U16" s="353">
        <v>5647</v>
      </c>
      <c r="V16" s="466">
        <f>+'[6]23'!$O$16</f>
        <v>2786</v>
      </c>
      <c r="W16" s="353">
        <v>0</v>
      </c>
      <c r="X16" s="353">
        <v>0</v>
      </c>
      <c r="Y16" s="353">
        <v>1007</v>
      </c>
      <c r="Z16" s="466">
        <f>+'[6]23'!$O$21</f>
        <v>405</v>
      </c>
      <c r="AA16" s="353">
        <v>0</v>
      </c>
      <c r="AB16" s="353"/>
      <c r="AC16" s="353"/>
      <c r="AD16" s="466">
        <f>+'[6]23'!$O$22</f>
        <v>106</v>
      </c>
      <c r="AE16" s="353">
        <v>0</v>
      </c>
      <c r="AF16" s="353">
        <v>9</v>
      </c>
      <c r="AG16" s="353">
        <v>198</v>
      </c>
      <c r="AH16" s="466"/>
      <c r="AI16" s="352">
        <f t="shared" ref="AI16:AI18" si="11">+C16+G16+K16+O16+S16+W16+AA16</f>
        <v>26828</v>
      </c>
      <c r="AJ16" s="353">
        <f>+D16+H16+L16+P16+T16+X16+AB16+AF16</f>
        <v>26053</v>
      </c>
      <c r="AK16" s="353">
        <f t="shared" ref="AK16:AL22" si="12">+E16+I16+M16+Q16+U16+Y16+AC16+AG16</f>
        <v>27220</v>
      </c>
      <c r="AL16" s="466">
        <f t="shared" si="12"/>
        <v>11842</v>
      </c>
    </row>
    <row r="17" spans="1:43" s="481" customFormat="1" ht="20.25" customHeight="1">
      <c r="A17" s="465"/>
      <c r="B17" s="293" t="s">
        <v>1451</v>
      </c>
      <c r="C17" s="353">
        <v>0</v>
      </c>
      <c r="D17" s="353">
        <v>0</v>
      </c>
      <c r="E17" s="353">
        <v>0</v>
      </c>
      <c r="F17" s="466">
        <f>+'[6]23'!$K$13</f>
        <v>0</v>
      </c>
      <c r="G17" s="353">
        <v>17</v>
      </c>
      <c r="H17" s="353">
        <v>5</v>
      </c>
      <c r="I17" s="353">
        <v>2</v>
      </c>
      <c r="J17" s="466">
        <f>+'[6]23'!$K$14</f>
        <v>0</v>
      </c>
      <c r="K17" s="353"/>
      <c r="L17" s="353"/>
      <c r="M17" s="353"/>
      <c r="N17" s="466"/>
      <c r="O17" s="353">
        <v>1147</v>
      </c>
      <c r="P17" s="353">
        <v>1438</v>
      </c>
      <c r="Q17" s="353">
        <v>1976</v>
      </c>
      <c r="R17" s="466">
        <f>+'[6]23'!$K$15</f>
        <v>229</v>
      </c>
      <c r="S17" s="353">
        <v>6</v>
      </c>
      <c r="T17" s="353">
        <v>44</v>
      </c>
      <c r="U17" s="353">
        <v>0</v>
      </c>
      <c r="V17" s="466">
        <f>+'[6]23'!$K$16</f>
        <v>1</v>
      </c>
      <c r="W17" s="353">
        <v>0</v>
      </c>
      <c r="X17" s="353">
        <v>19</v>
      </c>
      <c r="Y17" s="353">
        <v>0</v>
      </c>
      <c r="Z17" s="466">
        <f>+'[6]23'!$K$21</f>
        <v>0</v>
      </c>
      <c r="AA17" s="353">
        <v>0</v>
      </c>
      <c r="AB17" s="353"/>
      <c r="AC17" s="353"/>
      <c r="AD17" s="466"/>
      <c r="AE17" s="353">
        <v>0</v>
      </c>
      <c r="AF17" s="353"/>
      <c r="AG17" s="353"/>
      <c r="AH17" s="466"/>
      <c r="AI17" s="352">
        <f t="shared" ref="AI17" si="13">+C17+G17+K17+O17+S17+W17+AA17</f>
        <v>1170</v>
      </c>
      <c r="AJ17" s="353">
        <f>+D17+H17+L17+P17+T17+X17+AB17+AF17</f>
        <v>1506</v>
      </c>
      <c r="AK17" s="353">
        <f t="shared" si="12"/>
        <v>1978</v>
      </c>
      <c r="AL17" s="466">
        <f t="shared" si="12"/>
        <v>230</v>
      </c>
    </row>
    <row r="18" spans="1:43" s="481" customFormat="1" ht="20.25" customHeight="1">
      <c r="A18" s="465"/>
      <c r="B18" s="334" t="s">
        <v>958</v>
      </c>
      <c r="C18" s="353">
        <v>9403</v>
      </c>
      <c r="D18" s="353">
        <v>7738</v>
      </c>
      <c r="E18" s="353">
        <v>8218</v>
      </c>
      <c r="F18" s="466">
        <f>+'[6]23'!$P$13</f>
        <v>2738</v>
      </c>
      <c r="G18" s="353">
        <v>3611</v>
      </c>
      <c r="H18" s="353">
        <v>3414</v>
      </c>
      <c r="I18" s="353">
        <v>3732</v>
      </c>
      <c r="J18" s="466">
        <f>+'[6]23'!$P$14</f>
        <v>1821</v>
      </c>
      <c r="K18" s="353"/>
      <c r="L18" s="353"/>
      <c r="M18" s="353"/>
      <c r="N18" s="466"/>
      <c r="O18" s="353">
        <v>16970</v>
      </c>
      <c r="P18" s="353">
        <v>16054</v>
      </c>
      <c r="Q18" s="353">
        <v>18918</v>
      </c>
      <c r="R18" s="466">
        <f>+'[6]23'!$P$15</f>
        <v>13888</v>
      </c>
      <c r="S18" s="353">
        <v>7732</v>
      </c>
      <c r="T18" s="353">
        <v>7774</v>
      </c>
      <c r="U18" s="353">
        <v>9098</v>
      </c>
      <c r="V18" s="466">
        <f>+'[6]23'!$P$16</f>
        <v>5847</v>
      </c>
      <c r="W18" s="353">
        <v>2249</v>
      </c>
      <c r="X18" s="353">
        <v>1961</v>
      </c>
      <c r="Y18" s="353">
        <v>1326</v>
      </c>
      <c r="Z18" s="466">
        <f>+'[6]23'!$P$21</f>
        <v>654</v>
      </c>
      <c r="AA18" s="353">
        <v>0</v>
      </c>
      <c r="AB18" s="353"/>
      <c r="AC18" s="353"/>
      <c r="AD18" s="466"/>
      <c r="AE18" s="353">
        <v>0</v>
      </c>
      <c r="AF18" s="353"/>
      <c r="AG18" s="353"/>
      <c r="AH18" s="466"/>
      <c r="AI18" s="352">
        <f t="shared" si="11"/>
        <v>39965</v>
      </c>
      <c r="AJ18" s="353">
        <f>+D18+H18+L18+P18+T18+X18+AB18+AF18</f>
        <v>36941</v>
      </c>
      <c r="AK18" s="353">
        <f t="shared" si="12"/>
        <v>41292</v>
      </c>
      <c r="AL18" s="466">
        <f t="shared" si="12"/>
        <v>24948</v>
      </c>
    </row>
    <row r="19" spans="1:43" s="481" customFormat="1" ht="20.25" customHeight="1">
      <c r="A19" s="465"/>
      <c r="B19" s="293" t="s">
        <v>1583</v>
      </c>
      <c r="C19" s="353"/>
      <c r="D19" s="353"/>
      <c r="E19" s="353">
        <v>0</v>
      </c>
      <c r="F19" s="466">
        <f>+'[6]23'!$L$13</f>
        <v>0</v>
      </c>
      <c r="G19" s="353"/>
      <c r="H19" s="353"/>
      <c r="I19" s="353">
        <v>0</v>
      </c>
      <c r="J19" s="466">
        <f>+'[6]23'!$L$14</f>
        <v>0</v>
      </c>
      <c r="K19" s="353"/>
      <c r="L19" s="353"/>
      <c r="M19" s="353"/>
      <c r="N19" s="466"/>
      <c r="O19" s="353"/>
      <c r="P19" s="353"/>
      <c r="Q19" s="353">
        <v>0</v>
      </c>
      <c r="R19" s="466">
        <f>+'[6]23'!$L$15</f>
        <v>0</v>
      </c>
      <c r="S19" s="353"/>
      <c r="T19" s="353"/>
      <c r="U19" s="353">
        <v>0</v>
      </c>
      <c r="V19" s="466">
        <f>+'[6]23'!$L$16</f>
        <v>0</v>
      </c>
      <c r="W19" s="353"/>
      <c r="X19" s="353"/>
      <c r="Y19" s="353">
        <v>348</v>
      </c>
      <c r="Z19" s="466">
        <f>+'[6]23'!$L$21</f>
        <v>0</v>
      </c>
      <c r="AA19" s="353"/>
      <c r="AB19" s="353"/>
      <c r="AC19" s="353"/>
      <c r="AD19" s="466"/>
      <c r="AE19" s="353">
        <v>55</v>
      </c>
      <c r="AF19" s="353"/>
      <c r="AG19" s="353"/>
      <c r="AH19" s="466"/>
      <c r="AI19" s="352"/>
      <c r="AJ19" s="353"/>
      <c r="AK19" s="353"/>
      <c r="AL19" s="466">
        <f t="shared" si="12"/>
        <v>0</v>
      </c>
    </row>
    <row r="20" spans="1:43" s="481" customFormat="1" ht="20.25" customHeight="1">
      <c r="A20" s="465"/>
      <c r="B20" s="334" t="s">
        <v>812</v>
      </c>
      <c r="C20" s="353">
        <v>1439</v>
      </c>
      <c r="D20" s="353">
        <v>1553</v>
      </c>
      <c r="E20" s="353">
        <v>1587</v>
      </c>
      <c r="F20" s="466">
        <f>+'[6]23'!$N$13</f>
        <v>449</v>
      </c>
      <c r="G20" s="353">
        <v>966</v>
      </c>
      <c r="H20" s="353">
        <v>878</v>
      </c>
      <c r="I20" s="353">
        <v>908</v>
      </c>
      <c r="J20" s="466">
        <f>+'[6]23'!$N$14</f>
        <v>329</v>
      </c>
      <c r="K20" s="353"/>
      <c r="L20" s="353"/>
      <c r="M20" s="353"/>
      <c r="N20" s="466"/>
      <c r="O20" s="353">
        <v>3547</v>
      </c>
      <c r="P20" s="353">
        <v>3775</v>
      </c>
      <c r="Q20" s="353">
        <v>3283</v>
      </c>
      <c r="R20" s="466">
        <f>+'[6]23'!$N$15</f>
        <v>2503</v>
      </c>
      <c r="S20" s="353">
        <v>1288</v>
      </c>
      <c r="T20" s="353">
        <v>1642</v>
      </c>
      <c r="U20" s="353">
        <v>1318</v>
      </c>
      <c r="V20" s="466">
        <f>+'[6]23'!$N$16</f>
        <v>855</v>
      </c>
      <c r="W20" s="353">
        <v>361</v>
      </c>
      <c r="X20" s="353">
        <v>504</v>
      </c>
      <c r="Y20" s="353">
        <v>573</v>
      </c>
      <c r="Z20" s="466">
        <f>+'[6]23'!$N$21</f>
        <v>261</v>
      </c>
      <c r="AA20" s="353">
        <v>15</v>
      </c>
      <c r="AB20" s="353"/>
      <c r="AC20" s="353"/>
      <c r="AD20" s="466"/>
      <c r="AE20" s="353">
        <v>55</v>
      </c>
      <c r="AF20" s="353">
        <v>23</v>
      </c>
      <c r="AG20" s="353">
        <v>11</v>
      </c>
      <c r="AH20" s="466">
        <f>+'[6]23'!$N$23</f>
        <v>0</v>
      </c>
      <c r="AI20" s="352">
        <f>+C20+G20+K20+O20+S20+W20+AA20+AE20</f>
        <v>7671</v>
      </c>
      <c r="AJ20" s="353">
        <f>+D20+H20+L20+P20+T20+X20+AB20+AF20</f>
        <v>8375</v>
      </c>
      <c r="AK20" s="353">
        <f t="shared" si="12"/>
        <v>7680</v>
      </c>
      <c r="AL20" s="466">
        <f t="shared" si="12"/>
        <v>4397</v>
      </c>
      <c r="AM20" s="1078"/>
      <c r="AQ20" s="491"/>
    </row>
    <row r="21" spans="1:43" s="481" customFormat="1" ht="20.25" customHeight="1">
      <c r="A21" s="465"/>
      <c r="B21" s="334" t="s">
        <v>625</v>
      </c>
      <c r="C21" s="353">
        <v>15876</v>
      </c>
      <c r="D21" s="353">
        <v>13741</v>
      </c>
      <c r="E21" s="353">
        <v>14272</v>
      </c>
      <c r="F21" s="466">
        <f>SUM(F16:F20)</f>
        <v>4372</v>
      </c>
      <c r="G21" s="353">
        <v>6988</v>
      </c>
      <c r="H21" s="353">
        <v>6578</v>
      </c>
      <c r="I21" s="353">
        <v>7132</v>
      </c>
      <c r="J21" s="466">
        <f>SUM(J16:J20)</f>
        <v>3028</v>
      </c>
      <c r="K21" s="353">
        <f t="shared" ref="K21:N21" si="14">SUM(K16:K20)</f>
        <v>0</v>
      </c>
      <c r="L21" s="353">
        <f t="shared" si="14"/>
        <v>0</v>
      </c>
      <c r="M21" s="353">
        <f t="shared" si="14"/>
        <v>0</v>
      </c>
      <c r="N21" s="466">
        <f t="shared" si="14"/>
        <v>0</v>
      </c>
      <c r="O21" s="353">
        <v>34822</v>
      </c>
      <c r="P21" s="353">
        <v>34217</v>
      </c>
      <c r="Q21" s="353">
        <v>37588</v>
      </c>
      <c r="R21" s="466">
        <f>SUM(R16:R20)</f>
        <v>23102</v>
      </c>
      <c r="S21" s="353">
        <v>15268</v>
      </c>
      <c r="T21" s="353">
        <v>15823</v>
      </c>
      <c r="U21" s="353">
        <v>16063</v>
      </c>
      <c r="V21" s="466">
        <f>SUM(V16:V20)</f>
        <v>9489</v>
      </c>
      <c r="W21" s="353">
        <v>2610</v>
      </c>
      <c r="X21" s="353">
        <v>2484</v>
      </c>
      <c r="Y21" s="353">
        <v>3254</v>
      </c>
      <c r="Z21" s="466">
        <f>SUM(Z16:Z20)</f>
        <v>1320</v>
      </c>
      <c r="AA21" s="353">
        <v>15</v>
      </c>
      <c r="AB21" s="353">
        <v>0</v>
      </c>
      <c r="AC21" s="353">
        <v>0</v>
      </c>
      <c r="AD21" s="466">
        <f>SUM(AD16:AD20)</f>
        <v>106</v>
      </c>
      <c r="AE21" s="353">
        <v>0</v>
      </c>
      <c r="AF21" s="353">
        <v>32</v>
      </c>
      <c r="AG21" s="353">
        <v>209</v>
      </c>
      <c r="AH21" s="466">
        <f>SUM(AH16:AH20)</f>
        <v>0</v>
      </c>
      <c r="AI21" s="352">
        <f>SUM(AI16:AI20)</f>
        <v>75634</v>
      </c>
      <c r="AJ21" s="353">
        <f>SUM(AJ16:AJ20)</f>
        <v>72875</v>
      </c>
      <c r="AK21" s="353">
        <f t="shared" si="12"/>
        <v>78518</v>
      </c>
      <c r="AL21" s="466">
        <f t="shared" si="12"/>
        <v>41417</v>
      </c>
      <c r="AM21" s="1078"/>
      <c r="AQ21" s="491"/>
    </row>
    <row r="22" spans="1:43" s="481" customFormat="1" ht="20.25" customHeight="1">
      <c r="A22" s="465"/>
      <c r="B22" s="334" t="s">
        <v>959</v>
      </c>
      <c r="C22" s="353">
        <v>4210</v>
      </c>
      <c r="D22" s="353">
        <v>4269</v>
      </c>
      <c r="E22" s="353">
        <v>4351</v>
      </c>
      <c r="F22" s="466">
        <f>+'[6]23'!$W$13</f>
        <v>1447</v>
      </c>
      <c r="G22" s="353">
        <v>2516</v>
      </c>
      <c r="H22" s="353">
        <v>2605</v>
      </c>
      <c r="I22" s="353">
        <v>2531</v>
      </c>
      <c r="J22" s="466">
        <f>+'[6]23'!$W$14</f>
        <v>1061</v>
      </c>
      <c r="K22" s="353"/>
      <c r="L22" s="353"/>
      <c r="M22" s="353"/>
      <c r="N22" s="466"/>
      <c r="O22" s="353">
        <v>11963</v>
      </c>
      <c r="P22" s="353">
        <v>12930</v>
      </c>
      <c r="Q22" s="353">
        <v>13376</v>
      </c>
      <c r="R22" s="466">
        <f>+'[6]23'!$W$15</f>
        <v>10458</v>
      </c>
      <c r="S22" s="353">
        <v>5026</v>
      </c>
      <c r="T22" s="353">
        <v>5959</v>
      </c>
      <c r="U22" s="353">
        <v>6084</v>
      </c>
      <c r="V22" s="466">
        <f>+'[6]23'!$W$16</f>
        <v>4404</v>
      </c>
      <c r="W22" s="353">
        <v>1623</v>
      </c>
      <c r="X22" s="353">
        <v>1366</v>
      </c>
      <c r="Y22" s="353">
        <v>1605</v>
      </c>
      <c r="Z22" s="466">
        <f>+'[6]23'!$W$21</f>
        <v>677</v>
      </c>
      <c r="AA22" s="353">
        <v>4</v>
      </c>
      <c r="AB22" s="353">
        <v>56</v>
      </c>
      <c r="AC22" s="353">
        <v>41</v>
      </c>
      <c r="AD22" s="466">
        <f>+'[6]23'!$W$22</f>
        <v>13</v>
      </c>
      <c r="AE22" s="353">
        <v>0</v>
      </c>
      <c r="AF22" s="353"/>
      <c r="AG22" s="353"/>
      <c r="AH22" s="466"/>
      <c r="AI22" s="352">
        <f>+C22+G22+K22+O22+S22+W22+AA22+AE22</f>
        <v>25342</v>
      </c>
      <c r="AJ22" s="353">
        <f t="shared" ref="AI22:AJ24" si="15">+D22+H22+L22+P22+T22+X22+AB22</f>
        <v>27185</v>
      </c>
      <c r="AK22" s="353">
        <f t="shared" si="12"/>
        <v>27988</v>
      </c>
      <c r="AL22" s="466">
        <f t="shared" si="12"/>
        <v>18060</v>
      </c>
      <c r="AM22" s="1078"/>
    </row>
    <row r="23" spans="1:43" s="481" customFormat="1" ht="20.25" customHeight="1">
      <c r="A23" s="465"/>
      <c r="B23" s="293" t="s">
        <v>1237</v>
      </c>
      <c r="C23" s="353"/>
      <c r="D23" s="353"/>
      <c r="E23" s="353"/>
      <c r="F23" s="466"/>
      <c r="G23" s="353"/>
      <c r="H23" s="353"/>
      <c r="I23" s="353"/>
      <c r="J23" s="466"/>
      <c r="K23" s="353"/>
      <c r="L23" s="353"/>
      <c r="M23" s="353"/>
      <c r="N23" s="466"/>
      <c r="O23" s="353"/>
      <c r="P23" s="353"/>
      <c r="Q23" s="353">
        <v>93</v>
      </c>
      <c r="R23" s="466">
        <f>+'[6]23'!$U$15</f>
        <v>29</v>
      </c>
      <c r="S23" s="353"/>
      <c r="T23" s="353"/>
      <c r="U23" s="353">
        <v>32</v>
      </c>
      <c r="V23" s="466">
        <f>+'[6]23'!$U$16</f>
        <v>16</v>
      </c>
      <c r="W23" s="353"/>
      <c r="X23" s="353"/>
      <c r="Y23" s="353"/>
      <c r="Z23" s="466"/>
      <c r="AA23" s="353"/>
      <c r="AB23" s="353"/>
      <c r="AC23" s="353"/>
      <c r="AD23" s="466"/>
      <c r="AE23" s="353">
        <v>0</v>
      </c>
      <c r="AF23" s="353"/>
      <c r="AG23" s="353"/>
      <c r="AH23" s="466"/>
      <c r="AI23" s="352">
        <f t="shared" ref="AI23" si="16">+C23+G23+K23+O23+S23+W23+AA23</f>
        <v>0</v>
      </c>
      <c r="AJ23" s="353">
        <f>+D23+H23+L23+P23+T23+X23+AB23+AF23</f>
        <v>0</v>
      </c>
      <c r="AK23" s="353">
        <f t="shared" ref="AK23" si="17">+E23+I23+M23+Q23+U23+Y23+AC23+AG23</f>
        <v>125</v>
      </c>
      <c r="AL23" s="466">
        <f t="shared" ref="AL23" si="18">+F23+J23+N23+R23+V23+Z23+AD23+AH23</f>
        <v>45</v>
      </c>
      <c r="AM23" s="1078"/>
    </row>
    <row r="24" spans="1:43" s="481" customFormat="1" ht="20.25" customHeight="1">
      <c r="A24" s="465"/>
      <c r="B24" s="334" t="s">
        <v>933</v>
      </c>
      <c r="C24" s="353">
        <v>1</v>
      </c>
      <c r="D24" s="353">
        <v>0</v>
      </c>
      <c r="E24" s="353">
        <v>0</v>
      </c>
      <c r="F24" s="466">
        <f>+'[6]23'!$V$13</f>
        <v>0</v>
      </c>
      <c r="G24" s="353">
        <v>7</v>
      </c>
      <c r="H24" s="353">
        <v>0</v>
      </c>
      <c r="I24" s="353">
        <v>0</v>
      </c>
      <c r="J24" s="466">
        <f>+'[6]23'!$V$14</f>
        <v>0</v>
      </c>
      <c r="K24" s="353"/>
      <c r="L24" s="353"/>
      <c r="M24" s="353"/>
      <c r="N24" s="466"/>
      <c r="O24" s="353">
        <v>302</v>
      </c>
      <c r="P24" s="353">
        <v>27</v>
      </c>
      <c r="Q24" s="353">
        <v>0</v>
      </c>
      <c r="R24" s="466">
        <f>+'[6]23'!$V$15</f>
        <v>0</v>
      </c>
      <c r="S24" s="353">
        <v>0</v>
      </c>
      <c r="T24" s="353">
        <v>0</v>
      </c>
      <c r="U24" s="353">
        <v>0</v>
      </c>
      <c r="V24" s="466">
        <f>+'[6]23'!$V$16</f>
        <v>0</v>
      </c>
      <c r="W24" s="353">
        <v>766</v>
      </c>
      <c r="X24" s="353">
        <v>0</v>
      </c>
      <c r="Y24" s="353">
        <v>0</v>
      </c>
      <c r="Z24" s="466">
        <f>+'[6]23'!$V$21</f>
        <v>0</v>
      </c>
      <c r="AA24" s="353">
        <v>0</v>
      </c>
      <c r="AB24" s="353"/>
      <c r="AC24" s="353"/>
      <c r="AD24" s="466"/>
      <c r="AE24" s="353">
        <v>0</v>
      </c>
      <c r="AF24" s="353"/>
      <c r="AG24" s="353"/>
      <c r="AH24" s="466"/>
      <c r="AI24" s="352">
        <f t="shared" si="15"/>
        <v>1076</v>
      </c>
      <c r="AJ24" s="353">
        <f t="shared" si="15"/>
        <v>27</v>
      </c>
      <c r="AK24" s="353">
        <f t="shared" ref="AK24:AL30" si="19">+E24+I24+M24+Q24+U24+Y24+AC24+AG24</f>
        <v>0</v>
      </c>
      <c r="AL24" s="466">
        <f t="shared" si="19"/>
        <v>0</v>
      </c>
      <c r="AM24" s="1078"/>
    </row>
    <row r="25" spans="1:43" s="481" customFormat="1" ht="20.25" customHeight="1">
      <c r="A25" s="465"/>
      <c r="B25" s="334" t="s">
        <v>625</v>
      </c>
      <c r="C25" s="353">
        <v>4211</v>
      </c>
      <c r="D25" s="353">
        <v>4269</v>
      </c>
      <c r="E25" s="353">
        <v>4351</v>
      </c>
      <c r="F25" s="466">
        <f>SUM(F22:F24)</f>
        <v>1447</v>
      </c>
      <c r="G25" s="353">
        <v>2523</v>
      </c>
      <c r="H25" s="353">
        <v>2605</v>
      </c>
      <c r="I25" s="353">
        <v>2531</v>
      </c>
      <c r="J25" s="466">
        <f>SUM(J22:J24)</f>
        <v>1061</v>
      </c>
      <c r="K25" s="353">
        <f t="shared" ref="K25:N25" si="20">SUM(K22:K24)</f>
        <v>0</v>
      </c>
      <c r="L25" s="353">
        <f t="shared" si="20"/>
        <v>0</v>
      </c>
      <c r="M25" s="353">
        <f t="shared" si="20"/>
        <v>0</v>
      </c>
      <c r="N25" s="466">
        <f t="shared" si="20"/>
        <v>0</v>
      </c>
      <c r="O25" s="353">
        <v>12265</v>
      </c>
      <c r="P25" s="353">
        <v>12957</v>
      </c>
      <c r="Q25" s="353">
        <v>13469</v>
      </c>
      <c r="R25" s="466">
        <f>SUM(R22:R24)</f>
        <v>10487</v>
      </c>
      <c r="S25" s="353">
        <v>5026</v>
      </c>
      <c r="T25" s="353">
        <v>5959</v>
      </c>
      <c r="U25" s="353">
        <v>6116</v>
      </c>
      <c r="V25" s="466">
        <f>SUM(V22:V24)</f>
        <v>4420</v>
      </c>
      <c r="W25" s="353">
        <v>2389</v>
      </c>
      <c r="X25" s="353">
        <v>1366</v>
      </c>
      <c r="Y25" s="353">
        <v>1605</v>
      </c>
      <c r="Z25" s="466">
        <f>SUM(Z22:Z24)</f>
        <v>677</v>
      </c>
      <c r="AA25" s="353">
        <v>4</v>
      </c>
      <c r="AB25" s="353">
        <v>56</v>
      </c>
      <c r="AC25" s="353">
        <v>41</v>
      </c>
      <c r="AD25" s="466">
        <f>SUM(AD22:AD24)</f>
        <v>13</v>
      </c>
      <c r="AE25" s="353">
        <v>0</v>
      </c>
      <c r="AF25" s="353">
        <v>0</v>
      </c>
      <c r="AG25" s="353">
        <v>0</v>
      </c>
      <c r="AH25" s="466">
        <f>SUM(AH22:AH24)</f>
        <v>0</v>
      </c>
      <c r="AI25" s="352">
        <f>SUM(AI22:AI24)</f>
        <v>26418</v>
      </c>
      <c r="AJ25" s="353">
        <f>SUM(AJ22:AJ24)</f>
        <v>27212</v>
      </c>
      <c r="AK25" s="353">
        <f t="shared" si="19"/>
        <v>28113</v>
      </c>
      <c r="AL25" s="466">
        <f t="shared" si="19"/>
        <v>18105</v>
      </c>
      <c r="AM25" s="1078"/>
    </row>
    <row r="26" spans="1:43" s="481" customFormat="1" ht="20.25" customHeight="1">
      <c r="A26" s="465" t="s">
        <v>528</v>
      </c>
      <c r="B26" s="334" t="s">
        <v>960</v>
      </c>
      <c r="C26" s="353">
        <v>3467</v>
      </c>
      <c r="D26" s="353">
        <v>2921</v>
      </c>
      <c r="E26" s="353">
        <v>2786</v>
      </c>
      <c r="F26" s="466">
        <f>+'[6]23'!$X$13</f>
        <v>1323</v>
      </c>
      <c r="G26" s="353">
        <v>1938</v>
      </c>
      <c r="H26" s="353">
        <v>1810</v>
      </c>
      <c r="I26" s="353">
        <v>1672</v>
      </c>
      <c r="J26" s="466">
        <f>+'[6]23'!$X$14</f>
        <v>819</v>
      </c>
      <c r="K26" s="353"/>
      <c r="L26" s="353"/>
      <c r="M26" s="353"/>
      <c r="N26" s="466"/>
      <c r="O26" s="353">
        <v>8869</v>
      </c>
      <c r="P26" s="353">
        <v>9120</v>
      </c>
      <c r="Q26" s="353">
        <v>9027</v>
      </c>
      <c r="R26" s="466">
        <f>+'[6]23'!$X$15</f>
        <v>6970</v>
      </c>
      <c r="S26" s="353">
        <v>3021</v>
      </c>
      <c r="T26" s="353">
        <v>3220</v>
      </c>
      <c r="U26" s="353">
        <v>3771</v>
      </c>
      <c r="V26" s="466">
        <f>+'[6]23'!$X$16</f>
        <v>3295</v>
      </c>
      <c r="W26" s="353">
        <v>487</v>
      </c>
      <c r="X26" s="353">
        <v>405</v>
      </c>
      <c r="Y26" s="353">
        <v>534</v>
      </c>
      <c r="Z26" s="466">
        <f>+'[6]23'!$X$21</f>
        <v>421</v>
      </c>
      <c r="AA26" s="353">
        <v>0</v>
      </c>
      <c r="AB26" s="353"/>
      <c r="AC26" s="353"/>
      <c r="AD26" s="466"/>
      <c r="AE26" s="353">
        <v>0</v>
      </c>
      <c r="AF26" s="353"/>
      <c r="AG26" s="353"/>
      <c r="AH26" s="466"/>
      <c r="AI26" s="352">
        <f t="shared" ref="AI26:AJ30" si="21">+C26+G26+K26+O26+S26+W26+AA26</f>
        <v>17782</v>
      </c>
      <c r="AJ26" s="353">
        <f>+D26+H26+L26+P26+T26+X26+AB26+AF26</f>
        <v>17476</v>
      </c>
      <c r="AK26" s="353">
        <f t="shared" si="19"/>
        <v>17790</v>
      </c>
      <c r="AL26" s="466">
        <f t="shared" si="19"/>
        <v>12828</v>
      </c>
    </row>
    <row r="27" spans="1:43" s="481" customFormat="1" ht="20.25" customHeight="1">
      <c r="A27" s="465" t="s">
        <v>529</v>
      </c>
      <c r="B27" s="334" t="s">
        <v>961</v>
      </c>
      <c r="C27" s="353">
        <v>2837</v>
      </c>
      <c r="D27" s="353">
        <v>2710</v>
      </c>
      <c r="E27" s="353">
        <v>2942</v>
      </c>
      <c r="F27" s="466">
        <f>+'[6]23'!$T$13</f>
        <v>1133</v>
      </c>
      <c r="G27" s="353">
        <v>1613</v>
      </c>
      <c r="H27" s="353">
        <v>1569</v>
      </c>
      <c r="I27" s="353">
        <v>1887</v>
      </c>
      <c r="J27" s="466">
        <f>+'[6]23'!$T$14</f>
        <v>934</v>
      </c>
      <c r="K27" s="353"/>
      <c r="L27" s="353"/>
      <c r="M27" s="353"/>
      <c r="N27" s="466"/>
      <c r="O27" s="353">
        <v>6835</v>
      </c>
      <c r="P27" s="353">
        <v>7134</v>
      </c>
      <c r="Q27" s="353">
        <v>7926</v>
      </c>
      <c r="R27" s="466">
        <f>+'[6]23'!$T$15</f>
        <v>7431</v>
      </c>
      <c r="S27" s="353">
        <v>2087</v>
      </c>
      <c r="T27" s="353">
        <v>2192</v>
      </c>
      <c r="U27" s="353">
        <v>2419</v>
      </c>
      <c r="V27" s="466">
        <f>+'[6]23'!$T$16</f>
        <v>2165</v>
      </c>
      <c r="W27" s="353">
        <v>361</v>
      </c>
      <c r="X27" s="353">
        <v>234</v>
      </c>
      <c r="Y27" s="353">
        <v>206</v>
      </c>
      <c r="Z27" s="466">
        <f>+'[6]23'!$T$21</f>
        <v>250</v>
      </c>
      <c r="AA27" s="353">
        <v>441</v>
      </c>
      <c r="AB27" s="353"/>
      <c r="AC27" s="353"/>
      <c r="AD27" s="466"/>
      <c r="AE27" s="353">
        <v>15</v>
      </c>
      <c r="AF27" s="353"/>
      <c r="AG27" s="353"/>
      <c r="AH27" s="466"/>
      <c r="AI27" s="352">
        <f>+C27+G27+K27+O27+S27+W27+AA27+AE27</f>
        <v>14189</v>
      </c>
      <c r="AJ27" s="353">
        <f>+D27+H27+L27+P27+T27+X27+AB27+AF27</f>
        <v>13839</v>
      </c>
      <c r="AK27" s="353">
        <f t="shared" si="19"/>
        <v>15380</v>
      </c>
      <c r="AL27" s="466">
        <f t="shared" si="19"/>
        <v>11913</v>
      </c>
    </row>
    <row r="28" spans="1:43" s="481" customFormat="1" ht="20.25" customHeight="1">
      <c r="A28" s="465" t="s">
        <v>934</v>
      </c>
      <c r="B28" s="334" t="s">
        <v>817</v>
      </c>
      <c r="C28" s="353">
        <v>4537</v>
      </c>
      <c r="D28" s="353">
        <v>4602</v>
      </c>
      <c r="E28" s="353">
        <v>3741</v>
      </c>
      <c r="F28" s="466">
        <f>+'[6]23'!$S$13</f>
        <v>1260</v>
      </c>
      <c r="G28" s="353">
        <v>2145</v>
      </c>
      <c r="H28" s="353">
        <v>2157</v>
      </c>
      <c r="I28" s="353">
        <v>1986</v>
      </c>
      <c r="J28" s="466">
        <f>+'[6]23'!$S$14</f>
        <v>892</v>
      </c>
      <c r="K28" s="353"/>
      <c r="L28" s="353"/>
      <c r="M28" s="353"/>
      <c r="N28" s="466"/>
      <c r="O28" s="353">
        <v>11367</v>
      </c>
      <c r="P28" s="353">
        <v>11434</v>
      </c>
      <c r="Q28" s="353">
        <v>11389</v>
      </c>
      <c r="R28" s="466">
        <f>+'[6]23'!$S$15</f>
        <v>9177</v>
      </c>
      <c r="S28" s="353">
        <v>4611</v>
      </c>
      <c r="T28" s="353">
        <v>4635</v>
      </c>
      <c r="U28" s="353">
        <v>4424</v>
      </c>
      <c r="V28" s="466">
        <f>+'[6]23'!$S$16</f>
        <v>3539</v>
      </c>
      <c r="W28" s="353">
        <v>1309</v>
      </c>
      <c r="X28" s="353">
        <v>1331</v>
      </c>
      <c r="Y28" s="353">
        <v>1318</v>
      </c>
      <c r="Z28" s="466">
        <f>+'[6]23'!$S$21</f>
        <v>642</v>
      </c>
      <c r="AA28" s="353">
        <v>96</v>
      </c>
      <c r="AB28" s="353">
        <v>58</v>
      </c>
      <c r="AC28" s="353">
        <v>70</v>
      </c>
      <c r="AD28" s="466">
        <f>+'[6]23'!$S$22</f>
        <v>21</v>
      </c>
      <c r="AE28" s="353">
        <v>0</v>
      </c>
      <c r="AF28" s="353"/>
      <c r="AG28" s="353"/>
      <c r="AH28" s="466"/>
      <c r="AI28" s="352">
        <f t="shared" si="21"/>
        <v>24065</v>
      </c>
      <c r="AJ28" s="353">
        <f t="shared" si="21"/>
        <v>24217</v>
      </c>
      <c r="AK28" s="353">
        <f t="shared" si="19"/>
        <v>22928</v>
      </c>
      <c r="AL28" s="466">
        <f t="shared" si="19"/>
        <v>15531</v>
      </c>
    </row>
    <row r="29" spans="1:43" s="481" customFormat="1" ht="20.25" customHeight="1">
      <c r="A29" s="465"/>
      <c r="B29" s="293" t="s">
        <v>967</v>
      </c>
      <c r="C29" s="353">
        <v>0</v>
      </c>
      <c r="D29" s="353">
        <v>0</v>
      </c>
      <c r="E29" s="353">
        <v>25</v>
      </c>
      <c r="F29" s="466">
        <f>+'[6]23'!$R$13</f>
        <v>3</v>
      </c>
      <c r="G29" s="353">
        <v>2</v>
      </c>
      <c r="H29" s="353">
        <v>5</v>
      </c>
      <c r="I29" s="353">
        <v>21</v>
      </c>
      <c r="J29" s="466">
        <f>+'[6]23'!$R$14</f>
        <v>12</v>
      </c>
      <c r="K29" s="353"/>
      <c r="L29" s="353"/>
      <c r="M29" s="353"/>
      <c r="N29" s="466"/>
      <c r="O29" s="353">
        <v>467</v>
      </c>
      <c r="P29" s="353">
        <v>536</v>
      </c>
      <c r="Q29" s="353">
        <v>600</v>
      </c>
      <c r="R29" s="466">
        <f>+'[6]23'!$R$15</f>
        <v>243</v>
      </c>
      <c r="S29" s="353">
        <v>213</v>
      </c>
      <c r="T29" s="353">
        <v>341</v>
      </c>
      <c r="U29" s="353">
        <v>362</v>
      </c>
      <c r="V29" s="466">
        <f>+'[6]23'!$R$16</f>
        <v>217</v>
      </c>
      <c r="W29" s="353">
        <v>0</v>
      </c>
      <c r="X29" s="353">
        <v>0</v>
      </c>
      <c r="Y29" s="353">
        <v>0</v>
      </c>
      <c r="Z29" s="466">
        <f>+'[6]23'!$R$21</f>
        <v>0</v>
      </c>
      <c r="AA29" s="353">
        <v>0</v>
      </c>
      <c r="AB29" s="353"/>
      <c r="AC29" s="353"/>
      <c r="AD29" s="466"/>
      <c r="AE29" s="353">
        <v>0</v>
      </c>
      <c r="AF29" s="353"/>
      <c r="AG29" s="353"/>
      <c r="AH29" s="466"/>
      <c r="AI29" s="353">
        <f t="shared" si="21"/>
        <v>682</v>
      </c>
      <c r="AJ29" s="353">
        <f t="shared" si="21"/>
        <v>882</v>
      </c>
      <c r="AK29" s="353">
        <f t="shared" si="19"/>
        <v>1008</v>
      </c>
      <c r="AL29" s="466">
        <f t="shared" si="19"/>
        <v>475</v>
      </c>
    </row>
    <row r="30" spans="1:43" s="481" customFormat="1" ht="20.25" customHeight="1">
      <c r="A30" s="465" t="s">
        <v>531</v>
      </c>
      <c r="B30" s="334" t="s">
        <v>962</v>
      </c>
      <c r="C30" s="353">
        <v>3958</v>
      </c>
      <c r="D30" s="353">
        <v>4343</v>
      </c>
      <c r="E30" s="353">
        <v>4000</v>
      </c>
      <c r="F30" s="466">
        <f>+'[6]23'!$Q$13</f>
        <v>1556</v>
      </c>
      <c r="G30" s="353">
        <v>2354</v>
      </c>
      <c r="H30" s="353">
        <v>3019</v>
      </c>
      <c r="I30" s="353">
        <v>2295</v>
      </c>
      <c r="J30" s="466">
        <f>+'[6]23'!$Q$14</f>
        <v>1337</v>
      </c>
      <c r="K30" s="353"/>
      <c r="L30" s="353"/>
      <c r="M30" s="353"/>
      <c r="N30" s="466"/>
      <c r="O30" s="353">
        <v>10695</v>
      </c>
      <c r="P30" s="353">
        <v>12795</v>
      </c>
      <c r="Q30" s="353">
        <v>12217</v>
      </c>
      <c r="R30" s="466">
        <f>+'[6]23'!$Q$15</f>
        <v>13336</v>
      </c>
      <c r="S30" s="353">
        <v>3897</v>
      </c>
      <c r="T30" s="353">
        <v>4890</v>
      </c>
      <c r="U30" s="353">
        <v>5385</v>
      </c>
      <c r="V30" s="466">
        <f>+'[6]23'!$Q$16</f>
        <v>4405</v>
      </c>
      <c r="W30" s="353">
        <v>278</v>
      </c>
      <c r="X30" s="353">
        <v>380</v>
      </c>
      <c r="Y30" s="353">
        <v>1274</v>
      </c>
      <c r="Z30" s="466">
        <f>+'[6]23'!$Q$21</f>
        <v>772</v>
      </c>
      <c r="AA30" s="353">
        <v>51</v>
      </c>
      <c r="AB30" s="353"/>
      <c r="AC30" s="353">
        <v>12</v>
      </c>
      <c r="AD30" s="466">
        <f>+'[6]23'!$Q$22</f>
        <v>3</v>
      </c>
      <c r="AE30" s="353">
        <v>0</v>
      </c>
      <c r="AF30" s="353"/>
      <c r="AG30" s="353"/>
      <c r="AH30" s="466"/>
      <c r="AI30" s="352">
        <f t="shared" si="21"/>
        <v>21233</v>
      </c>
      <c r="AJ30" s="353">
        <f t="shared" si="21"/>
        <v>25427</v>
      </c>
      <c r="AK30" s="353">
        <f t="shared" si="19"/>
        <v>25183</v>
      </c>
      <c r="AL30" s="466">
        <f t="shared" si="19"/>
        <v>21409</v>
      </c>
      <c r="AN30" s="491"/>
    </row>
    <row r="31" spans="1:43" s="481" customFormat="1" ht="20.25" customHeight="1">
      <c r="A31" s="475" t="s">
        <v>935</v>
      </c>
      <c r="B31" s="484"/>
      <c r="C31" s="473">
        <f t="shared" ref="C31:AK31" si="22">SUM(C25:C30)+C21</f>
        <v>34886</v>
      </c>
      <c r="D31" s="473">
        <f t="shared" si="22"/>
        <v>32586</v>
      </c>
      <c r="E31" s="473">
        <f t="shared" si="22"/>
        <v>32117</v>
      </c>
      <c r="F31" s="474">
        <f t="shared" si="22"/>
        <v>11094</v>
      </c>
      <c r="G31" s="473">
        <f t="shared" si="22"/>
        <v>17563</v>
      </c>
      <c r="H31" s="473">
        <f t="shared" si="22"/>
        <v>17743</v>
      </c>
      <c r="I31" s="473">
        <f t="shared" si="22"/>
        <v>17524</v>
      </c>
      <c r="J31" s="473">
        <f t="shared" si="22"/>
        <v>8083</v>
      </c>
      <c r="K31" s="472">
        <f t="shared" si="22"/>
        <v>0</v>
      </c>
      <c r="L31" s="473">
        <f t="shared" si="22"/>
        <v>0</v>
      </c>
      <c r="M31" s="473">
        <f t="shared" si="22"/>
        <v>0</v>
      </c>
      <c r="N31" s="474">
        <f t="shared" si="22"/>
        <v>0</v>
      </c>
      <c r="O31" s="473">
        <f t="shared" si="22"/>
        <v>85320</v>
      </c>
      <c r="P31" s="473">
        <f t="shared" si="22"/>
        <v>88193</v>
      </c>
      <c r="Q31" s="473">
        <f t="shared" si="22"/>
        <v>92216</v>
      </c>
      <c r="R31" s="474">
        <f t="shared" si="22"/>
        <v>70746</v>
      </c>
      <c r="S31" s="473">
        <f t="shared" si="22"/>
        <v>34123</v>
      </c>
      <c r="T31" s="473">
        <f t="shared" si="22"/>
        <v>37060</v>
      </c>
      <c r="U31" s="473">
        <f t="shared" si="22"/>
        <v>38540</v>
      </c>
      <c r="V31" s="474">
        <f t="shared" si="22"/>
        <v>27530</v>
      </c>
      <c r="W31" s="473">
        <f t="shared" si="22"/>
        <v>7434</v>
      </c>
      <c r="X31" s="473">
        <f t="shared" si="22"/>
        <v>6200</v>
      </c>
      <c r="Y31" s="473">
        <f t="shared" si="22"/>
        <v>8191</v>
      </c>
      <c r="Z31" s="474">
        <f t="shared" si="22"/>
        <v>4082</v>
      </c>
      <c r="AA31" s="473">
        <f t="shared" si="22"/>
        <v>607</v>
      </c>
      <c r="AB31" s="473">
        <f t="shared" si="22"/>
        <v>114</v>
      </c>
      <c r="AC31" s="473">
        <f t="shared" si="22"/>
        <v>123</v>
      </c>
      <c r="AD31" s="474">
        <f t="shared" si="22"/>
        <v>143</v>
      </c>
      <c r="AE31" s="473">
        <f t="shared" ref="AE31" si="23">SUM(AE25:AE30)+AE21</f>
        <v>15</v>
      </c>
      <c r="AF31" s="473">
        <v>70</v>
      </c>
      <c r="AG31" s="473">
        <f t="shared" si="22"/>
        <v>209</v>
      </c>
      <c r="AH31" s="473">
        <f>SUM(AH25:AH30)+AH21</f>
        <v>0</v>
      </c>
      <c r="AI31" s="472">
        <f t="shared" si="22"/>
        <v>180003</v>
      </c>
      <c r="AJ31" s="473">
        <f t="shared" si="22"/>
        <v>181928</v>
      </c>
      <c r="AK31" s="473">
        <f t="shared" si="22"/>
        <v>188920</v>
      </c>
      <c r="AL31" s="474">
        <f t="shared" ref="AL31" si="24">SUM(AL25:AL30)+AL21</f>
        <v>121678</v>
      </c>
    </row>
    <row r="32" spans="1:43" s="481" customFormat="1" ht="20.25" customHeight="1">
      <c r="A32" s="1631" t="s">
        <v>637</v>
      </c>
      <c r="B32" s="1632"/>
      <c r="C32" s="476">
        <f t="shared" ref="C32:AK32" si="25">+C15+C31</f>
        <v>52750</v>
      </c>
      <c r="D32" s="477">
        <f t="shared" si="25"/>
        <v>50051</v>
      </c>
      <c r="E32" s="477">
        <f t="shared" si="25"/>
        <v>48820</v>
      </c>
      <c r="F32" s="478">
        <f t="shared" si="25"/>
        <v>17659</v>
      </c>
      <c r="G32" s="477">
        <f t="shared" si="25"/>
        <v>27459</v>
      </c>
      <c r="H32" s="477">
        <f t="shared" si="25"/>
        <v>27470</v>
      </c>
      <c r="I32" s="477">
        <f t="shared" si="25"/>
        <v>27430</v>
      </c>
      <c r="J32" s="477">
        <f t="shared" si="25"/>
        <v>13379</v>
      </c>
      <c r="K32" s="476">
        <f t="shared" si="25"/>
        <v>0</v>
      </c>
      <c r="L32" s="477">
        <f t="shared" si="25"/>
        <v>0</v>
      </c>
      <c r="M32" s="477">
        <f t="shared" si="25"/>
        <v>0</v>
      </c>
      <c r="N32" s="478">
        <f t="shared" si="25"/>
        <v>0</v>
      </c>
      <c r="O32" s="477">
        <f t="shared" si="25"/>
        <v>134050</v>
      </c>
      <c r="P32" s="477">
        <f t="shared" si="25"/>
        <v>137626</v>
      </c>
      <c r="Q32" s="477">
        <f t="shared" si="25"/>
        <v>143240</v>
      </c>
      <c r="R32" s="478">
        <f t="shared" si="25"/>
        <v>117605</v>
      </c>
      <c r="S32" s="477">
        <f t="shared" si="25"/>
        <v>56666</v>
      </c>
      <c r="T32" s="477">
        <f t="shared" si="25"/>
        <v>60421</v>
      </c>
      <c r="U32" s="477">
        <f t="shared" si="25"/>
        <v>62433</v>
      </c>
      <c r="V32" s="478">
        <f t="shared" si="25"/>
        <v>47350</v>
      </c>
      <c r="W32" s="477">
        <f t="shared" si="25"/>
        <v>11966</v>
      </c>
      <c r="X32" s="477">
        <f t="shared" si="25"/>
        <v>11692</v>
      </c>
      <c r="Y32" s="477">
        <f t="shared" si="25"/>
        <v>14352</v>
      </c>
      <c r="Z32" s="478">
        <f t="shared" si="25"/>
        <v>7037</v>
      </c>
      <c r="AA32" s="476">
        <f t="shared" si="25"/>
        <v>1141</v>
      </c>
      <c r="AB32" s="477">
        <f t="shared" si="25"/>
        <v>789</v>
      </c>
      <c r="AC32" s="477">
        <f t="shared" si="25"/>
        <v>743</v>
      </c>
      <c r="AD32" s="478">
        <f t="shared" si="25"/>
        <v>278</v>
      </c>
      <c r="AE32" s="477">
        <f>+AE15+AE31</f>
        <v>15</v>
      </c>
      <c r="AF32" s="477">
        <f t="shared" si="25"/>
        <v>98</v>
      </c>
      <c r="AG32" s="477">
        <f>+AG15+AG31</f>
        <v>318</v>
      </c>
      <c r="AH32" s="477">
        <f>+AH15+AH31</f>
        <v>83</v>
      </c>
      <c r="AI32" s="476">
        <f t="shared" si="25"/>
        <v>284102</v>
      </c>
      <c r="AJ32" s="477">
        <f t="shared" si="25"/>
        <v>288109</v>
      </c>
      <c r="AK32" s="477">
        <f t="shared" si="25"/>
        <v>297336</v>
      </c>
      <c r="AL32" s="478">
        <f t="shared" ref="AL32" si="26">+AL15+AL31</f>
        <v>203391</v>
      </c>
      <c r="AN32" s="491"/>
    </row>
    <row r="34" spans="9:38">
      <c r="I34" s="495"/>
      <c r="J34" s="495"/>
      <c r="AJ34" s="495"/>
    </row>
    <row r="35" spans="9:38">
      <c r="J35" s="495"/>
      <c r="R35" s="495"/>
      <c r="V35" s="495"/>
      <c r="AL35" s="495"/>
    </row>
    <row r="37" spans="9:38">
      <c r="AI37" s="495"/>
    </row>
  </sheetData>
  <mergeCells count="13">
    <mergeCell ref="A32:B32"/>
    <mergeCell ref="A1:AL1"/>
    <mergeCell ref="AI6:AL6"/>
    <mergeCell ref="W6:Z6"/>
    <mergeCell ref="S6:V6"/>
    <mergeCell ref="O6:R6"/>
    <mergeCell ref="K6:N6"/>
    <mergeCell ref="G6:J6"/>
    <mergeCell ref="C6:F6"/>
    <mergeCell ref="A2:AL2"/>
    <mergeCell ref="A3:AL3"/>
    <mergeCell ref="AA6:AD6"/>
    <mergeCell ref="AE6:AH6"/>
  </mergeCells>
  <phoneticPr fontId="19" type="noConversion"/>
  <pageMargins left="0.39370078740157483" right="0" top="1.1811023622047245" bottom="0.78740157480314965" header="0" footer="0"/>
  <pageSetup paperSize="5" scale="6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95"/>
  <sheetViews>
    <sheetView topLeftCell="A7" zoomScaleNormal="100" workbookViewId="0">
      <pane xSplit="1" ySplit="2" topLeftCell="AC18" activePane="bottomRight" state="frozen"/>
      <selection activeCell="A7" sqref="A7"/>
      <selection pane="topRight" activeCell="B7" sqref="B7"/>
      <selection pane="bottomLeft" activeCell="A9" sqref="A9"/>
      <selection pane="bottomRight" activeCell="AN23" sqref="AN23"/>
    </sheetView>
  </sheetViews>
  <sheetFormatPr baseColWidth="10" defaultColWidth="11.44140625" defaultRowHeight="11.4"/>
  <cols>
    <col min="1" max="1" width="29.44140625" style="378" customWidth="1"/>
    <col min="2" max="21" width="7.21875" style="378" customWidth="1"/>
    <col min="22" max="23" width="9" style="378" customWidth="1"/>
    <col min="24" max="27" width="10" style="378" customWidth="1"/>
    <col min="28" max="28" width="12.21875" style="378" customWidth="1"/>
    <col min="29" max="37" width="7.21875" style="378" customWidth="1"/>
    <col min="38" max="38" width="9.21875" style="378" customWidth="1"/>
    <col min="39" max="44" width="7.21875" style="378" customWidth="1"/>
    <col min="45" max="16384" width="11.44140625" style="378"/>
  </cols>
  <sheetData>
    <row r="1" spans="1:43" ht="12">
      <c r="A1" s="1616" t="s">
        <v>1434</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row>
    <row r="2" spans="1:43" ht="12">
      <c r="A2" s="1616" t="s">
        <v>963</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row>
    <row r="3" spans="1:43"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row>
    <row r="6" spans="1:43" ht="12">
      <c r="A6" s="379" t="s">
        <v>964</v>
      </c>
    </row>
    <row r="7" spans="1:43" s="481" customFormat="1" ht="18" customHeight="1">
      <c r="A7" s="504" t="s">
        <v>965</v>
      </c>
      <c r="B7" s="1641" t="s">
        <v>966</v>
      </c>
      <c r="C7" s="1630"/>
      <c r="D7" s="1630"/>
      <c r="E7" s="1630"/>
      <c r="F7" s="1606" t="s">
        <v>885</v>
      </c>
      <c r="G7" s="1607"/>
      <c r="H7" s="1607"/>
      <c r="I7" s="1608"/>
      <c r="J7" s="1607" t="s">
        <v>967</v>
      </c>
      <c r="K7" s="1607"/>
      <c r="L7" s="1607"/>
      <c r="M7" s="1607"/>
      <c r="N7" s="1611" t="s">
        <v>933</v>
      </c>
      <c r="O7" s="1612"/>
      <c r="P7" s="1612"/>
      <c r="Q7" s="1613"/>
      <c r="R7" s="1641" t="s">
        <v>1194</v>
      </c>
      <c r="S7" s="1630"/>
      <c r="T7" s="1630"/>
      <c r="U7" s="1642"/>
      <c r="V7" s="1597" t="s">
        <v>1460</v>
      </c>
      <c r="W7" s="1599"/>
      <c r="X7" s="1599"/>
      <c r="Y7" s="1598"/>
      <c r="Z7" s="1641" t="s">
        <v>1573</v>
      </c>
      <c r="AA7" s="1630"/>
      <c r="AB7" s="1642"/>
      <c r="AC7" s="1641" t="s">
        <v>1459</v>
      </c>
      <c r="AD7" s="1612"/>
      <c r="AE7" s="1612"/>
      <c r="AF7" s="1613"/>
      <c r="AG7" s="1597" t="s">
        <v>1575</v>
      </c>
      <c r="AH7" s="1612"/>
      <c r="AI7" s="1612"/>
      <c r="AJ7" s="1641" t="s">
        <v>1576</v>
      </c>
      <c r="AK7" s="1630"/>
      <c r="AL7" s="1642"/>
      <c r="AM7" s="1612" t="s">
        <v>637</v>
      </c>
      <c r="AN7" s="1612"/>
      <c r="AO7" s="1612"/>
      <c r="AP7" s="1613"/>
    </row>
    <row r="8" spans="1:43" s="481" customFormat="1" ht="18" customHeight="1">
      <c r="A8" s="361"/>
      <c r="B8" s="1095">
        <f>+'48'!AI7</f>
        <v>2017</v>
      </c>
      <c r="C8" s="1096">
        <f>+'48'!AJ7</f>
        <v>2018</v>
      </c>
      <c r="D8" s="1523">
        <f>+'48'!AK7</f>
        <v>2019</v>
      </c>
      <c r="E8" s="1225">
        <f>+'48'!AL7</f>
        <v>2020</v>
      </c>
      <c r="F8" s="1224">
        <f t="shared" ref="F8:R8" si="0">+B8</f>
        <v>2017</v>
      </c>
      <c r="G8" s="1225">
        <f t="shared" si="0"/>
        <v>2018</v>
      </c>
      <c r="H8" s="1523">
        <f t="shared" si="0"/>
        <v>2019</v>
      </c>
      <c r="I8" s="1226">
        <f t="shared" si="0"/>
        <v>2020</v>
      </c>
      <c r="J8" s="1095">
        <f t="shared" si="0"/>
        <v>2017</v>
      </c>
      <c r="K8" s="1096">
        <f t="shared" si="0"/>
        <v>2018</v>
      </c>
      <c r="L8" s="1096">
        <f t="shared" si="0"/>
        <v>2019</v>
      </c>
      <c r="M8" s="1097">
        <f t="shared" si="0"/>
        <v>2020</v>
      </c>
      <c r="N8" s="1095">
        <f t="shared" si="0"/>
        <v>2017</v>
      </c>
      <c r="O8" s="1096">
        <f t="shared" si="0"/>
        <v>2018</v>
      </c>
      <c r="P8" s="1096">
        <f t="shared" si="0"/>
        <v>2019</v>
      </c>
      <c r="Q8" s="1097">
        <f>+M8</f>
        <v>2020</v>
      </c>
      <c r="R8" s="1438">
        <f t="shared" si="0"/>
        <v>2017</v>
      </c>
      <c r="S8" s="1439">
        <f>+O8</f>
        <v>2018</v>
      </c>
      <c r="T8" s="1439">
        <f>+P8</f>
        <v>2019</v>
      </c>
      <c r="U8" s="1525">
        <f>+Q8</f>
        <v>2020</v>
      </c>
      <c r="V8" s="1524">
        <v>2017</v>
      </c>
      <c r="W8" s="1525">
        <v>2018</v>
      </c>
      <c r="X8" s="1525">
        <v>2019</v>
      </c>
      <c r="Y8" s="1526">
        <v>2020</v>
      </c>
      <c r="Z8" s="1479">
        <v>2018</v>
      </c>
      <c r="AA8" s="1518">
        <v>2019</v>
      </c>
      <c r="AB8" s="1480">
        <f>+U8</f>
        <v>2020</v>
      </c>
      <c r="AC8" s="1459">
        <f>+N8</f>
        <v>2017</v>
      </c>
      <c r="AD8" s="1460">
        <f>+O8</f>
        <v>2018</v>
      </c>
      <c r="AE8" s="1460">
        <f>+P8</f>
        <v>2019</v>
      </c>
      <c r="AF8" s="1461">
        <f>+Q8</f>
        <v>2020</v>
      </c>
      <c r="AG8" s="1095">
        <f>+AC8</f>
        <v>2017</v>
      </c>
      <c r="AH8" s="1096">
        <f>+AD8</f>
        <v>2018</v>
      </c>
      <c r="AI8" s="1096">
        <f>+AE8</f>
        <v>2019</v>
      </c>
      <c r="AJ8" s="1482">
        <v>2018</v>
      </c>
      <c r="AK8" s="1518">
        <v>2019</v>
      </c>
      <c r="AL8" s="1484">
        <f>+Q8</f>
        <v>2020</v>
      </c>
      <c r="AM8" s="1096">
        <f>+N8</f>
        <v>2017</v>
      </c>
      <c r="AN8" s="1096">
        <f>+O8</f>
        <v>2018</v>
      </c>
      <c r="AO8" s="1096">
        <f>+P8</f>
        <v>2019</v>
      </c>
      <c r="AP8" s="1097">
        <f>+Q8</f>
        <v>2020</v>
      </c>
      <c r="AQ8" s="500"/>
    </row>
    <row r="9" spans="1:43" s="481" customFormat="1" ht="18" customHeight="1">
      <c r="A9" s="504" t="s">
        <v>968</v>
      </c>
      <c r="B9" s="353">
        <v>3208</v>
      </c>
      <c r="C9" s="353">
        <v>3551</v>
      </c>
      <c r="D9" s="353">
        <v>3528</v>
      </c>
      <c r="E9" s="466">
        <v>2485</v>
      </c>
      <c r="F9" s="353">
        <v>890</v>
      </c>
      <c r="G9" s="353">
        <v>793</v>
      </c>
      <c r="H9" s="353">
        <v>607</v>
      </c>
      <c r="I9" s="466">
        <v>200</v>
      </c>
      <c r="J9" s="353"/>
      <c r="K9" s="353"/>
      <c r="L9" s="353"/>
      <c r="M9" s="353"/>
      <c r="N9" s="352"/>
      <c r="O9" s="353"/>
      <c r="P9" s="353"/>
      <c r="Q9" s="466"/>
      <c r="R9" s="352"/>
      <c r="S9" s="353"/>
      <c r="T9" s="353"/>
      <c r="U9" s="353"/>
      <c r="V9" s="352"/>
      <c r="W9" s="353"/>
      <c r="X9" s="353"/>
      <c r="Y9" s="466"/>
      <c r="Z9" s="353"/>
      <c r="AA9" s="353"/>
      <c r="AB9" s="353"/>
      <c r="AC9" s="352"/>
      <c r="AD9" s="353"/>
      <c r="AE9" s="353"/>
      <c r="AF9" s="466"/>
      <c r="AG9" s="352"/>
      <c r="AH9" s="353"/>
      <c r="AI9" s="353"/>
      <c r="AJ9" s="352"/>
      <c r="AK9" s="353"/>
      <c r="AL9" s="466"/>
      <c r="AM9" s="353">
        <f t="shared" ref="AM9:AM22" si="1">+N9+J9+F9+B9</f>
        <v>4098</v>
      </c>
      <c r="AN9" s="353">
        <f t="shared" ref="AN9:AN22" si="2">+O9+K9+G9+C9</f>
        <v>4344</v>
      </c>
      <c r="AO9" s="353">
        <f t="shared" ref="AO9:AO22" si="3">+P9+L9+H9+D9</f>
        <v>4135</v>
      </c>
      <c r="AP9" s="466">
        <f t="shared" ref="AP9:AP22" si="4">+Q9+M9+I9+E9</f>
        <v>2685</v>
      </c>
      <c r="AQ9" s="498"/>
    </row>
    <row r="10" spans="1:43" s="481" customFormat="1" ht="18" customHeight="1">
      <c r="A10" s="506" t="s">
        <v>969</v>
      </c>
      <c r="B10" s="353"/>
      <c r="C10" s="353"/>
      <c r="D10" s="353">
        <v>2</v>
      </c>
      <c r="E10" s="466"/>
      <c r="F10" s="353">
        <v>4</v>
      </c>
      <c r="G10" s="353">
        <v>1</v>
      </c>
      <c r="H10" s="353"/>
      <c r="I10" s="466"/>
      <c r="J10" s="353"/>
      <c r="K10" s="353"/>
      <c r="L10" s="353"/>
      <c r="M10" s="353"/>
      <c r="N10" s="352"/>
      <c r="O10" s="353"/>
      <c r="P10" s="353"/>
      <c r="Q10" s="466"/>
      <c r="R10" s="352"/>
      <c r="S10" s="353"/>
      <c r="T10" s="353"/>
      <c r="U10" s="353"/>
      <c r="V10" s="352"/>
      <c r="W10" s="353"/>
      <c r="X10" s="353"/>
      <c r="Y10" s="466"/>
      <c r="Z10" s="353"/>
      <c r="AA10" s="353"/>
      <c r="AB10" s="353"/>
      <c r="AC10" s="352"/>
      <c r="AD10" s="353"/>
      <c r="AE10" s="353"/>
      <c r="AF10" s="466"/>
      <c r="AG10" s="352"/>
      <c r="AH10" s="353"/>
      <c r="AI10" s="353"/>
      <c r="AJ10" s="352"/>
      <c r="AK10" s="353"/>
      <c r="AL10" s="466"/>
      <c r="AM10" s="353">
        <f t="shared" si="1"/>
        <v>4</v>
      </c>
      <c r="AN10" s="353">
        <f t="shared" si="2"/>
        <v>1</v>
      </c>
      <c r="AO10" s="353">
        <f t="shared" si="3"/>
        <v>2</v>
      </c>
      <c r="AP10" s="466">
        <f t="shared" si="4"/>
        <v>0</v>
      </c>
      <c r="AQ10" s="498"/>
    </row>
    <row r="11" spans="1:43" s="481" customFormat="1" ht="18" customHeight="1">
      <c r="A11" s="506" t="s">
        <v>970</v>
      </c>
      <c r="B11" s="353">
        <v>1026</v>
      </c>
      <c r="C11" s="353">
        <v>1232</v>
      </c>
      <c r="D11" s="353">
        <v>1241</v>
      </c>
      <c r="E11" s="466">
        <v>659</v>
      </c>
      <c r="F11" s="353"/>
      <c r="G11" s="353"/>
      <c r="H11" s="353"/>
      <c r="I11" s="466"/>
      <c r="J11" s="353"/>
      <c r="K11" s="353"/>
      <c r="L11" s="353"/>
      <c r="M11" s="353"/>
      <c r="N11" s="352"/>
      <c r="O11" s="353"/>
      <c r="P11" s="353"/>
      <c r="Q11" s="466"/>
      <c r="R11" s="352"/>
      <c r="S11" s="353"/>
      <c r="T11" s="353"/>
      <c r="U11" s="353"/>
      <c r="V11" s="352"/>
      <c r="W11" s="353"/>
      <c r="X11" s="353"/>
      <c r="Y11" s="466"/>
      <c r="Z11" s="353"/>
      <c r="AA11" s="353"/>
      <c r="AB11" s="353"/>
      <c r="AC11" s="352"/>
      <c r="AD11" s="353"/>
      <c r="AE11" s="353"/>
      <c r="AF11" s="466"/>
      <c r="AG11" s="352"/>
      <c r="AH11" s="353"/>
      <c r="AI11" s="353"/>
      <c r="AJ11" s="352"/>
      <c r="AK11" s="353"/>
      <c r="AL11" s="466"/>
      <c r="AM11" s="353">
        <f t="shared" si="1"/>
        <v>1026</v>
      </c>
      <c r="AN11" s="353">
        <f t="shared" si="2"/>
        <v>1232</v>
      </c>
      <c r="AO11" s="353">
        <f t="shared" si="3"/>
        <v>1241</v>
      </c>
      <c r="AP11" s="466">
        <f t="shared" si="4"/>
        <v>659</v>
      </c>
      <c r="AQ11" s="498"/>
    </row>
    <row r="12" spans="1:43" s="481" customFormat="1" ht="18" customHeight="1">
      <c r="A12" s="92" t="s">
        <v>971</v>
      </c>
      <c r="B12" s="353"/>
      <c r="C12" s="353"/>
      <c r="D12" s="353"/>
      <c r="E12" s="466"/>
      <c r="F12" s="353">
        <v>264</v>
      </c>
      <c r="G12" s="353">
        <v>399</v>
      </c>
      <c r="H12" s="353">
        <v>462</v>
      </c>
      <c r="I12" s="466">
        <v>204</v>
      </c>
      <c r="J12" s="353"/>
      <c r="K12" s="353"/>
      <c r="L12" s="353"/>
      <c r="M12" s="353"/>
      <c r="N12" s="352"/>
      <c r="O12" s="353"/>
      <c r="P12" s="353"/>
      <c r="Q12" s="466"/>
      <c r="R12" s="352"/>
      <c r="S12" s="353"/>
      <c r="T12" s="353"/>
      <c r="U12" s="353"/>
      <c r="V12" s="352"/>
      <c r="W12" s="353"/>
      <c r="X12" s="353"/>
      <c r="Y12" s="466"/>
      <c r="Z12" s="353"/>
      <c r="AA12" s="353"/>
      <c r="AB12" s="353"/>
      <c r="AC12" s="352"/>
      <c r="AD12" s="353"/>
      <c r="AE12" s="353"/>
      <c r="AF12" s="466"/>
      <c r="AG12" s="352"/>
      <c r="AH12" s="353"/>
      <c r="AI12" s="353"/>
      <c r="AJ12" s="352"/>
      <c r="AK12" s="353"/>
      <c r="AL12" s="466"/>
      <c r="AM12" s="353">
        <f t="shared" si="1"/>
        <v>264</v>
      </c>
      <c r="AN12" s="353">
        <f t="shared" si="2"/>
        <v>399</v>
      </c>
      <c r="AO12" s="353">
        <f t="shared" si="3"/>
        <v>462</v>
      </c>
      <c r="AP12" s="466">
        <f t="shared" si="4"/>
        <v>204</v>
      </c>
      <c r="AQ12" s="498"/>
    </row>
    <row r="13" spans="1:43" s="481" customFormat="1" ht="18" customHeight="1">
      <c r="A13" s="506" t="s">
        <v>972</v>
      </c>
      <c r="B13" s="353">
        <v>415</v>
      </c>
      <c r="C13" s="353">
        <v>517</v>
      </c>
      <c r="D13" s="353">
        <v>460</v>
      </c>
      <c r="E13" s="466">
        <v>237</v>
      </c>
      <c r="F13" s="353"/>
      <c r="G13" s="353">
        <v>1</v>
      </c>
      <c r="H13" s="353"/>
      <c r="I13" s="466"/>
      <c r="J13" s="353"/>
      <c r="K13" s="353"/>
      <c r="L13" s="353"/>
      <c r="M13" s="353"/>
      <c r="N13" s="352"/>
      <c r="O13" s="353"/>
      <c r="P13" s="353"/>
      <c r="Q13" s="466"/>
      <c r="R13" s="352"/>
      <c r="S13" s="353"/>
      <c r="T13" s="353"/>
      <c r="U13" s="353"/>
      <c r="V13" s="352"/>
      <c r="W13" s="353"/>
      <c r="X13" s="353"/>
      <c r="Y13" s="466"/>
      <c r="Z13" s="353"/>
      <c r="AA13" s="353"/>
      <c r="AB13" s="353"/>
      <c r="AC13" s="352"/>
      <c r="AD13" s="353"/>
      <c r="AE13" s="353"/>
      <c r="AF13" s="466"/>
      <c r="AG13" s="352"/>
      <c r="AH13" s="353"/>
      <c r="AI13" s="353"/>
      <c r="AJ13" s="352"/>
      <c r="AK13" s="353"/>
      <c r="AL13" s="466"/>
      <c r="AM13" s="353">
        <f t="shared" si="1"/>
        <v>415</v>
      </c>
      <c r="AN13" s="353">
        <f t="shared" si="2"/>
        <v>518</v>
      </c>
      <c r="AO13" s="353">
        <f t="shared" si="3"/>
        <v>460</v>
      </c>
      <c r="AP13" s="466">
        <f t="shared" si="4"/>
        <v>237</v>
      </c>
      <c r="AQ13" s="498"/>
    </row>
    <row r="14" spans="1:43" s="481" customFormat="1" ht="18" customHeight="1">
      <c r="A14" s="506" t="s">
        <v>973</v>
      </c>
      <c r="B14" s="353"/>
      <c r="C14" s="353"/>
      <c r="D14" s="353"/>
      <c r="E14" s="466"/>
      <c r="F14" s="353"/>
      <c r="G14" s="353"/>
      <c r="H14" s="353"/>
      <c r="I14" s="466">
        <v>5</v>
      </c>
      <c r="J14" s="353"/>
      <c r="K14" s="353"/>
      <c r="L14" s="353"/>
      <c r="M14" s="353"/>
      <c r="N14" s="352"/>
      <c r="O14" s="353"/>
      <c r="P14" s="353"/>
      <c r="Q14" s="466"/>
      <c r="R14" s="352"/>
      <c r="S14" s="353"/>
      <c r="T14" s="353"/>
      <c r="U14" s="353"/>
      <c r="V14" s="352"/>
      <c r="W14" s="353"/>
      <c r="X14" s="353"/>
      <c r="Y14" s="466"/>
      <c r="Z14" s="353"/>
      <c r="AA14" s="353"/>
      <c r="AB14" s="353"/>
      <c r="AC14" s="352"/>
      <c r="AD14" s="353"/>
      <c r="AE14" s="353"/>
      <c r="AF14" s="466"/>
      <c r="AG14" s="352"/>
      <c r="AH14" s="353"/>
      <c r="AI14" s="353"/>
      <c r="AJ14" s="352"/>
      <c r="AK14" s="353"/>
      <c r="AL14" s="466"/>
      <c r="AM14" s="353">
        <f t="shared" si="1"/>
        <v>0</v>
      </c>
      <c r="AN14" s="353">
        <f t="shared" si="2"/>
        <v>0</v>
      </c>
      <c r="AO14" s="353">
        <f t="shared" si="3"/>
        <v>0</v>
      </c>
      <c r="AP14" s="466">
        <f t="shared" si="4"/>
        <v>5</v>
      </c>
      <c r="AQ14" s="498"/>
    </row>
    <row r="15" spans="1:43" s="481" customFormat="1" ht="18" customHeight="1">
      <c r="A15" s="506" t="s">
        <v>974</v>
      </c>
      <c r="B15" s="353"/>
      <c r="C15" s="353"/>
      <c r="D15" s="353"/>
      <c r="E15" s="466"/>
      <c r="F15" s="353">
        <v>248</v>
      </c>
      <c r="G15" s="353">
        <v>459</v>
      </c>
      <c r="H15" s="353">
        <v>457</v>
      </c>
      <c r="I15" s="466">
        <v>154</v>
      </c>
      <c r="J15" s="353"/>
      <c r="K15" s="353"/>
      <c r="L15" s="353"/>
      <c r="M15" s="353"/>
      <c r="N15" s="352"/>
      <c r="O15" s="353"/>
      <c r="P15" s="353"/>
      <c r="Q15" s="466"/>
      <c r="R15" s="352"/>
      <c r="S15" s="353"/>
      <c r="T15" s="353"/>
      <c r="U15" s="353"/>
      <c r="V15" s="352"/>
      <c r="W15" s="353"/>
      <c r="X15" s="353"/>
      <c r="Y15" s="466"/>
      <c r="Z15" s="353"/>
      <c r="AA15" s="353"/>
      <c r="AB15" s="353"/>
      <c r="AC15" s="352"/>
      <c r="AD15" s="353"/>
      <c r="AE15" s="353"/>
      <c r="AF15" s="466"/>
      <c r="AG15" s="352"/>
      <c r="AH15" s="353"/>
      <c r="AI15" s="353"/>
      <c r="AJ15" s="352"/>
      <c r="AK15" s="353"/>
      <c r="AL15" s="466"/>
      <c r="AM15" s="353">
        <f t="shared" si="1"/>
        <v>248</v>
      </c>
      <c r="AN15" s="353">
        <f t="shared" si="2"/>
        <v>459</v>
      </c>
      <c r="AO15" s="353">
        <f t="shared" si="3"/>
        <v>457</v>
      </c>
      <c r="AP15" s="466">
        <f t="shared" si="4"/>
        <v>154</v>
      </c>
      <c r="AQ15" s="498"/>
    </row>
    <row r="16" spans="1:43" s="481" customFormat="1" ht="18" customHeight="1">
      <c r="A16" s="506" t="s">
        <v>975</v>
      </c>
      <c r="B16" s="353"/>
      <c r="C16" s="353"/>
      <c r="D16" s="353"/>
      <c r="E16" s="466"/>
      <c r="F16" s="353"/>
      <c r="G16" s="353"/>
      <c r="H16" s="353"/>
      <c r="I16" s="466"/>
      <c r="J16" s="353"/>
      <c r="K16" s="353"/>
      <c r="L16" s="353"/>
      <c r="M16" s="353"/>
      <c r="N16" s="352"/>
      <c r="O16" s="353"/>
      <c r="P16" s="353"/>
      <c r="Q16" s="466"/>
      <c r="R16" s="352"/>
      <c r="S16" s="353"/>
      <c r="T16" s="353"/>
      <c r="U16" s="353"/>
      <c r="V16" s="352"/>
      <c r="W16" s="353"/>
      <c r="X16" s="353"/>
      <c r="Y16" s="466"/>
      <c r="Z16" s="353"/>
      <c r="AA16" s="353"/>
      <c r="AB16" s="353"/>
      <c r="AC16" s="352"/>
      <c r="AD16" s="353"/>
      <c r="AE16" s="353"/>
      <c r="AF16" s="466"/>
      <c r="AG16" s="352"/>
      <c r="AH16" s="353"/>
      <c r="AI16" s="353"/>
      <c r="AJ16" s="352"/>
      <c r="AK16" s="353"/>
      <c r="AL16" s="466"/>
      <c r="AM16" s="353">
        <f t="shared" si="1"/>
        <v>0</v>
      </c>
      <c r="AN16" s="353">
        <f t="shared" si="2"/>
        <v>0</v>
      </c>
      <c r="AO16" s="353">
        <f t="shared" si="3"/>
        <v>0</v>
      </c>
      <c r="AP16" s="466">
        <f t="shared" si="4"/>
        <v>0</v>
      </c>
      <c r="AQ16" s="498"/>
    </row>
    <row r="17" spans="1:43" s="481" customFormat="1" ht="18" customHeight="1">
      <c r="A17" s="506" t="s">
        <v>976</v>
      </c>
      <c r="B17" s="353"/>
      <c r="C17" s="353"/>
      <c r="D17" s="353"/>
      <c r="E17" s="466"/>
      <c r="F17" s="353"/>
      <c r="G17" s="353"/>
      <c r="H17" s="353"/>
      <c r="I17" s="466"/>
      <c r="J17" s="353"/>
      <c r="K17" s="353"/>
      <c r="L17" s="353"/>
      <c r="M17" s="353"/>
      <c r="N17" s="352"/>
      <c r="O17" s="353"/>
      <c r="P17" s="353"/>
      <c r="Q17" s="466"/>
      <c r="R17" s="352"/>
      <c r="S17" s="353"/>
      <c r="T17" s="353"/>
      <c r="U17" s="353"/>
      <c r="V17" s="352"/>
      <c r="W17" s="353"/>
      <c r="X17" s="353"/>
      <c r="Y17" s="466"/>
      <c r="Z17" s="353"/>
      <c r="AA17" s="353"/>
      <c r="AB17" s="353"/>
      <c r="AC17" s="352"/>
      <c r="AD17" s="353"/>
      <c r="AE17" s="353"/>
      <c r="AF17" s="466"/>
      <c r="AG17" s="352"/>
      <c r="AH17" s="353"/>
      <c r="AI17" s="353"/>
      <c r="AJ17" s="352"/>
      <c r="AK17" s="353"/>
      <c r="AL17" s="466"/>
      <c r="AM17" s="353">
        <f t="shared" si="1"/>
        <v>0</v>
      </c>
      <c r="AN17" s="353">
        <f t="shared" si="2"/>
        <v>0</v>
      </c>
      <c r="AO17" s="353">
        <f t="shared" si="3"/>
        <v>0</v>
      </c>
      <c r="AP17" s="466">
        <f t="shared" si="4"/>
        <v>0</v>
      </c>
      <c r="AQ17" s="498"/>
    </row>
    <row r="18" spans="1:43" s="481" customFormat="1" ht="18" customHeight="1">
      <c r="A18" s="506" t="s">
        <v>977</v>
      </c>
      <c r="B18" s="353"/>
      <c r="C18" s="353"/>
      <c r="D18" s="353"/>
      <c r="E18" s="466"/>
      <c r="F18" s="353">
        <v>1</v>
      </c>
      <c r="G18" s="353"/>
      <c r="H18" s="353"/>
      <c r="I18" s="466">
        <v>3</v>
      </c>
      <c r="J18" s="353"/>
      <c r="K18" s="353"/>
      <c r="L18" s="353"/>
      <c r="M18" s="353"/>
      <c r="N18" s="352"/>
      <c r="O18" s="353"/>
      <c r="P18" s="353"/>
      <c r="Q18" s="466"/>
      <c r="R18" s="352"/>
      <c r="S18" s="353"/>
      <c r="T18" s="353"/>
      <c r="U18" s="353"/>
      <c r="V18" s="352"/>
      <c r="W18" s="353"/>
      <c r="X18" s="353"/>
      <c r="Y18" s="466"/>
      <c r="Z18" s="353"/>
      <c r="AA18" s="353"/>
      <c r="AB18" s="353"/>
      <c r="AC18" s="352"/>
      <c r="AD18" s="353"/>
      <c r="AE18" s="353"/>
      <c r="AF18" s="466"/>
      <c r="AG18" s="352"/>
      <c r="AH18" s="353"/>
      <c r="AI18" s="353"/>
      <c r="AJ18" s="352"/>
      <c r="AK18" s="353"/>
      <c r="AL18" s="466"/>
      <c r="AM18" s="353">
        <f t="shared" si="1"/>
        <v>1</v>
      </c>
      <c r="AN18" s="353">
        <f t="shared" si="2"/>
        <v>0</v>
      </c>
      <c r="AO18" s="353">
        <f t="shared" si="3"/>
        <v>0</v>
      </c>
      <c r="AP18" s="466">
        <f t="shared" si="4"/>
        <v>3</v>
      </c>
      <c r="AQ18" s="498"/>
    </row>
    <row r="19" spans="1:43" s="481" customFormat="1" ht="18" customHeight="1">
      <c r="A19" s="506" t="s">
        <v>978</v>
      </c>
      <c r="B19" s="353"/>
      <c r="C19" s="353"/>
      <c r="D19" s="353"/>
      <c r="E19" s="466"/>
      <c r="F19" s="353">
        <v>356</v>
      </c>
      <c r="G19" s="353">
        <v>376</v>
      </c>
      <c r="H19" s="353">
        <v>391</v>
      </c>
      <c r="I19" s="466">
        <v>64</v>
      </c>
      <c r="J19" s="353"/>
      <c r="K19" s="353"/>
      <c r="L19" s="353"/>
      <c r="M19" s="353"/>
      <c r="N19" s="352"/>
      <c r="O19" s="353"/>
      <c r="P19" s="353"/>
      <c r="Q19" s="466"/>
      <c r="R19" s="352"/>
      <c r="S19" s="353"/>
      <c r="T19" s="353"/>
      <c r="U19" s="353"/>
      <c r="V19" s="352"/>
      <c r="W19" s="353"/>
      <c r="X19" s="353"/>
      <c r="Y19" s="466"/>
      <c r="Z19" s="353"/>
      <c r="AA19" s="353"/>
      <c r="AB19" s="353"/>
      <c r="AC19" s="352"/>
      <c r="AD19" s="353"/>
      <c r="AE19" s="353"/>
      <c r="AF19" s="466"/>
      <c r="AG19" s="352"/>
      <c r="AH19" s="353"/>
      <c r="AI19" s="353"/>
      <c r="AJ19" s="352"/>
      <c r="AK19" s="353"/>
      <c r="AL19" s="466"/>
      <c r="AM19" s="353">
        <f t="shared" si="1"/>
        <v>356</v>
      </c>
      <c r="AN19" s="353">
        <f t="shared" si="2"/>
        <v>376</v>
      </c>
      <c r="AO19" s="353">
        <f t="shared" si="3"/>
        <v>391</v>
      </c>
      <c r="AP19" s="466">
        <f t="shared" si="4"/>
        <v>64</v>
      </c>
      <c r="AQ19" s="498"/>
    </row>
    <row r="20" spans="1:43" s="481" customFormat="1" ht="18" customHeight="1">
      <c r="A20" s="506" t="s">
        <v>979</v>
      </c>
      <c r="B20" s="353"/>
      <c r="C20" s="353"/>
      <c r="D20" s="353"/>
      <c r="E20" s="466"/>
      <c r="F20" s="353">
        <v>29</v>
      </c>
      <c r="G20" s="353">
        <v>20</v>
      </c>
      <c r="H20" s="353">
        <v>13</v>
      </c>
      <c r="I20" s="466">
        <v>7</v>
      </c>
      <c r="J20" s="353"/>
      <c r="K20" s="353"/>
      <c r="L20" s="353"/>
      <c r="M20" s="353"/>
      <c r="N20" s="352"/>
      <c r="O20" s="353"/>
      <c r="P20" s="353"/>
      <c r="Q20" s="466"/>
      <c r="R20" s="352"/>
      <c r="S20" s="353"/>
      <c r="T20" s="353"/>
      <c r="U20" s="353"/>
      <c r="V20" s="352"/>
      <c r="W20" s="353"/>
      <c r="X20" s="353"/>
      <c r="Y20" s="466"/>
      <c r="Z20" s="353"/>
      <c r="AA20" s="353"/>
      <c r="AB20" s="353"/>
      <c r="AC20" s="352"/>
      <c r="AD20" s="353"/>
      <c r="AE20" s="353"/>
      <c r="AF20" s="466"/>
      <c r="AG20" s="352"/>
      <c r="AH20" s="353"/>
      <c r="AI20" s="353"/>
      <c r="AJ20" s="352"/>
      <c r="AK20" s="353"/>
      <c r="AL20" s="466"/>
      <c r="AM20" s="353">
        <f t="shared" si="1"/>
        <v>29</v>
      </c>
      <c r="AN20" s="353">
        <f t="shared" si="2"/>
        <v>20</v>
      </c>
      <c r="AO20" s="353">
        <f t="shared" si="3"/>
        <v>13</v>
      </c>
      <c r="AP20" s="466">
        <f t="shared" si="4"/>
        <v>7</v>
      </c>
      <c r="AQ20" s="498"/>
    </row>
    <row r="21" spans="1:43" s="481" customFormat="1" ht="18" customHeight="1">
      <c r="A21" s="961" t="s">
        <v>784</v>
      </c>
      <c r="B21" s="353"/>
      <c r="C21" s="353"/>
      <c r="D21" s="353"/>
      <c r="E21" s="466"/>
      <c r="F21" s="353"/>
      <c r="G21" s="353"/>
      <c r="H21" s="353"/>
      <c r="I21" s="466"/>
      <c r="J21" s="353"/>
      <c r="K21" s="353"/>
      <c r="L21" s="353"/>
      <c r="M21" s="466"/>
      <c r="N21" s="352"/>
      <c r="O21" s="353"/>
      <c r="P21" s="353"/>
      <c r="Q21" s="466"/>
      <c r="R21" s="352"/>
      <c r="S21" s="353"/>
      <c r="T21" s="353"/>
      <c r="U21" s="353"/>
      <c r="V21" s="352"/>
      <c r="W21" s="353"/>
      <c r="X21" s="353"/>
      <c r="Y21" s="466"/>
      <c r="Z21" s="353"/>
      <c r="AA21" s="353"/>
      <c r="AB21" s="353"/>
      <c r="AC21" s="352"/>
      <c r="AD21" s="353"/>
      <c r="AE21" s="353"/>
      <c r="AF21" s="466"/>
      <c r="AG21" s="352"/>
      <c r="AH21" s="353"/>
      <c r="AI21" s="353"/>
      <c r="AJ21" s="352"/>
      <c r="AK21" s="353"/>
      <c r="AL21" s="466"/>
      <c r="AM21" s="353">
        <f t="shared" si="1"/>
        <v>0</v>
      </c>
      <c r="AN21" s="353">
        <f t="shared" si="2"/>
        <v>0</v>
      </c>
      <c r="AO21" s="353">
        <f t="shared" si="3"/>
        <v>0</v>
      </c>
      <c r="AP21" s="466">
        <f t="shared" si="4"/>
        <v>0</v>
      </c>
      <c r="AQ21" s="498"/>
    </row>
    <row r="22" spans="1:43" s="481" customFormat="1" ht="18" customHeight="1">
      <c r="A22" s="506" t="s">
        <v>980</v>
      </c>
      <c r="B22" s="353">
        <v>1620</v>
      </c>
      <c r="C22" s="353">
        <v>2023</v>
      </c>
      <c r="D22" s="353">
        <v>2687</v>
      </c>
      <c r="E22" s="466">
        <v>1483</v>
      </c>
      <c r="F22" s="353">
        <v>571</v>
      </c>
      <c r="G22" s="353">
        <v>638</v>
      </c>
      <c r="H22" s="353">
        <v>601</v>
      </c>
      <c r="I22" s="466">
        <v>155</v>
      </c>
      <c r="J22" s="353"/>
      <c r="K22" s="353"/>
      <c r="L22" s="353"/>
      <c r="M22" s="466"/>
      <c r="N22" s="352"/>
      <c r="O22" s="353"/>
      <c r="P22" s="353"/>
      <c r="Q22" s="466"/>
      <c r="R22" s="352"/>
      <c r="S22" s="353"/>
      <c r="T22" s="353"/>
      <c r="U22" s="353"/>
      <c r="V22" s="352"/>
      <c r="W22" s="353"/>
      <c r="X22" s="353"/>
      <c r="Y22" s="466"/>
      <c r="Z22" s="353"/>
      <c r="AA22" s="353"/>
      <c r="AB22" s="353"/>
      <c r="AC22" s="352"/>
      <c r="AD22" s="353"/>
      <c r="AE22" s="353"/>
      <c r="AF22" s="466"/>
      <c r="AG22" s="352"/>
      <c r="AH22" s="353"/>
      <c r="AI22" s="353"/>
      <c r="AJ22" s="352"/>
      <c r="AK22" s="353"/>
      <c r="AL22" s="466"/>
      <c r="AM22" s="353">
        <f t="shared" si="1"/>
        <v>2191</v>
      </c>
      <c r="AN22" s="353">
        <f t="shared" si="2"/>
        <v>2661</v>
      </c>
      <c r="AO22" s="353">
        <f t="shared" si="3"/>
        <v>3288</v>
      </c>
      <c r="AP22" s="466">
        <f t="shared" si="4"/>
        <v>1638</v>
      </c>
      <c r="AQ22" s="498"/>
    </row>
    <row r="23" spans="1:43" s="481" customFormat="1" ht="18" customHeight="1">
      <c r="A23" s="506" t="s">
        <v>981</v>
      </c>
      <c r="B23" s="353"/>
      <c r="C23" s="353"/>
      <c r="D23" s="353"/>
      <c r="E23" s="466"/>
      <c r="F23" s="353"/>
      <c r="G23" s="353"/>
      <c r="H23" s="353"/>
      <c r="I23" s="466"/>
      <c r="J23" s="353"/>
      <c r="K23" s="353"/>
      <c r="L23" s="353">
        <v>12</v>
      </c>
      <c r="M23" s="466">
        <v>27</v>
      </c>
      <c r="N23" s="353">
        <v>148</v>
      </c>
      <c r="O23" s="353"/>
      <c r="P23" s="353"/>
      <c r="Q23" s="466"/>
      <c r="R23" s="352"/>
      <c r="S23" s="353"/>
      <c r="T23" s="353"/>
      <c r="U23" s="353"/>
      <c r="V23" s="352">
        <v>148</v>
      </c>
      <c r="W23" s="353">
        <v>218</v>
      </c>
      <c r="X23" s="353">
        <v>142</v>
      </c>
      <c r="Y23" s="466">
        <v>65</v>
      </c>
      <c r="Z23" s="353">
        <v>161</v>
      </c>
      <c r="AA23" s="353">
        <v>139</v>
      </c>
      <c r="AB23" s="353">
        <v>81</v>
      </c>
      <c r="AC23" s="352"/>
      <c r="AD23" s="353"/>
      <c r="AE23" s="353"/>
      <c r="AF23" s="466"/>
      <c r="AG23" s="352"/>
      <c r="AH23" s="353"/>
      <c r="AI23" s="353"/>
      <c r="AJ23" s="352"/>
      <c r="AK23" s="353"/>
      <c r="AL23" s="466"/>
      <c r="AM23" s="353">
        <f>+N23+J23+F23+B23+R23+V23</f>
        <v>296</v>
      </c>
      <c r="AN23" s="353">
        <f>+O23+K23+G23+C23+S23+W23+Z23</f>
        <v>379</v>
      </c>
      <c r="AO23" s="353">
        <f>+P23+L23+H23+D23+T23+X23+AA23</f>
        <v>293</v>
      </c>
      <c r="AP23" s="507">
        <f>+Q23+M23+I23+E23+U23+Y23+AB23+AF23+AL23</f>
        <v>173</v>
      </c>
      <c r="AQ23" s="498"/>
    </row>
    <row r="24" spans="1:43" s="481" customFormat="1" ht="18" customHeight="1">
      <c r="A24" s="506" t="s">
        <v>982</v>
      </c>
      <c r="B24" s="353">
        <v>2056</v>
      </c>
      <c r="C24" s="353">
        <v>2100</v>
      </c>
      <c r="D24" s="353">
        <v>1826</v>
      </c>
      <c r="E24" s="466">
        <v>937</v>
      </c>
      <c r="F24" s="353">
        <v>2</v>
      </c>
      <c r="G24" s="353">
        <v>6</v>
      </c>
      <c r="H24" s="353"/>
      <c r="I24" s="466"/>
      <c r="J24" s="353"/>
      <c r="K24" s="353"/>
      <c r="L24" s="353"/>
      <c r="M24" s="466"/>
      <c r="N24" s="353"/>
      <c r="O24" s="353"/>
      <c r="P24" s="353"/>
      <c r="Q24" s="466"/>
      <c r="R24" s="352"/>
      <c r="S24" s="353"/>
      <c r="T24" s="353"/>
      <c r="U24" s="353"/>
      <c r="V24" s="352"/>
      <c r="W24" s="353"/>
      <c r="X24" s="353"/>
      <c r="Y24" s="466"/>
      <c r="Z24" s="353"/>
      <c r="AA24" s="353"/>
      <c r="AB24" s="353"/>
      <c r="AC24" s="352"/>
      <c r="AD24" s="353"/>
      <c r="AE24" s="353"/>
      <c r="AF24" s="466"/>
      <c r="AG24" s="352"/>
      <c r="AH24" s="353"/>
      <c r="AI24" s="353"/>
      <c r="AJ24" s="352"/>
      <c r="AK24" s="353"/>
      <c r="AL24" s="466"/>
      <c r="AM24" s="353">
        <f t="shared" ref="AM24:AP27" si="5">+N24+J24+F24+B24</f>
        <v>2058</v>
      </c>
      <c r="AN24" s="353">
        <f t="shared" si="5"/>
        <v>2106</v>
      </c>
      <c r="AO24" s="353">
        <f t="shared" si="5"/>
        <v>1826</v>
      </c>
      <c r="AP24" s="466">
        <f t="shared" si="5"/>
        <v>937</v>
      </c>
      <c r="AQ24" s="498"/>
    </row>
    <row r="25" spans="1:43" s="481" customFormat="1" ht="18" customHeight="1">
      <c r="A25" s="92" t="s">
        <v>983</v>
      </c>
      <c r="B25" s="353"/>
      <c r="C25" s="353"/>
      <c r="D25" s="353"/>
      <c r="E25" s="466"/>
      <c r="F25" s="353"/>
      <c r="G25" s="353"/>
      <c r="H25" s="353"/>
      <c r="I25" s="466"/>
      <c r="J25" s="353"/>
      <c r="K25" s="353"/>
      <c r="L25" s="353"/>
      <c r="M25" s="466"/>
      <c r="N25" s="353"/>
      <c r="O25" s="353"/>
      <c r="P25" s="353"/>
      <c r="Q25" s="466"/>
      <c r="R25" s="352"/>
      <c r="S25" s="353"/>
      <c r="T25" s="353"/>
      <c r="U25" s="353"/>
      <c r="V25" s="352"/>
      <c r="W25" s="353"/>
      <c r="X25" s="353"/>
      <c r="Y25" s="466"/>
      <c r="Z25" s="353"/>
      <c r="AA25" s="353"/>
      <c r="AB25" s="353"/>
      <c r="AC25" s="352"/>
      <c r="AD25" s="353"/>
      <c r="AE25" s="353"/>
      <c r="AF25" s="466"/>
      <c r="AG25" s="352"/>
      <c r="AH25" s="353"/>
      <c r="AI25" s="353"/>
      <c r="AJ25" s="352"/>
      <c r="AK25" s="353"/>
      <c r="AL25" s="466"/>
      <c r="AM25" s="353">
        <f t="shared" si="5"/>
        <v>0</v>
      </c>
      <c r="AN25" s="353">
        <f t="shared" si="5"/>
        <v>0</v>
      </c>
      <c r="AO25" s="353">
        <f t="shared" si="5"/>
        <v>0</v>
      </c>
      <c r="AP25" s="466">
        <f t="shared" si="5"/>
        <v>0</v>
      </c>
      <c r="AQ25" s="498"/>
    </row>
    <row r="26" spans="1:43" s="481" customFormat="1" ht="18" customHeight="1">
      <c r="A26" s="961" t="s">
        <v>1450</v>
      </c>
      <c r="B26" s="353"/>
      <c r="C26" s="353">
        <v>15</v>
      </c>
      <c r="D26" s="353">
        <v>15</v>
      </c>
      <c r="E26" s="466">
        <v>10</v>
      </c>
      <c r="F26" s="353"/>
      <c r="G26" s="353"/>
      <c r="H26" s="353"/>
      <c r="I26" s="466"/>
      <c r="J26" s="353"/>
      <c r="K26" s="353"/>
      <c r="L26" s="353"/>
      <c r="M26" s="466"/>
      <c r="N26" s="353"/>
      <c r="O26" s="353"/>
      <c r="P26" s="353"/>
      <c r="Q26" s="466"/>
      <c r="R26" s="352"/>
      <c r="S26" s="353"/>
      <c r="T26" s="353"/>
      <c r="U26" s="353"/>
      <c r="V26" s="352"/>
      <c r="W26" s="353"/>
      <c r="X26" s="353"/>
      <c r="Y26" s="466"/>
      <c r="Z26" s="353"/>
      <c r="AA26" s="353"/>
      <c r="AB26" s="353"/>
      <c r="AC26" s="352"/>
      <c r="AD26" s="353"/>
      <c r="AE26" s="353"/>
      <c r="AF26" s="466"/>
      <c r="AG26" s="352"/>
      <c r="AH26" s="353"/>
      <c r="AI26" s="353"/>
      <c r="AJ26" s="352"/>
      <c r="AK26" s="353"/>
      <c r="AL26" s="466"/>
      <c r="AM26" s="353">
        <f t="shared" si="5"/>
        <v>0</v>
      </c>
      <c r="AN26" s="353">
        <f t="shared" si="5"/>
        <v>15</v>
      </c>
      <c r="AO26" s="353">
        <f t="shared" si="5"/>
        <v>15</v>
      </c>
      <c r="AP26" s="466">
        <f t="shared" si="5"/>
        <v>10</v>
      </c>
      <c r="AQ26" s="498"/>
    </row>
    <row r="27" spans="1:43" s="481" customFormat="1" ht="18" customHeight="1">
      <c r="A27" s="92" t="s">
        <v>984</v>
      </c>
      <c r="B27" s="353"/>
      <c r="C27" s="353"/>
      <c r="D27" s="353"/>
      <c r="E27" s="466"/>
      <c r="F27" s="353">
        <v>25</v>
      </c>
      <c r="G27" s="353">
        <v>23</v>
      </c>
      <c r="H27" s="353">
        <v>23</v>
      </c>
      <c r="I27" s="466">
        <v>13</v>
      </c>
      <c r="J27" s="353"/>
      <c r="K27" s="353"/>
      <c r="L27" s="353"/>
      <c r="M27" s="466"/>
      <c r="N27" s="353"/>
      <c r="O27" s="353"/>
      <c r="P27" s="353"/>
      <c r="Q27" s="466"/>
      <c r="R27" s="352"/>
      <c r="S27" s="353"/>
      <c r="T27" s="353"/>
      <c r="U27" s="353"/>
      <c r="V27" s="352"/>
      <c r="W27" s="353"/>
      <c r="X27" s="353"/>
      <c r="Y27" s="466"/>
      <c r="Z27" s="353"/>
      <c r="AA27" s="353"/>
      <c r="AB27" s="353"/>
      <c r="AC27" s="352"/>
      <c r="AD27" s="353"/>
      <c r="AE27" s="353"/>
      <c r="AF27" s="466"/>
      <c r="AG27" s="352"/>
      <c r="AH27" s="353"/>
      <c r="AI27" s="353"/>
      <c r="AJ27" s="352"/>
      <c r="AK27" s="353"/>
      <c r="AL27" s="466"/>
      <c r="AM27" s="353">
        <f t="shared" si="5"/>
        <v>25</v>
      </c>
      <c r="AN27" s="353">
        <f t="shared" si="5"/>
        <v>23</v>
      </c>
      <c r="AO27" s="353">
        <f t="shared" si="5"/>
        <v>23</v>
      </c>
      <c r="AP27" s="466">
        <f t="shared" si="5"/>
        <v>13</v>
      </c>
      <c r="AQ27" s="498"/>
    </row>
    <row r="28" spans="1:43" s="481" customFormat="1" ht="18" customHeight="1">
      <c r="A28" s="92" t="s">
        <v>1449</v>
      </c>
      <c r="B28" s="353"/>
      <c r="C28" s="353"/>
      <c r="D28" s="353"/>
      <c r="E28" s="466"/>
      <c r="F28" s="353"/>
      <c r="G28" s="353"/>
      <c r="H28" s="353"/>
      <c r="I28" s="466"/>
      <c r="J28" s="353"/>
      <c r="K28" s="353"/>
      <c r="L28" s="353"/>
      <c r="M28" s="466"/>
      <c r="N28" s="353"/>
      <c r="O28" s="353"/>
      <c r="P28" s="353"/>
      <c r="Q28" s="466"/>
      <c r="R28" s="352"/>
      <c r="S28" s="353"/>
      <c r="T28" s="353"/>
      <c r="U28" s="353"/>
      <c r="V28" s="352"/>
      <c r="W28" s="353"/>
      <c r="X28" s="353"/>
      <c r="Y28" s="466"/>
      <c r="Z28" s="353"/>
      <c r="AA28" s="353"/>
      <c r="AB28" s="353"/>
      <c r="AC28" s="352"/>
      <c r="AD28" s="353"/>
      <c r="AE28" s="353"/>
      <c r="AF28" s="466"/>
      <c r="AG28" s="352"/>
      <c r="AH28" s="353"/>
      <c r="AI28" s="353"/>
      <c r="AJ28" s="352"/>
      <c r="AK28" s="353"/>
      <c r="AL28" s="466"/>
      <c r="AM28" s="353"/>
      <c r="AN28" s="353"/>
      <c r="AO28" s="353"/>
      <c r="AP28" s="466"/>
      <c r="AQ28" s="498"/>
    </row>
    <row r="29" spans="1:43" s="481" customFormat="1" ht="18" customHeight="1">
      <c r="A29" s="506" t="s">
        <v>985</v>
      </c>
      <c r="B29" s="353">
        <v>66</v>
      </c>
      <c r="C29" s="353">
        <v>82</v>
      </c>
      <c r="D29" s="353">
        <v>103</v>
      </c>
      <c r="E29" s="466">
        <v>53</v>
      </c>
      <c r="F29" s="353"/>
      <c r="G29" s="353"/>
      <c r="H29" s="353"/>
      <c r="I29" s="466"/>
      <c r="J29" s="353"/>
      <c r="K29" s="353"/>
      <c r="L29" s="353"/>
      <c r="M29" s="466"/>
      <c r="N29" s="353"/>
      <c r="O29" s="353"/>
      <c r="P29" s="353"/>
      <c r="Q29" s="466"/>
      <c r="R29" s="352"/>
      <c r="S29" s="353"/>
      <c r="T29" s="353"/>
      <c r="U29" s="353"/>
      <c r="V29" s="352"/>
      <c r="W29" s="353"/>
      <c r="X29" s="353"/>
      <c r="Y29" s="466"/>
      <c r="Z29" s="353"/>
      <c r="AA29" s="353"/>
      <c r="AB29" s="353"/>
      <c r="AC29" s="352"/>
      <c r="AD29" s="353"/>
      <c r="AE29" s="353"/>
      <c r="AF29" s="466"/>
      <c r="AG29" s="352"/>
      <c r="AH29" s="353"/>
      <c r="AI29" s="353"/>
      <c r="AJ29" s="352"/>
      <c r="AK29" s="353"/>
      <c r="AL29" s="466"/>
      <c r="AM29" s="353">
        <f>+N29+J29+F29+B29</f>
        <v>66</v>
      </c>
      <c r="AN29" s="353">
        <f>+O29+K29+G29+C29</f>
        <v>82</v>
      </c>
      <c r="AO29" s="353">
        <f>+P29+L29+H29+D29</f>
        <v>103</v>
      </c>
      <c r="AP29" s="466">
        <f>+Q29+M29+I29+E29</f>
        <v>53</v>
      </c>
      <c r="AQ29" s="498"/>
    </row>
    <row r="30" spans="1:43" s="481" customFormat="1" ht="18" customHeight="1">
      <c r="A30" s="506" t="s">
        <v>986</v>
      </c>
      <c r="B30" s="353"/>
      <c r="C30" s="353"/>
      <c r="D30" s="353"/>
      <c r="E30" s="466"/>
      <c r="F30" s="353"/>
      <c r="G30" s="353"/>
      <c r="H30" s="353"/>
      <c r="I30" s="466">
        <v>2</v>
      </c>
      <c r="J30" s="353"/>
      <c r="K30" s="353"/>
      <c r="L30" s="353"/>
      <c r="M30" s="466"/>
      <c r="N30" s="353"/>
      <c r="O30" s="353"/>
      <c r="P30" s="353"/>
      <c r="Q30" s="466"/>
      <c r="R30" s="352"/>
      <c r="S30" s="353"/>
      <c r="T30" s="353"/>
      <c r="U30" s="353"/>
      <c r="V30" s="352"/>
      <c r="W30" s="353"/>
      <c r="X30" s="353"/>
      <c r="Y30" s="466"/>
      <c r="Z30" s="353"/>
      <c r="AA30" s="353"/>
      <c r="AB30" s="353"/>
      <c r="AC30" s="352"/>
      <c r="AD30" s="353"/>
      <c r="AE30" s="353"/>
      <c r="AF30" s="466"/>
      <c r="AG30" s="352"/>
      <c r="AH30" s="353"/>
      <c r="AI30" s="353"/>
      <c r="AJ30" s="352"/>
      <c r="AK30" s="353"/>
      <c r="AL30" s="466"/>
      <c r="AM30" s="353">
        <f>+N30+J30+F30+B30</f>
        <v>0</v>
      </c>
      <c r="AN30" s="353">
        <f>+O30+K30+G30+C30+AD30</f>
        <v>0</v>
      </c>
      <c r="AO30" s="353">
        <f>+P30+L30+H30+D30+AE30</f>
        <v>0</v>
      </c>
      <c r="AP30" s="507">
        <f>+AL30+AF30+Q30+M30+I30+E30</f>
        <v>2</v>
      </c>
      <c r="AQ30" s="498"/>
    </row>
    <row r="31" spans="1:43" s="481" customFormat="1" ht="18" customHeight="1">
      <c r="A31" s="506" t="s">
        <v>987</v>
      </c>
      <c r="B31" s="353">
        <v>2</v>
      </c>
      <c r="C31" s="353">
        <v>3</v>
      </c>
      <c r="D31" s="353">
        <v>1</v>
      </c>
      <c r="E31" s="466"/>
      <c r="F31" s="353"/>
      <c r="G31" s="353">
        <v>1</v>
      </c>
      <c r="H31" s="353"/>
      <c r="I31" s="466"/>
      <c r="J31" s="353"/>
      <c r="K31" s="353"/>
      <c r="L31" s="353"/>
      <c r="M31" s="466"/>
      <c r="N31" s="353"/>
      <c r="O31" s="353"/>
      <c r="P31" s="353"/>
      <c r="Q31" s="466"/>
      <c r="R31" s="352"/>
      <c r="S31" s="353"/>
      <c r="T31" s="353"/>
      <c r="U31" s="353"/>
      <c r="V31" s="352"/>
      <c r="W31" s="353"/>
      <c r="X31" s="353"/>
      <c r="Y31" s="466"/>
      <c r="Z31" s="353"/>
      <c r="AA31" s="353"/>
      <c r="AB31" s="353"/>
      <c r="AC31" s="352"/>
      <c r="AD31" s="353"/>
      <c r="AE31" s="353"/>
      <c r="AF31" s="466"/>
      <c r="AG31" s="352"/>
      <c r="AH31" s="353"/>
      <c r="AI31" s="353"/>
      <c r="AJ31" s="352"/>
      <c r="AK31" s="353"/>
      <c r="AL31" s="466"/>
      <c r="AM31" s="353">
        <f>+N31+J31+F31+B31+AC31</f>
        <v>2</v>
      </c>
      <c r="AN31" s="353">
        <f>+O31+K31+G31+C31+AD31</f>
        <v>4</v>
      </c>
      <c r="AO31" s="353">
        <f>+P31+L31+H31+D31+AE31</f>
        <v>1</v>
      </c>
      <c r="AP31" s="507">
        <f>+AL31+AF31+Q31+M31+I31+E31</f>
        <v>0</v>
      </c>
      <c r="AQ31" s="498"/>
    </row>
    <row r="32" spans="1:43" s="481" customFormat="1" ht="18" customHeight="1">
      <c r="A32" s="506" t="s">
        <v>988</v>
      </c>
      <c r="B32" s="353">
        <v>696</v>
      </c>
      <c r="C32" s="353">
        <v>429</v>
      </c>
      <c r="D32" s="353">
        <v>609</v>
      </c>
      <c r="E32" s="466">
        <v>349</v>
      </c>
      <c r="F32" s="353"/>
      <c r="G32" s="353"/>
      <c r="H32" s="353"/>
      <c r="I32" s="466"/>
      <c r="J32" s="353"/>
      <c r="K32" s="353"/>
      <c r="L32" s="353"/>
      <c r="M32" s="466"/>
      <c r="N32" s="353"/>
      <c r="O32" s="353"/>
      <c r="P32" s="353"/>
      <c r="Q32" s="466"/>
      <c r="R32" s="352"/>
      <c r="S32" s="353"/>
      <c r="T32" s="353"/>
      <c r="U32" s="353"/>
      <c r="V32" s="352"/>
      <c r="W32" s="353"/>
      <c r="X32" s="353"/>
      <c r="Y32" s="466"/>
      <c r="Z32" s="353"/>
      <c r="AA32" s="353"/>
      <c r="AB32" s="353"/>
      <c r="AC32" s="352"/>
      <c r="AD32" s="353"/>
      <c r="AE32" s="353"/>
      <c r="AF32" s="466"/>
      <c r="AG32" s="352"/>
      <c r="AH32" s="353"/>
      <c r="AI32" s="353"/>
      <c r="AJ32" s="352"/>
      <c r="AK32" s="353"/>
      <c r="AL32" s="466"/>
      <c r="AM32" s="353">
        <f>+N32+J32+F32+B32+AG32</f>
        <v>696</v>
      </c>
      <c r="AN32" s="353">
        <f>+O32+K32+G32+C32+AH32</f>
        <v>429</v>
      </c>
      <c r="AO32" s="353">
        <f>+P32+L32+H32+D32+AI32</f>
        <v>609</v>
      </c>
      <c r="AP32" s="507">
        <f>+AL32+AF32+Q32+M32+I32+E32</f>
        <v>349</v>
      </c>
      <c r="AQ32" s="498"/>
    </row>
    <row r="33" spans="1:43" s="481" customFormat="1" ht="18" customHeight="1">
      <c r="A33" s="506" t="s">
        <v>989</v>
      </c>
      <c r="B33" s="353">
        <v>1208</v>
      </c>
      <c r="C33" s="353">
        <v>1135</v>
      </c>
      <c r="D33" s="353">
        <v>1923</v>
      </c>
      <c r="E33" s="466">
        <v>1016</v>
      </c>
      <c r="F33" s="353"/>
      <c r="G33" s="353"/>
      <c r="H33" s="353"/>
      <c r="I33" s="466"/>
      <c r="J33" s="353"/>
      <c r="K33" s="353"/>
      <c r="L33" s="353"/>
      <c r="M33" s="466"/>
      <c r="N33" s="353"/>
      <c r="O33" s="353"/>
      <c r="P33" s="353"/>
      <c r="Q33" s="466"/>
      <c r="R33" s="352"/>
      <c r="S33" s="353"/>
      <c r="T33" s="353"/>
      <c r="U33" s="353"/>
      <c r="V33" s="352"/>
      <c r="W33" s="353"/>
      <c r="X33" s="353"/>
      <c r="Y33" s="466"/>
      <c r="Z33" s="353"/>
      <c r="AA33" s="353"/>
      <c r="AB33" s="353"/>
      <c r="AC33" s="352"/>
      <c r="AD33" s="353"/>
      <c r="AE33" s="353"/>
      <c r="AF33" s="466"/>
      <c r="AG33" s="352"/>
      <c r="AH33" s="353"/>
      <c r="AI33" s="353"/>
      <c r="AJ33" s="352"/>
      <c r="AK33" s="353"/>
      <c r="AL33" s="466"/>
      <c r="AM33" s="353">
        <f t="shared" ref="AM33:AO35" si="6">+N33+J33+F33+B33</f>
        <v>1208</v>
      </c>
      <c r="AN33" s="353">
        <f t="shared" si="6"/>
        <v>1135</v>
      </c>
      <c r="AO33" s="353">
        <f t="shared" si="6"/>
        <v>1923</v>
      </c>
      <c r="AP33" s="507">
        <f>+AL33+AF33+Q33+M33+I33+E33</f>
        <v>1016</v>
      </c>
      <c r="AQ33" s="498"/>
    </row>
    <row r="34" spans="1:43" s="481" customFormat="1" ht="18" customHeight="1">
      <c r="A34" s="506" t="s">
        <v>990</v>
      </c>
      <c r="B34" s="353"/>
      <c r="C34" s="353"/>
      <c r="D34" s="353"/>
      <c r="E34" s="466"/>
      <c r="F34" s="353">
        <v>1641</v>
      </c>
      <c r="G34" s="353">
        <v>1980</v>
      </c>
      <c r="H34" s="353">
        <v>2108</v>
      </c>
      <c r="I34" s="466">
        <v>884</v>
      </c>
      <c r="J34" s="353"/>
      <c r="K34" s="353"/>
      <c r="L34" s="353"/>
      <c r="M34" s="466"/>
      <c r="N34" s="353"/>
      <c r="O34" s="353"/>
      <c r="P34" s="353"/>
      <c r="Q34" s="466"/>
      <c r="R34" s="352"/>
      <c r="S34" s="353"/>
      <c r="T34" s="353"/>
      <c r="U34" s="353"/>
      <c r="V34" s="352"/>
      <c r="W34" s="353"/>
      <c r="X34" s="353"/>
      <c r="Y34" s="466"/>
      <c r="Z34" s="353"/>
      <c r="AA34" s="353"/>
      <c r="AB34" s="353"/>
      <c r="AC34" s="352"/>
      <c r="AD34" s="353"/>
      <c r="AE34" s="353"/>
      <c r="AF34" s="466"/>
      <c r="AG34" s="352"/>
      <c r="AH34" s="353"/>
      <c r="AI34" s="353"/>
      <c r="AJ34" s="352"/>
      <c r="AK34" s="353"/>
      <c r="AL34" s="466"/>
      <c r="AM34" s="353">
        <f t="shared" si="6"/>
        <v>1641</v>
      </c>
      <c r="AN34" s="353">
        <f t="shared" si="6"/>
        <v>1980</v>
      </c>
      <c r="AO34" s="353">
        <f t="shared" si="6"/>
        <v>2108</v>
      </c>
      <c r="AP34" s="507">
        <f>+AL34+AF34+Q34+M34+I34+E34</f>
        <v>884</v>
      </c>
      <c r="AQ34" s="498"/>
    </row>
    <row r="35" spans="1:43" s="481" customFormat="1" ht="18" customHeight="1">
      <c r="A35" s="506" t="s">
        <v>991</v>
      </c>
      <c r="B35" s="353"/>
      <c r="C35" s="353"/>
      <c r="D35" s="353"/>
      <c r="E35" s="466"/>
      <c r="F35" s="353">
        <v>1</v>
      </c>
      <c r="G35" s="353">
        <v>3</v>
      </c>
      <c r="H35" s="353">
        <v>8</v>
      </c>
      <c r="I35" s="466">
        <v>4</v>
      </c>
      <c r="J35" s="353"/>
      <c r="K35" s="353"/>
      <c r="L35" s="353"/>
      <c r="M35" s="466"/>
      <c r="N35" s="353"/>
      <c r="O35" s="353"/>
      <c r="P35" s="353"/>
      <c r="Q35" s="466"/>
      <c r="R35" s="352"/>
      <c r="S35" s="353"/>
      <c r="T35" s="353"/>
      <c r="U35" s="353"/>
      <c r="V35" s="352"/>
      <c r="W35" s="353"/>
      <c r="X35" s="353"/>
      <c r="Y35" s="466"/>
      <c r="Z35" s="353"/>
      <c r="AA35" s="353"/>
      <c r="AB35" s="353"/>
      <c r="AC35" s="352"/>
      <c r="AD35" s="353"/>
      <c r="AE35" s="353"/>
      <c r="AF35" s="466"/>
      <c r="AG35" s="352"/>
      <c r="AH35" s="353"/>
      <c r="AI35" s="353"/>
      <c r="AJ35" s="352"/>
      <c r="AK35" s="353"/>
      <c r="AL35" s="466"/>
      <c r="AM35" s="353">
        <f t="shared" si="6"/>
        <v>1</v>
      </c>
      <c r="AN35" s="353">
        <f t="shared" si="6"/>
        <v>3</v>
      </c>
      <c r="AO35" s="353">
        <f t="shared" si="6"/>
        <v>8</v>
      </c>
      <c r="AP35" s="466">
        <f>+Q35+M35+I35+E35</f>
        <v>4</v>
      </c>
      <c r="AQ35" s="498"/>
    </row>
    <row r="36" spans="1:43" s="481" customFormat="1" ht="18" customHeight="1">
      <c r="A36" s="92" t="s">
        <v>1574</v>
      </c>
      <c r="B36" s="353"/>
      <c r="C36" s="353"/>
      <c r="D36" s="353"/>
      <c r="E36" s="466"/>
      <c r="F36" s="353"/>
      <c r="G36" s="353"/>
      <c r="H36" s="353"/>
      <c r="I36" s="466"/>
      <c r="J36" s="353"/>
      <c r="K36" s="353"/>
      <c r="L36" s="353"/>
      <c r="M36" s="466"/>
      <c r="N36" s="353"/>
      <c r="O36" s="353"/>
      <c r="P36" s="353"/>
      <c r="Q36" s="466"/>
      <c r="R36" s="352"/>
      <c r="S36" s="353"/>
      <c r="T36" s="353"/>
      <c r="U36" s="353"/>
      <c r="V36" s="352"/>
      <c r="W36" s="353"/>
      <c r="X36" s="353"/>
      <c r="Y36" s="466"/>
      <c r="Z36" s="353"/>
      <c r="AA36" s="353"/>
      <c r="AB36" s="353"/>
      <c r="AC36" s="352"/>
      <c r="AD36" s="353"/>
      <c r="AE36" s="353"/>
      <c r="AF36" s="466"/>
      <c r="AG36" s="352"/>
      <c r="AH36" s="353"/>
      <c r="AI36" s="353"/>
      <c r="AJ36" s="352"/>
      <c r="AK36" s="353">
        <v>9</v>
      </c>
      <c r="AL36" s="466"/>
      <c r="AM36" s="353">
        <f>+N36+J36+F36+B36</f>
        <v>0</v>
      </c>
      <c r="AN36" s="353">
        <f>+O36+K36+G36+C36</f>
        <v>0</v>
      </c>
      <c r="AO36" s="353">
        <f>+P36+L36+H36+D36+AK36</f>
        <v>9</v>
      </c>
      <c r="AP36" s="466">
        <f>+Q36+M36+I36+E36+AL36</f>
        <v>0</v>
      </c>
      <c r="AQ36" s="498"/>
    </row>
    <row r="37" spans="1:43" s="481" customFormat="1" ht="18" customHeight="1">
      <c r="A37" s="506" t="s">
        <v>992</v>
      </c>
      <c r="B37" s="353">
        <v>280</v>
      </c>
      <c r="C37" s="353">
        <v>351</v>
      </c>
      <c r="D37" s="353">
        <v>446</v>
      </c>
      <c r="E37" s="466">
        <v>261</v>
      </c>
      <c r="F37" s="353"/>
      <c r="G37" s="353"/>
      <c r="H37" s="353"/>
      <c r="I37" s="466"/>
      <c r="J37" s="353"/>
      <c r="K37" s="353"/>
      <c r="L37" s="353"/>
      <c r="M37" s="466"/>
      <c r="N37" s="353"/>
      <c r="O37" s="353"/>
      <c r="P37" s="353"/>
      <c r="Q37" s="466"/>
      <c r="R37" s="352"/>
      <c r="S37" s="353"/>
      <c r="T37" s="353"/>
      <c r="U37" s="353"/>
      <c r="V37" s="352"/>
      <c r="W37" s="353"/>
      <c r="X37" s="353"/>
      <c r="Y37" s="466"/>
      <c r="Z37" s="353"/>
      <c r="AA37" s="353"/>
      <c r="AB37" s="353"/>
      <c r="AC37" s="352"/>
      <c r="AD37" s="353"/>
      <c r="AE37" s="353"/>
      <c r="AF37" s="466"/>
      <c r="AG37" s="352"/>
      <c r="AH37" s="353"/>
      <c r="AI37" s="353"/>
      <c r="AJ37" s="352"/>
      <c r="AK37" s="353"/>
      <c r="AL37" s="466"/>
      <c r="AM37" s="353">
        <f>+N37+J37+F37+B37</f>
        <v>280</v>
      </c>
      <c r="AN37" s="353">
        <f>+O37+K37+G37+C37</f>
        <v>351</v>
      </c>
      <c r="AO37" s="353">
        <f>+P37+L37+H37+D37</f>
        <v>446</v>
      </c>
      <c r="AP37" s="466">
        <f>+Q37+M37+I37+E37</f>
        <v>261</v>
      </c>
      <c r="AQ37" s="498"/>
    </row>
    <row r="38" spans="1:43" s="481" customFormat="1" ht="18" customHeight="1">
      <c r="A38" s="508" t="s">
        <v>832</v>
      </c>
      <c r="B38" s="357">
        <v>10577</v>
      </c>
      <c r="C38" s="357">
        <v>11438</v>
      </c>
      <c r="D38" s="357">
        <f>SUM(D9:D37)</f>
        <v>12841</v>
      </c>
      <c r="E38" s="509">
        <f>SUM(E9:E37)</f>
        <v>7490</v>
      </c>
      <c r="F38" s="357">
        <v>4032</v>
      </c>
      <c r="G38" s="357">
        <v>4700</v>
      </c>
      <c r="H38" s="357">
        <f>SUM(H9:H37)</f>
        <v>4670</v>
      </c>
      <c r="I38" s="509">
        <f>SUM(I9:I37)</f>
        <v>1695</v>
      </c>
      <c r="J38" s="357">
        <v>0</v>
      </c>
      <c r="K38" s="357">
        <v>0</v>
      </c>
      <c r="L38" s="357">
        <v>12</v>
      </c>
      <c r="M38" s="509">
        <f>SUM(M9:M37)</f>
        <v>27</v>
      </c>
      <c r="N38" s="357">
        <v>148</v>
      </c>
      <c r="O38" s="357">
        <v>0</v>
      </c>
      <c r="P38" s="357">
        <v>0</v>
      </c>
      <c r="Q38" s="509">
        <f t="shared" ref="Q38:S38" si="7">SUM(Q9:Q37)</f>
        <v>0</v>
      </c>
      <c r="R38" s="356">
        <f t="shared" si="7"/>
        <v>0</v>
      </c>
      <c r="S38" s="357">
        <f t="shared" si="7"/>
        <v>0</v>
      </c>
      <c r="T38" s="357">
        <f t="shared" ref="T38" si="8">SUM(T9:T37)</f>
        <v>0</v>
      </c>
      <c r="U38" s="357">
        <f t="shared" ref="U38:AD38" si="9">SUM(U9:U37)</f>
        <v>0</v>
      </c>
      <c r="V38" s="356">
        <v>148</v>
      </c>
      <c r="W38" s="357">
        <v>218</v>
      </c>
      <c r="X38" s="357">
        <f>SUM(X12:X37)</f>
        <v>142</v>
      </c>
      <c r="Y38" s="509"/>
      <c r="Z38" s="357">
        <v>181</v>
      </c>
      <c r="AA38" s="357">
        <f t="shared" si="9"/>
        <v>139</v>
      </c>
      <c r="AB38" s="357">
        <f>SUM(AB9:AB37)</f>
        <v>81</v>
      </c>
      <c r="AC38" s="356">
        <f t="shared" si="9"/>
        <v>0</v>
      </c>
      <c r="AD38" s="357">
        <f t="shared" si="9"/>
        <v>0</v>
      </c>
      <c r="AE38" s="357">
        <f t="shared" ref="AE38" si="10">SUM(AE9:AE37)</f>
        <v>0</v>
      </c>
      <c r="AF38" s="509">
        <f t="shared" ref="AF38:AG38" si="11">SUM(AF9:AF37)</f>
        <v>0</v>
      </c>
      <c r="AG38" s="356">
        <f t="shared" si="11"/>
        <v>0</v>
      </c>
      <c r="AH38" s="357">
        <v>11</v>
      </c>
      <c r="AI38" s="357">
        <v>0</v>
      </c>
      <c r="AJ38" s="356">
        <f t="shared" ref="AJ38:AL38" si="12">SUM(AJ9:AJ37)</f>
        <v>0</v>
      </c>
      <c r="AK38" s="357">
        <f t="shared" ref="AK38" si="13">SUM(AK9:AK37)</f>
        <v>9</v>
      </c>
      <c r="AL38" s="509">
        <f t="shared" si="12"/>
        <v>0</v>
      </c>
      <c r="AM38" s="357">
        <f>SUM(AM9:AM37)</f>
        <v>14905</v>
      </c>
      <c r="AN38" s="357">
        <f>SUM(AN9:AN37)</f>
        <v>16517</v>
      </c>
      <c r="AO38" s="357">
        <f>SUM(AO9:AO37)</f>
        <v>17813</v>
      </c>
      <c r="AP38" s="509">
        <f>SUM(AP9:AP37)</f>
        <v>9358</v>
      </c>
      <c r="AQ38" s="498"/>
    </row>
    <row r="39" spans="1:43" s="481" customFormat="1" ht="18" customHeight="1">
      <c r="B39" s="498"/>
      <c r="C39" s="353"/>
      <c r="D39" s="353"/>
      <c r="E39" s="498"/>
      <c r="F39" s="498"/>
      <c r="G39" s="498"/>
      <c r="H39" s="353"/>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c r="AJ39" s="353"/>
      <c r="AK39" s="353"/>
      <c r="AL39" s="353"/>
      <c r="AM39" s="498"/>
      <c r="AN39" s="498"/>
      <c r="AO39" s="498"/>
      <c r="AP39" s="498"/>
      <c r="AQ39" s="498"/>
    </row>
    <row r="40" spans="1:43" s="481" customFormat="1" ht="18" customHeight="1">
      <c r="A40" s="485" t="s">
        <v>993</v>
      </c>
      <c r="B40" s="498"/>
      <c r="C40" s="357"/>
      <c r="D40" s="357"/>
      <c r="E40" s="357"/>
      <c r="F40" s="357"/>
      <c r="G40" s="357"/>
      <c r="H40" s="357"/>
      <c r="I40" s="357"/>
      <c r="J40" s="498"/>
      <c r="K40" s="498"/>
      <c r="L40" s="498"/>
      <c r="M40" s="498"/>
      <c r="N40" s="498"/>
      <c r="O40" s="498"/>
      <c r="P40" s="498"/>
      <c r="Q40" s="498"/>
      <c r="R40" s="498"/>
      <c r="S40" s="498"/>
      <c r="T40" s="498"/>
      <c r="U40" s="498"/>
      <c r="V40" s="498"/>
      <c r="W40" s="498"/>
      <c r="X40" s="498"/>
      <c r="Y40" s="498"/>
      <c r="Z40" s="498"/>
      <c r="AA40" s="498"/>
      <c r="AB40" s="498"/>
      <c r="AC40" s="498"/>
      <c r="AD40" s="498"/>
      <c r="AE40" s="498"/>
      <c r="AF40" s="498"/>
      <c r="AG40" s="498"/>
      <c r="AH40" s="498"/>
      <c r="AI40" s="498"/>
      <c r="AJ40" s="353"/>
      <c r="AK40" s="353"/>
      <c r="AL40" s="353"/>
      <c r="AM40" s="498"/>
      <c r="AN40" s="498"/>
      <c r="AO40" s="498"/>
      <c r="AP40" s="498"/>
      <c r="AQ40" s="498"/>
    </row>
    <row r="41" spans="1:43" s="481" customFormat="1" ht="18" customHeight="1">
      <c r="A41" s="504" t="s">
        <v>994</v>
      </c>
      <c r="B41" s="469">
        <v>42</v>
      </c>
      <c r="C41" s="353">
        <v>67</v>
      </c>
      <c r="D41" s="353">
        <v>55</v>
      </c>
      <c r="E41" s="466">
        <v>64</v>
      </c>
      <c r="F41" s="353">
        <v>309</v>
      </c>
      <c r="G41" s="353">
        <v>9</v>
      </c>
      <c r="H41" s="353">
        <v>13</v>
      </c>
      <c r="I41" s="353">
        <v>8</v>
      </c>
      <c r="J41" s="468"/>
      <c r="K41" s="469"/>
      <c r="L41" s="469"/>
      <c r="M41" s="467"/>
      <c r="N41" s="469"/>
      <c r="O41" s="469"/>
      <c r="P41" s="469"/>
      <c r="Q41" s="467"/>
      <c r="R41" s="469"/>
      <c r="S41" s="469"/>
      <c r="T41" s="469"/>
      <c r="U41" s="467"/>
      <c r="V41" s="469"/>
      <c r="W41" s="469"/>
      <c r="X41" s="469"/>
      <c r="Y41" s="469"/>
      <c r="Z41" s="468">
        <v>115</v>
      </c>
      <c r="AA41" s="469"/>
      <c r="AB41" s="467"/>
      <c r="AC41" s="469"/>
      <c r="AD41" s="469"/>
      <c r="AE41" s="469"/>
      <c r="AF41" s="467"/>
      <c r="AG41" s="469"/>
      <c r="AH41" s="469"/>
      <c r="AI41" s="469"/>
      <c r="AJ41" s="468"/>
      <c r="AK41" s="469"/>
      <c r="AL41" s="467"/>
      <c r="AM41" s="469">
        <f>+N41+J41+F41+B41</f>
        <v>351</v>
      </c>
      <c r="AN41" s="469">
        <f>+O41+K41+G41+C41+Z41</f>
        <v>191</v>
      </c>
      <c r="AO41" s="469">
        <f t="shared" ref="AM41:AO42" si="14">+P41+L41+H41+D41</f>
        <v>68</v>
      </c>
      <c r="AP41" s="467">
        <f>+Q41+M41+I41+E41+AB41</f>
        <v>72</v>
      </c>
      <c r="AQ41" s="498"/>
    </row>
    <row r="42" spans="1:43" s="481" customFormat="1" ht="18" customHeight="1">
      <c r="A42" s="506" t="s">
        <v>995</v>
      </c>
      <c r="B42" s="353">
        <v>100</v>
      </c>
      <c r="C42" s="353">
        <v>79</v>
      </c>
      <c r="D42" s="353">
        <v>44</v>
      </c>
      <c r="E42" s="466">
        <v>0</v>
      </c>
      <c r="F42" s="353"/>
      <c r="G42" s="353">
        <v>1</v>
      </c>
      <c r="H42" s="353">
        <v>2</v>
      </c>
      <c r="I42" s="353"/>
      <c r="J42" s="352"/>
      <c r="K42" s="353"/>
      <c r="L42" s="353"/>
      <c r="M42" s="466"/>
      <c r="N42" s="353"/>
      <c r="O42" s="353"/>
      <c r="P42" s="353"/>
      <c r="Q42" s="466"/>
      <c r="R42" s="353"/>
      <c r="S42" s="353"/>
      <c r="T42" s="353"/>
      <c r="U42" s="466"/>
      <c r="V42" s="353"/>
      <c r="W42" s="353"/>
      <c r="X42" s="353"/>
      <c r="Y42" s="353"/>
      <c r="Z42" s="352"/>
      <c r="AA42" s="353"/>
      <c r="AB42" s="466"/>
      <c r="AC42" s="353"/>
      <c r="AD42" s="353"/>
      <c r="AE42" s="353"/>
      <c r="AF42" s="466"/>
      <c r="AG42" s="353"/>
      <c r="AH42" s="353"/>
      <c r="AI42" s="353"/>
      <c r="AJ42" s="352"/>
      <c r="AK42" s="353"/>
      <c r="AL42" s="466"/>
      <c r="AM42" s="353">
        <f t="shared" si="14"/>
        <v>100</v>
      </c>
      <c r="AN42" s="353">
        <f t="shared" ref="AN42:AN49" si="15">+O42+K42+G42+C42+Z42</f>
        <v>80</v>
      </c>
      <c r="AO42" s="353">
        <f t="shared" si="14"/>
        <v>46</v>
      </c>
      <c r="AP42" s="466">
        <f t="shared" ref="AP42:AP49" si="16">+Q42+M42+I42+E42+AB42</f>
        <v>0</v>
      </c>
      <c r="AQ42" s="498"/>
    </row>
    <row r="43" spans="1:43" s="481" customFormat="1" ht="18" customHeight="1">
      <c r="A43" s="506" t="s">
        <v>996</v>
      </c>
      <c r="B43" s="353">
        <v>135</v>
      </c>
      <c r="C43" s="353">
        <v>163</v>
      </c>
      <c r="D43" s="353">
        <v>113</v>
      </c>
      <c r="E43" s="466">
        <v>46</v>
      </c>
      <c r="F43" s="353">
        <v>92</v>
      </c>
      <c r="G43" s="353">
        <v>169</v>
      </c>
      <c r="H43" s="353">
        <v>51</v>
      </c>
      <c r="I43" s="353">
        <v>5</v>
      </c>
      <c r="J43" s="352"/>
      <c r="K43" s="353"/>
      <c r="L43" s="353"/>
      <c r="M43" s="466"/>
      <c r="N43" s="353"/>
      <c r="O43" s="353"/>
      <c r="P43" s="353"/>
      <c r="Q43" s="466"/>
      <c r="R43" s="353"/>
      <c r="S43" s="353"/>
      <c r="T43" s="353"/>
      <c r="U43" s="466"/>
      <c r="V43" s="353"/>
      <c r="W43" s="353"/>
      <c r="X43" s="353"/>
      <c r="Y43" s="353"/>
      <c r="Z43" s="352"/>
      <c r="AA43" s="353"/>
      <c r="AB43" s="466"/>
      <c r="AC43" s="353"/>
      <c r="AD43" s="353"/>
      <c r="AE43" s="353"/>
      <c r="AF43" s="466"/>
      <c r="AG43" s="353"/>
      <c r="AH43" s="353"/>
      <c r="AI43" s="353"/>
      <c r="AJ43" s="352"/>
      <c r="AK43" s="353"/>
      <c r="AL43" s="466"/>
      <c r="AM43" s="353">
        <f t="shared" ref="AM43:AO45" si="17">+N43+J43+F43+B43</f>
        <v>227</v>
      </c>
      <c r="AN43" s="353">
        <f t="shared" si="15"/>
        <v>332</v>
      </c>
      <c r="AO43" s="353">
        <f t="shared" si="17"/>
        <v>164</v>
      </c>
      <c r="AP43" s="466">
        <f t="shared" si="16"/>
        <v>51</v>
      </c>
      <c r="AQ43" s="498"/>
    </row>
    <row r="44" spans="1:43" s="481" customFormat="1" ht="18" customHeight="1">
      <c r="A44" s="506" t="s">
        <v>997</v>
      </c>
      <c r="B44" s="353">
        <v>90</v>
      </c>
      <c r="C44" s="353">
        <v>85</v>
      </c>
      <c r="D44" s="353">
        <v>114</v>
      </c>
      <c r="E44" s="466">
        <v>34</v>
      </c>
      <c r="F44" s="353">
        <v>436</v>
      </c>
      <c r="G44" s="353">
        <v>162</v>
      </c>
      <c r="H44" s="353">
        <v>27</v>
      </c>
      <c r="I44" s="353">
        <v>2</v>
      </c>
      <c r="J44" s="352"/>
      <c r="K44" s="353"/>
      <c r="L44" s="353"/>
      <c r="M44" s="466"/>
      <c r="N44" s="353"/>
      <c r="O44" s="353"/>
      <c r="P44" s="353"/>
      <c r="Q44" s="466"/>
      <c r="R44" s="353"/>
      <c r="S44" s="353"/>
      <c r="T44" s="353"/>
      <c r="U44" s="466"/>
      <c r="V44" s="353"/>
      <c r="W44" s="353"/>
      <c r="X44" s="353"/>
      <c r="Y44" s="353"/>
      <c r="Z44" s="352">
        <v>91</v>
      </c>
      <c r="AA44" s="353"/>
      <c r="AB44" s="466"/>
      <c r="AC44" s="353"/>
      <c r="AD44" s="353"/>
      <c r="AE44" s="353"/>
      <c r="AF44" s="466"/>
      <c r="AG44" s="353"/>
      <c r="AH44" s="353"/>
      <c r="AI44" s="353"/>
      <c r="AJ44" s="352"/>
      <c r="AK44" s="353"/>
      <c r="AL44" s="466"/>
      <c r="AM44" s="353">
        <f t="shared" si="17"/>
        <v>526</v>
      </c>
      <c r="AN44" s="353">
        <f t="shared" si="15"/>
        <v>338</v>
      </c>
      <c r="AO44" s="353">
        <f t="shared" si="17"/>
        <v>141</v>
      </c>
      <c r="AP44" s="466">
        <f t="shared" si="16"/>
        <v>36</v>
      </c>
      <c r="AQ44" s="498"/>
    </row>
    <row r="45" spans="1:43" s="481" customFormat="1" ht="18" customHeight="1">
      <c r="A45" s="506" t="s">
        <v>998</v>
      </c>
      <c r="B45" s="353">
        <v>1730</v>
      </c>
      <c r="C45" s="353">
        <v>1639</v>
      </c>
      <c r="D45" s="353">
        <v>1390</v>
      </c>
      <c r="E45" s="466">
        <v>325</v>
      </c>
      <c r="F45" s="353"/>
      <c r="G45" s="353"/>
      <c r="H45" s="353"/>
      <c r="I45" s="353">
        <v>271</v>
      </c>
      <c r="J45" s="352"/>
      <c r="K45" s="353"/>
      <c r="L45" s="353"/>
      <c r="M45" s="466"/>
      <c r="N45" s="353"/>
      <c r="O45" s="353"/>
      <c r="P45" s="353"/>
      <c r="Q45" s="466"/>
      <c r="R45" s="353"/>
      <c r="S45" s="353"/>
      <c r="T45" s="353"/>
      <c r="U45" s="466"/>
      <c r="V45" s="353"/>
      <c r="W45" s="353"/>
      <c r="X45" s="353"/>
      <c r="Y45" s="353"/>
      <c r="Z45" s="352"/>
      <c r="AA45" s="353"/>
      <c r="AB45" s="466"/>
      <c r="AC45" s="353"/>
      <c r="AD45" s="353"/>
      <c r="AE45" s="353"/>
      <c r="AF45" s="466"/>
      <c r="AG45" s="353"/>
      <c r="AH45" s="353"/>
      <c r="AI45" s="353"/>
      <c r="AJ45" s="352"/>
      <c r="AK45" s="353"/>
      <c r="AL45" s="466"/>
      <c r="AM45" s="353">
        <f t="shared" si="17"/>
        <v>1730</v>
      </c>
      <c r="AN45" s="353">
        <f t="shared" si="15"/>
        <v>1639</v>
      </c>
      <c r="AO45" s="353">
        <f t="shared" si="17"/>
        <v>1390</v>
      </c>
      <c r="AP45" s="466">
        <f t="shared" si="16"/>
        <v>596</v>
      </c>
      <c r="AQ45" s="498"/>
    </row>
    <row r="46" spans="1:43" s="481" customFormat="1" ht="18" customHeight="1">
      <c r="A46" s="506" t="s">
        <v>999</v>
      </c>
      <c r="B46" s="353">
        <v>1683</v>
      </c>
      <c r="C46" s="353">
        <v>1552</v>
      </c>
      <c r="D46" s="353">
        <v>1433</v>
      </c>
      <c r="E46" s="466"/>
      <c r="F46" s="353">
        <v>1076</v>
      </c>
      <c r="G46" s="353">
        <v>852</v>
      </c>
      <c r="H46" s="353">
        <v>833</v>
      </c>
      <c r="I46" s="353"/>
      <c r="J46" s="352"/>
      <c r="K46" s="353"/>
      <c r="L46" s="353"/>
      <c r="M46" s="466"/>
      <c r="N46" s="353"/>
      <c r="O46" s="353"/>
      <c r="P46" s="353"/>
      <c r="Q46" s="466"/>
      <c r="R46" s="353"/>
      <c r="S46" s="353"/>
      <c r="T46" s="353"/>
      <c r="U46" s="466"/>
      <c r="V46" s="353"/>
      <c r="W46" s="353"/>
      <c r="X46" s="353"/>
      <c r="Y46" s="353"/>
      <c r="Z46" s="352"/>
      <c r="AA46" s="353"/>
      <c r="AB46" s="466"/>
      <c r="AC46" s="353"/>
      <c r="AD46" s="353"/>
      <c r="AE46" s="353"/>
      <c r="AF46" s="466"/>
      <c r="AG46" s="353"/>
      <c r="AH46" s="353"/>
      <c r="AI46" s="353"/>
      <c r="AJ46" s="352"/>
      <c r="AK46" s="353"/>
      <c r="AL46" s="466"/>
      <c r="AM46" s="353">
        <f t="shared" ref="AM46:AM48" si="18">+N46+J46+F46+B46</f>
        <v>2759</v>
      </c>
      <c r="AN46" s="353">
        <f t="shared" si="15"/>
        <v>2404</v>
      </c>
      <c r="AO46" s="353">
        <f t="shared" ref="AO46:AO48" si="19">+P46+L46+H46+D46</f>
        <v>2266</v>
      </c>
      <c r="AP46" s="466">
        <f t="shared" si="16"/>
        <v>0</v>
      </c>
      <c r="AQ46" s="498"/>
    </row>
    <row r="47" spans="1:43" s="481" customFormat="1" ht="18" customHeight="1">
      <c r="A47" s="506" t="s">
        <v>1000</v>
      </c>
      <c r="B47" s="353">
        <v>440</v>
      </c>
      <c r="C47" s="353">
        <v>286</v>
      </c>
      <c r="D47" s="353">
        <v>299</v>
      </c>
      <c r="E47" s="466"/>
      <c r="F47" s="353"/>
      <c r="G47" s="353"/>
      <c r="H47" s="353"/>
      <c r="I47" s="353"/>
      <c r="J47" s="352"/>
      <c r="K47" s="353"/>
      <c r="L47" s="353"/>
      <c r="M47" s="466"/>
      <c r="N47" s="353"/>
      <c r="O47" s="353"/>
      <c r="P47" s="353"/>
      <c r="Q47" s="466"/>
      <c r="R47" s="353"/>
      <c r="S47" s="353"/>
      <c r="T47" s="353"/>
      <c r="U47" s="466"/>
      <c r="V47" s="353"/>
      <c r="W47" s="353"/>
      <c r="X47" s="353"/>
      <c r="Y47" s="353"/>
      <c r="Z47" s="352">
        <v>358</v>
      </c>
      <c r="AA47" s="353"/>
      <c r="AB47" s="466"/>
      <c r="AC47" s="353"/>
      <c r="AD47" s="353"/>
      <c r="AE47" s="353"/>
      <c r="AF47" s="466"/>
      <c r="AG47" s="353"/>
      <c r="AH47" s="353"/>
      <c r="AI47" s="353"/>
      <c r="AJ47" s="352"/>
      <c r="AK47" s="353"/>
      <c r="AL47" s="466"/>
      <c r="AM47" s="353">
        <f t="shared" si="18"/>
        <v>440</v>
      </c>
      <c r="AN47" s="353">
        <f t="shared" si="15"/>
        <v>644</v>
      </c>
      <c r="AO47" s="353">
        <f t="shared" si="19"/>
        <v>299</v>
      </c>
      <c r="AP47" s="466">
        <f t="shared" si="16"/>
        <v>0</v>
      </c>
      <c r="AQ47" s="498"/>
    </row>
    <row r="48" spans="1:43" s="481" customFormat="1" ht="18" customHeight="1">
      <c r="A48" s="506" t="s">
        <v>1001</v>
      </c>
      <c r="B48" s="353">
        <v>228</v>
      </c>
      <c r="C48" s="353">
        <v>272</v>
      </c>
      <c r="D48" s="353">
        <v>423</v>
      </c>
      <c r="E48" s="466">
        <v>175</v>
      </c>
      <c r="F48" s="353"/>
      <c r="G48" s="353"/>
      <c r="H48" s="353"/>
      <c r="I48" s="353"/>
      <c r="J48" s="352"/>
      <c r="K48" s="353"/>
      <c r="L48" s="353"/>
      <c r="M48" s="466"/>
      <c r="N48" s="353"/>
      <c r="O48" s="353"/>
      <c r="P48" s="353"/>
      <c r="Q48" s="466"/>
      <c r="R48" s="353"/>
      <c r="S48" s="353"/>
      <c r="T48" s="353"/>
      <c r="U48" s="466"/>
      <c r="V48" s="353"/>
      <c r="W48" s="353"/>
      <c r="X48" s="353"/>
      <c r="Y48" s="353"/>
      <c r="Z48" s="352"/>
      <c r="AA48" s="353"/>
      <c r="AB48" s="466"/>
      <c r="AC48" s="353"/>
      <c r="AD48" s="353"/>
      <c r="AE48" s="353"/>
      <c r="AF48" s="466"/>
      <c r="AG48" s="353"/>
      <c r="AH48" s="353"/>
      <c r="AI48" s="353"/>
      <c r="AJ48" s="352"/>
      <c r="AK48" s="353"/>
      <c r="AL48" s="466"/>
      <c r="AM48" s="353">
        <f t="shared" si="18"/>
        <v>228</v>
      </c>
      <c r="AN48" s="353">
        <f t="shared" si="15"/>
        <v>272</v>
      </c>
      <c r="AO48" s="353">
        <f t="shared" si="19"/>
        <v>423</v>
      </c>
      <c r="AP48" s="466">
        <f t="shared" si="16"/>
        <v>175</v>
      </c>
      <c r="AQ48" s="498"/>
    </row>
    <row r="49" spans="1:43" s="481" customFormat="1" ht="18" customHeight="1">
      <c r="A49" s="508" t="s">
        <v>1002</v>
      </c>
      <c r="B49" s="357">
        <v>760</v>
      </c>
      <c r="C49" s="357">
        <v>726</v>
      </c>
      <c r="D49" s="357">
        <v>1048</v>
      </c>
      <c r="E49" s="509">
        <v>288</v>
      </c>
      <c r="F49" s="357">
        <v>157</v>
      </c>
      <c r="G49" s="357">
        <v>208</v>
      </c>
      <c r="H49" s="357">
        <v>128</v>
      </c>
      <c r="I49" s="509">
        <v>27</v>
      </c>
      <c r="J49" s="356"/>
      <c r="K49" s="357"/>
      <c r="L49" s="357"/>
      <c r="M49" s="509"/>
      <c r="N49" s="357"/>
      <c r="O49" s="357"/>
      <c r="P49" s="357"/>
      <c r="Q49" s="509"/>
      <c r="R49" s="357"/>
      <c r="S49" s="357"/>
      <c r="T49" s="357"/>
      <c r="U49" s="509"/>
      <c r="V49" s="357"/>
      <c r="W49" s="357"/>
      <c r="X49" s="357"/>
      <c r="Y49" s="357"/>
      <c r="Z49" s="356">
        <v>149</v>
      </c>
      <c r="AA49" s="357"/>
      <c r="AB49" s="509"/>
      <c r="AC49" s="357"/>
      <c r="AD49" s="357"/>
      <c r="AE49" s="357"/>
      <c r="AF49" s="509"/>
      <c r="AG49" s="357"/>
      <c r="AH49" s="357"/>
      <c r="AI49" s="357"/>
      <c r="AJ49" s="356"/>
      <c r="AK49" s="357"/>
      <c r="AL49" s="509"/>
      <c r="AM49" s="357">
        <f>+N49+J49+F49+B49</f>
        <v>917</v>
      </c>
      <c r="AN49" s="357">
        <f t="shared" si="15"/>
        <v>1083</v>
      </c>
      <c r="AO49" s="357">
        <f>+P49+L49+H49+D49+Z49</f>
        <v>1325</v>
      </c>
      <c r="AP49" s="509">
        <f t="shared" si="16"/>
        <v>315</v>
      </c>
      <c r="AQ49" s="498"/>
    </row>
    <row r="50" spans="1:43">
      <c r="B50" s="486"/>
      <c r="C50" s="486"/>
      <c r="D50" s="486"/>
      <c r="E50" s="486"/>
      <c r="F50" s="486"/>
      <c r="G50" s="486"/>
      <c r="H50" s="372"/>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row>
    <row r="51" spans="1:43">
      <c r="B51" s="486"/>
      <c r="C51" s="486"/>
      <c r="D51" s="486"/>
      <c r="E51" s="486"/>
      <c r="F51" s="486"/>
      <c r="G51" s="486"/>
      <c r="H51" s="372"/>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6"/>
      <c r="AN51" s="486"/>
      <c r="AO51" s="486"/>
      <c r="AP51" s="486"/>
      <c r="AQ51" s="486"/>
    </row>
    <row r="52" spans="1:43">
      <c r="B52" s="486"/>
      <c r="C52" s="486"/>
      <c r="D52" s="486"/>
      <c r="E52" s="486"/>
      <c r="F52" s="486"/>
      <c r="G52" s="486"/>
      <c r="H52" s="372"/>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c r="AG52" s="486"/>
      <c r="AH52" s="486"/>
      <c r="AI52" s="486"/>
      <c r="AJ52" s="486"/>
      <c r="AK52" s="486"/>
      <c r="AL52" s="486"/>
      <c r="AM52" s="486"/>
      <c r="AN52" s="486"/>
      <c r="AO52" s="486"/>
      <c r="AP52" s="486"/>
      <c r="AQ52" s="486"/>
    </row>
    <row r="53" spans="1:43">
      <c r="B53" s="486"/>
      <c r="C53" s="486"/>
      <c r="D53" s="486"/>
      <c r="E53" s="486"/>
      <c r="F53" s="486"/>
      <c r="G53" s="486"/>
      <c r="H53" s="372"/>
      <c r="I53" s="486"/>
      <c r="J53" s="486"/>
      <c r="K53" s="486"/>
      <c r="L53" s="486"/>
      <c r="M53" s="486"/>
      <c r="N53" s="486"/>
      <c r="O53" s="486"/>
      <c r="P53" s="486"/>
      <c r="Q53" s="486"/>
      <c r="R53" s="486"/>
      <c r="S53" s="486"/>
      <c r="T53" s="486"/>
      <c r="U53" s="486"/>
      <c r="V53" s="486"/>
      <c r="W53" s="486"/>
      <c r="X53" s="486"/>
      <c r="Y53" s="486"/>
      <c r="Z53" s="486"/>
      <c r="AA53" s="486"/>
      <c r="AB53" s="486"/>
      <c r="AC53" s="486"/>
      <c r="AD53" s="486"/>
      <c r="AE53" s="486"/>
      <c r="AF53" s="486"/>
      <c r="AG53" s="486"/>
      <c r="AH53" s="486"/>
      <c r="AI53" s="486"/>
      <c r="AJ53" s="486"/>
      <c r="AK53" s="486"/>
      <c r="AL53" s="486"/>
      <c r="AM53" s="486"/>
      <c r="AN53" s="486"/>
      <c r="AO53" s="486"/>
      <c r="AP53" s="486"/>
      <c r="AQ53" s="486"/>
    </row>
    <row r="54" spans="1:43">
      <c r="B54" s="486"/>
      <c r="C54" s="486"/>
      <c r="D54" s="486"/>
      <c r="E54" s="486"/>
      <c r="F54" s="486"/>
      <c r="G54" s="486"/>
      <c r="H54" s="372"/>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c r="AO54" s="486"/>
      <c r="AP54" s="486"/>
      <c r="AQ54" s="486"/>
    </row>
    <row r="55" spans="1:43">
      <c r="B55" s="486"/>
      <c r="C55" s="486"/>
      <c r="D55" s="486"/>
      <c r="E55" s="486"/>
      <c r="F55" s="486"/>
      <c r="G55" s="486"/>
      <c r="H55" s="372"/>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c r="AO55" s="486"/>
      <c r="AP55" s="486"/>
      <c r="AQ55" s="486"/>
    </row>
    <row r="56" spans="1:43">
      <c r="B56" s="483"/>
      <c r="C56" s="483"/>
      <c r="D56" s="483"/>
      <c r="E56" s="483"/>
      <c r="F56" s="483"/>
      <c r="G56" s="483"/>
      <c r="H56" s="408"/>
      <c r="I56" s="483"/>
      <c r="J56" s="483"/>
      <c r="K56" s="483"/>
      <c r="L56" s="483"/>
      <c r="M56" s="483"/>
      <c r="N56" s="483"/>
      <c r="O56" s="483"/>
      <c r="P56" s="483"/>
      <c r="Q56" s="483"/>
      <c r="R56" s="483"/>
      <c r="S56" s="483"/>
      <c r="T56" s="483"/>
      <c r="U56" s="483"/>
      <c r="V56" s="483"/>
      <c r="W56" s="483"/>
      <c r="X56" s="483"/>
      <c r="Y56" s="483"/>
      <c r="Z56" s="483"/>
      <c r="AA56" s="483"/>
      <c r="AB56" s="483"/>
      <c r="AC56" s="483"/>
      <c r="AD56" s="483"/>
      <c r="AE56" s="483"/>
      <c r="AF56" s="483"/>
      <c r="AG56" s="483"/>
      <c r="AH56" s="483"/>
      <c r="AI56" s="483"/>
      <c r="AJ56" s="483"/>
      <c r="AK56" s="483"/>
      <c r="AL56" s="483"/>
      <c r="AM56" s="483"/>
      <c r="AN56" s="483"/>
      <c r="AO56" s="483"/>
      <c r="AP56" s="483"/>
      <c r="AQ56" s="483"/>
    </row>
    <row r="57" spans="1:43">
      <c r="B57" s="483"/>
      <c r="C57" s="483"/>
      <c r="D57" s="483"/>
      <c r="E57" s="483"/>
      <c r="F57" s="483"/>
      <c r="G57" s="483"/>
      <c r="H57" s="408"/>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483"/>
      <c r="AM57" s="483"/>
      <c r="AN57" s="483"/>
      <c r="AO57" s="483"/>
      <c r="AP57" s="483"/>
      <c r="AQ57" s="483"/>
    </row>
    <row r="58" spans="1:43">
      <c r="B58" s="483"/>
      <c r="C58" s="483"/>
      <c r="D58" s="483"/>
      <c r="E58" s="483"/>
      <c r="F58" s="483"/>
      <c r="G58" s="483"/>
      <c r="H58" s="408"/>
      <c r="I58" s="483"/>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row>
    <row r="59" spans="1:43">
      <c r="B59" s="483"/>
      <c r="C59" s="483"/>
      <c r="D59" s="483"/>
      <c r="E59" s="483"/>
      <c r="F59" s="483"/>
      <c r="G59" s="483"/>
      <c r="H59" s="408"/>
      <c r="I59" s="483"/>
      <c r="J59" s="483"/>
      <c r="K59" s="483"/>
      <c r="L59" s="483"/>
      <c r="M59" s="483"/>
      <c r="N59" s="483"/>
      <c r="O59" s="483"/>
      <c r="P59" s="483"/>
      <c r="Q59" s="483"/>
      <c r="R59" s="483"/>
      <c r="S59" s="483"/>
      <c r="T59" s="483"/>
      <c r="U59" s="483"/>
      <c r="V59" s="483"/>
      <c r="W59" s="483"/>
      <c r="X59" s="483"/>
      <c r="Y59" s="483"/>
      <c r="Z59" s="483"/>
      <c r="AA59" s="483"/>
      <c r="AB59" s="483"/>
      <c r="AC59" s="483"/>
      <c r="AD59" s="483"/>
      <c r="AE59" s="483"/>
      <c r="AF59" s="483"/>
      <c r="AG59" s="483"/>
      <c r="AH59" s="483"/>
      <c r="AI59" s="483"/>
      <c r="AJ59" s="483"/>
      <c r="AK59" s="483"/>
      <c r="AL59" s="483"/>
      <c r="AM59" s="483"/>
      <c r="AN59" s="483"/>
      <c r="AO59" s="483"/>
      <c r="AP59" s="483"/>
      <c r="AQ59" s="483"/>
    </row>
    <row r="60" spans="1:43">
      <c r="B60" s="483"/>
      <c r="C60" s="483"/>
      <c r="D60" s="483"/>
      <c r="E60" s="483"/>
      <c r="F60" s="483"/>
      <c r="G60" s="483"/>
      <c r="H60" s="408"/>
      <c r="I60" s="483"/>
      <c r="J60" s="483"/>
      <c r="K60" s="483"/>
      <c r="L60" s="483"/>
      <c r="M60" s="483"/>
      <c r="N60" s="483"/>
      <c r="O60" s="483"/>
      <c r="P60" s="483"/>
      <c r="Q60" s="483"/>
      <c r="R60" s="483"/>
      <c r="S60" s="483"/>
      <c r="T60" s="483"/>
      <c r="U60" s="483"/>
      <c r="V60" s="483"/>
      <c r="W60" s="483"/>
      <c r="X60" s="483"/>
      <c r="Y60" s="483"/>
      <c r="Z60" s="483"/>
      <c r="AA60" s="483"/>
      <c r="AB60" s="483"/>
      <c r="AC60" s="483"/>
      <c r="AD60" s="483"/>
      <c r="AE60" s="483"/>
      <c r="AF60" s="483"/>
      <c r="AG60" s="483"/>
      <c r="AH60" s="483"/>
      <c r="AI60" s="483"/>
      <c r="AJ60" s="483"/>
      <c r="AK60" s="483"/>
      <c r="AL60" s="483"/>
      <c r="AM60" s="483"/>
      <c r="AN60" s="483"/>
      <c r="AO60" s="483"/>
      <c r="AP60" s="483"/>
      <c r="AQ60" s="483"/>
    </row>
    <row r="61" spans="1:43">
      <c r="B61" s="483"/>
      <c r="C61" s="483"/>
      <c r="D61" s="483"/>
      <c r="E61" s="483"/>
      <c r="F61" s="483"/>
      <c r="G61" s="483"/>
      <c r="H61" s="408"/>
      <c r="I61" s="483"/>
      <c r="J61" s="483"/>
      <c r="K61" s="483"/>
      <c r="L61" s="483"/>
      <c r="M61" s="483"/>
      <c r="N61" s="483"/>
      <c r="O61" s="483"/>
      <c r="P61" s="483"/>
      <c r="Q61" s="483"/>
      <c r="R61" s="483"/>
      <c r="S61" s="483"/>
      <c r="T61" s="483"/>
      <c r="U61" s="483"/>
      <c r="V61" s="483"/>
      <c r="W61" s="483"/>
      <c r="X61" s="483"/>
      <c r="Y61" s="483"/>
      <c r="Z61" s="483"/>
      <c r="AA61" s="483"/>
      <c r="AB61" s="483"/>
      <c r="AC61" s="483"/>
      <c r="AD61" s="483"/>
      <c r="AE61" s="483"/>
      <c r="AF61" s="483"/>
      <c r="AG61" s="483"/>
      <c r="AH61" s="483"/>
      <c r="AI61" s="483"/>
      <c r="AJ61" s="483"/>
      <c r="AK61" s="483"/>
      <c r="AL61" s="483"/>
      <c r="AM61" s="483"/>
      <c r="AN61" s="483"/>
      <c r="AO61" s="483"/>
      <c r="AP61" s="483"/>
      <c r="AQ61" s="483"/>
    </row>
    <row r="62" spans="1:43">
      <c r="B62" s="483"/>
      <c r="C62" s="483"/>
      <c r="D62" s="483"/>
      <c r="E62" s="483"/>
      <c r="F62" s="483"/>
      <c r="G62" s="483"/>
      <c r="H62" s="408"/>
      <c r="I62" s="483"/>
      <c r="J62" s="483"/>
      <c r="K62" s="483"/>
      <c r="L62" s="483"/>
      <c r="M62" s="483"/>
      <c r="N62" s="483"/>
      <c r="O62" s="483"/>
      <c r="P62" s="483"/>
      <c r="Q62" s="483"/>
      <c r="R62" s="483"/>
      <c r="S62" s="483"/>
      <c r="T62" s="483"/>
      <c r="U62" s="483"/>
      <c r="V62" s="483"/>
      <c r="W62" s="483"/>
      <c r="X62" s="483"/>
      <c r="Y62" s="483"/>
      <c r="Z62" s="483"/>
      <c r="AA62" s="483"/>
      <c r="AB62" s="483"/>
      <c r="AC62" s="483"/>
      <c r="AD62" s="483"/>
      <c r="AE62" s="483"/>
      <c r="AF62" s="483"/>
      <c r="AG62" s="483"/>
      <c r="AH62" s="483"/>
      <c r="AI62" s="483"/>
      <c r="AJ62" s="483"/>
      <c r="AK62" s="483"/>
      <c r="AL62" s="483"/>
      <c r="AM62" s="483"/>
      <c r="AN62" s="483"/>
      <c r="AO62" s="483"/>
      <c r="AP62" s="483"/>
      <c r="AQ62" s="483"/>
    </row>
    <row r="63" spans="1:43">
      <c r="B63" s="483"/>
      <c r="C63" s="483"/>
      <c r="D63" s="483"/>
      <c r="E63" s="483"/>
      <c r="F63" s="483"/>
      <c r="G63" s="483"/>
      <c r="H63" s="408"/>
      <c r="I63" s="483"/>
      <c r="J63" s="483"/>
      <c r="K63" s="483"/>
      <c r="L63" s="483"/>
      <c r="M63" s="483"/>
      <c r="N63" s="483"/>
      <c r="O63" s="483"/>
      <c r="P63" s="483"/>
      <c r="Q63" s="483"/>
      <c r="R63" s="483"/>
      <c r="S63" s="483"/>
      <c r="T63" s="483"/>
      <c r="U63" s="483"/>
      <c r="V63" s="483"/>
      <c r="W63" s="483"/>
      <c r="X63" s="483"/>
      <c r="Y63" s="483"/>
      <c r="Z63" s="483"/>
      <c r="AA63" s="483"/>
      <c r="AB63" s="483"/>
      <c r="AC63" s="483"/>
      <c r="AD63" s="483"/>
      <c r="AE63" s="483"/>
      <c r="AF63" s="483"/>
      <c r="AG63" s="483"/>
      <c r="AH63" s="483"/>
      <c r="AI63" s="483"/>
      <c r="AJ63" s="483"/>
      <c r="AK63" s="483"/>
      <c r="AL63" s="483"/>
      <c r="AM63" s="483"/>
      <c r="AN63" s="483"/>
      <c r="AO63" s="483"/>
      <c r="AP63" s="483"/>
      <c r="AQ63" s="483"/>
    </row>
    <row r="64" spans="1:43">
      <c r="B64" s="483"/>
      <c r="C64" s="483"/>
      <c r="D64" s="483"/>
      <c r="E64" s="483"/>
      <c r="F64" s="483"/>
      <c r="G64" s="483"/>
      <c r="H64" s="408"/>
      <c r="I64" s="483"/>
      <c r="J64" s="483"/>
      <c r="K64" s="483"/>
      <c r="L64" s="483"/>
      <c r="M64" s="483"/>
      <c r="N64" s="483"/>
      <c r="O64" s="483"/>
      <c r="P64" s="483"/>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row>
    <row r="65" spans="2:43">
      <c r="B65" s="483"/>
      <c r="C65" s="483"/>
      <c r="D65" s="483"/>
      <c r="E65" s="483"/>
      <c r="F65" s="483"/>
      <c r="G65" s="483"/>
      <c r="H65" s="408"/>
      <c r="I65" s="483"/>
      <c r="J65" s="483"/>
      <c r="K65" s="483"/>
      <c r="L65" s="483"/>
      <c r="M65" s="483"/>
      <c r="N65" s="483"/>
      <c r="O65" s="483"/>
      <c r="P65" s="483"/>
      <c r="Q65" s="483"/>
      <c r="R65" s="483"/>
      <c r="S65" s="483"/>
      <c r="T65" s="483"/>
      <c r="U65" s="483"/>
      <c r="V65" s="483"/>
      <c r="W65" s="483"/>
      <c r="X65" s="483"/>
      <c r="Y65" s="483"/>
      <c r="Z65" s="483"/>
      <c r="AA65" s="483"/>
      <c r="AB65" s="483"/>
      <c r="AC65" s="483"/>
      <c r="AD65" s="483"/>
      <c r="AE65" s="483"/>
      <c r="AF65" s="483"/>
      <c r="AG65" s="483"/>
      <c r="AH65" s="483"/>
      <c r="AI65" s="483"/>
      <c r="AJ65" s="483"/>
      <c r="AK65" s="483"/>
      <c r="AL65" s="483"/>
      <c r="AM65" s="483"/>
      <c r="AN65" s="483"/>
      <c r="AO65" s="483"/>
      <c r="AP65" s="483"/>
      <c r="AQ65" s="483"/>
    </row>
    <row r="66" spans="2:43">
      <c r="B66" s="483"/>
      <c r="C66" s="483"/>
      <c r="D66" s="483"/>
      <c r="E66" s="483"/>
      <c r="F66" s="483"/>
      <c r="G66" s="483"/>
      <c r="H66" s="408"/>
      <c r="I66" s="483"/>
      <c r="J66" s="483"/>
      <c r="K66" s="483"/>
      <c r="L66" s="483"/>
      <c r="M66" s="483"/>
      <c r="N66" s="483"/>
      <c r="O66" s="483"/>
      <c r="P66" s="483"/>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row>
    <row r="67" spans="2:43">
      <c r="B67" s="483"/>
      <c r="C67" s="483"/>
      <c r="D67" s="483"/>
      <c r="E67" s="483"/>
      <c r="F67" s="483"/>
      <c r="G67" s="483"/>
      <c r="H67" s="408"/>
      <c r="I67" s="483"/>
      <c r="J67" s="483"/>
      <c r="K67" s="483"/>
      <c r="L67" s="483"/>
      <c r="M67" s="483"/>
      <c r="N67" s="483"/>
      <c r="O67" s="483"/>
      <c r="P67" s="483"/>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row>
    <row r="68" spans="2:43">
      <c r="B68" s="483"/>
      <c r="C68" s="483"/>
      <c r="D68" s="483"/>
      <c r="E68" s="483"/>
      <c r="F68" s="483"/>
      <c r="G68" s="483"/>
      <c r="H68" s="408"/>
      <c r="I68" s="483"/>
      <c r="J68" s="483"/>
      <c r="K68" s="483"/>
      <c r="L68" s="483"/>
      <c r="M68" s="483"/>
      <c r="N68" s="483"/>
      <c r="O68" s="483"/>
      <c r="P68" s="483"/>
      <c r="Q68" s="483"/>
      <c r="R68" s="483"/>
      <c r="S68" s="483"/>
      <c r="T68" s="483"/>
      <c r="U68" s="483"/>
      <c r="V68" s="483"/>
      <c r="W68" s="483"/>
      <c r="X68" s="483"/>
      <c r="Y68" s="483"/>
      <c r="Z68" s="483"/>
      <c r="AA68" s="483"/>
      <c r="AB68" s="483"/>
      <c r="AC68" s="483"/>
      <c r="AD68" s="483"/>
      <c r="AE68" s="483"/>
      <c r="AF68" s="483"/>
      <c r="AG68" s="483"/>
      <c r="AH68" s="483"/>
      <c r="AI68" s="483"/>
      <c r="AJ68" s="483"/>
      <c r="AK68" s="483"/>
      <c r="AL68" s="483"/>
      <c r="AM68" s="483"/>
      <c r="AN68" s="483"/>
      <c r="AO68" s="483"/>
      <c r="AP68" s="483"/>
      <c r="AQ68" s="483"/>
    </row>
    <row r="69" spans="2:43">
      <c r="B69" s="483"/>
      <c r="C69" s="483"/>
      <c r="D69" s="483"/>
      <c r="E69" s="483"/>
      <c r="F69" s="483"/>
      <c r="G69" s="483"/>
      <c r="H69" s="408"/>
      <c r="I69" s="483"/>
      <c r="J69" s="483"/>
      <c r="K69" s="483"/>
      <c r="L69" s="483"/>
      <c r="M69" s="483"/>
      <c r="N69" s="483"/>
      <c r="O69" s="483"/>
      <c r="P69" s="483"/>
      <c r="Q69" s="483"/>
      <c r="R69" s="483"/>
      <c r="S69" s="483"/>
      <c r="T69" s="483"/>
      <c r="U69" s="483"/>
      <c r="V69" s="483"/>
      <c r="W69" s="483"/>
      <c r="X69" s="483"/>
      <c r="Y69" s="483"/>
      <c r="Z69" s="483"/>
      <c r="AA69" s="483"/>
      <c r="AB69" s="483"/>
      <c r="AC69" s="483"/>
      <c r="AD69" s="483"/>
      <c r="AE69" s="483"/>
      <c r="AF69" s="483"/>
      <c r="AG69" s="483"/>
      <c r="AH69" s="483"/>
      <c r="AI69" s="483"/>
      <c r="AJ69" s="483"/>
      <c r="AK69" s="483"/>
      <c r="AL69" s="483"/>
      <c r="AM69" s="483"/>
      <c r="AN69" s="483"/>
      <c r="AO69" s="483"/>
      <c r="AP69" s="483"/>
      <c r="AQ69" s="483"/>
    </row>
    <row r="70" spans="2:43">
      <c r="B70" s="483"/>
      <c r="C70" s="483"/>
      <c r="D70" s="483"/>
      <c r="E70" s="483"/>
      <c r="F70" s="483"/>
      <c r="G70" s="483"/>
      <c r="H70" s="408"/>
      <c r="I70" s="483"/>
      <c r="J70" s="483"/>
      <c r="K70" s="483"/>
      <c r="L70" s="483"/>
      <c r="M70" s="483"/>
      <c r="N70" s="483"/>
      <c r="O70" s="483"/>
      <c r="P70" s="483"/>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row>
    <row r="71" spans="2:43">
      <c r="B71" s="483"/>
      <c r="C71" s="483"/>
      <c r="D71" s="483"/>
      <c r="E71" s="483"/>
      <c r="F71" s="483"/>
      <c r="G71" s="483"/>
      <c r="H71" s="408"/>
      <c r="I71" s="483"/>
      <c r="J71" s="483"/>
      <c r="K71" s="483"/>
      <c r="L71" s="483"/>
      <c r="M71" s="483"/>
      <c r="N71" s="483"/>
      <c r="O71" s="483"/>
      <c r="P71" s="483"/>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row>
    <row r="72" spans="2:43">
      <c r="B72" s="483"/>
      <c r="C72" s="483"/>
      <c r="D72" s="483"/>
      <c r="E72" s="483"/>
      <c r="F72" s="483"/>
      <c r="G72" s="483"/>
      <c r="H72" s="408"/>
      <c r="I72" s="483"/>
      <c r="J72" s="483"/>
      <c r="K72" s="483"/>
      <c r="L72" s="483"/>
      <c r="M72" s="483"/>
      <c r="N72" s="483"/>
      <c r="O72" s="483"/>
      <c r="P72" s="483"/>
      <c r="Q72" s="483"/>
      <c r="R72" s="483"/>
      <c r="S72" s="483"/>
      <c r="T72" s="483"/>
      <c r="U72" s="483"/>
      <c r="V72" s="483"/>
      <c r="W72" s="483"/>
      <c r="X72" s="483"/>
      <c r="Y72" s="483"/>
      <c r="Z72" s="483"/>
      <c r="AA72" s="483"/>
      <c r="AB72" s="483"/>
      <c r="AC72" s="483"/>
      <c r="AD72" s="483"/>
      <c r="AE72" s="483"/>
      <c r="AF72" s="483"/>
      <c r="AG72" s="483"/>
      <c r="AH72" s="483"/>
      <c r="AI72" s="483"/>
      <c r="AJ72" s="483"/>
      <c r="AK72" s="483"/>
      <c r="AL72" s="483"/>
      <c r="AM72" s="483"/>
      <c r="AN72" s="483"/>
      <c r="AO72" s="483"/>
      <c r="AP72" s="483"/>
      <c r="AQ72" s="483"/>
    </row>
    <row r="73" spans="2:43">
      <c r="B73" s="483"/>
      <c r="C73" s="483"/>
      <c r="D73" s="483"/>
      <c r="E73" s="483"/>
      <c r="F73" s="483"/>
      <c r="G73" s="483"/>
      <c r="H73" s="408"/>
      <c r="I73" s="483"/>
      <c r="J73" s="483"/>
      <c r="K73" s="483"/>
      <c r="L73" s="483"/>
      <c r="M73" s="483"/>
      <c r="N73" s="483"/>
      <c r="O73" s="483"/>
      <c r="P73" s="483"/>
      <c r="Q73" s="483"/>
      <c r="R73" s="483"/>
      <c r="S73" s="483"/>
      <c r="T73" s="483"/>
      <c r="U73" s="483"/>
      <c r="V73" s="483"/>
      <c r="W73" s="483"/>
      <c r="X73" s="483"/>
      <c r="Y73" s="483"/>
      <c r="Z73" s="483"/>
      <c r="AA73" s="483"/>
      <c r="AB73" s="483"/>
      <c r="AC73" s="483"/>
      <c r="AD73" s="483"/>
      <c r="AE73" s="483"/>
      <c r="AF73" s="483"/>
      <c r="AG73" s="483"/>
      <c r="AH73" s="483"/>
      <c r="AI73" s="483"/>
      <c r="AJ73" s="483"/>
      <c r="AK73" s="483"/>
      <c r="AL73" s="483"/>
      <c r="AM73" s="483"/>
      <c r="AN73" s="483"/>
      <c r="AO73" s="483"/>
      <c r="AP73" s="483"/>
      <c r="AQ73" s="483"/>
    </row>
    <row r="74" spans="2:43">
      <c r="B74" s="483"/>
      <c r="C74" s="483"/>
      <c r="D74" s="483"/>
      <c r="E74" s="483"/>
      <c r="F74" s="483"/>
      <c r="G74" s="483"/>
      <c r="H74" s="408"/>
      <c r="I74" s="483"/>
      <c r="J74" s="483"/>
      <c r="K74" s="483"/>
      <c r="L74" s="483"/>
      <c r="M74" s="483"/>
      <c r="N74" s="483"/>
      <c r="O74" s="483"/>
      <c r="P74" s="483"/>
      <c r="Q74" s="483"/>
      <c r="R74" s="483"/>
      <c r="S74" s="483"/>
      <c r="T74" s="483"/>
      <c r="U74" s="483"/>
      <c r="V74" s="483"/>
      <c r="W74" s="483"/>
      <c r="X74" s="483"/>
      <c r="Y74" s="483"/>
      <c r="Z74" s="483"/>
      <c r="AA74" s="483"/>
      <c r="AB74" s="483"/>
      <c r="AC74" s="483"/>
      <c r="AD74" s="483"/>
      <c r="AE74" s="483"/>
      <c r="AF74" s="483"/>
      <c r="AG74" s="483"/>
      <c r="AH74" s="483"/>
      <c r="AI74" s="483"/>
      <c r="AJ74" s="483"/>
      <c r="AK74" s="483"/>
      <c r="AL74" s="483"/>
      <c r="AM74" s="483"/>
      <c r="AN74" s="483"/>
      <c r="AO74" s="483"/>
      <c r="AP74" s="483"/>
      <c r="AQ74" s="483"/>
    </row>
    <row r="75" spans="2:43">
      <c r="B75" s="483"/>
      <c r="C75" s="483"/>
      <c r="D75" s="483"/>
      <c r="E75" s="483"/>
      <c r="F75" s="483"/>
      <c r="G75" s="483"/>
      <c r="H75" s="408"/>
      <c r="I75" s="483"/>
      <c r="J75" s="483"/>
      <c r="K75" s="483"/>
      <c r="L75" s="483"/>
      <c r="M75" s="483"/>
      <c r="N75" s="483"/>
      <c r="O75" s="483"/>
      <c r="P75" s="483"/>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row>
    <row r="76" spans="2:43">
      <c r="B76" s="483"/>
      <c r="C76" s="483"/>
      <c r="D76" s="483"/>
      <c r="E76" s="483"/>
      <c r="F76" s="483"/>
      <c r="G76" s="483"/>
      <c r="H76" s="408"/>
      <c r="I76" s="483"/>
      <c r="J76" s="483"/>
      <c r="K76" s="483"/>
      <c r="L76" s="483"/>
      <c r="M76" s="483"/>
      <c r="N76" s="483"/>
      <c r="O76" s="483"/>
      <c r="P76" s="483"/>
      <c r="Q76" s="483"/>
      <c r="R76" s="483"/>
      <c r="S76" s="483"/>
      <c r="T76" s="483"/>
      <c r="U76" s="483"/>
      <c r="V76" s="483"/>
      <c r="W76" s="483"/>
      <c r="X76" s="483"/>
      <c r="Y76" s="483"/>
      <c r="Z76" s="483"/>
      <c r="AA76" s="483"/>
      <c r="AB76" s="483"/>
      <c r="AC76" s="483"/>
      <c r="AD76" s="483"/>
      <c r="AE76" s="483"/>
      <c r="AF76" s="483"/>
      <c r="AG76" s="483"/>
      <c r="AH76" s="483"/>
      <c r="AI76" s="483"/>
      <c r="AJ76" s="483"/>
      <c r="AK76" s="483"/>
      <c r="AL76" s="483"/>
      <c r="AM76" s="483"/>
      <c r="AN76" s="483"/>
      <c r="AO76" s="483"/>
      <c r="AP76" s="483"/>
      <c r="AQ76" s="483"/>
    </row>
    <row r="77" spans="2:43">
      <c r="B77" s="483"/>
      <c r="C77" s="483"/>
      <c r="D77" s="483"/>
      <c r="E77" s="483"/>
      <c r="F77" s="483"/>
      <c r="G77" s="483"/>
      <c r="H77" s="408"/>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c r="AF77" s="483"/>
      <c r="AG77" s="483"/>
      <c r="AH77" s="483"/>
      <c r="AI77" s="483"/>
      <c r="AJ77" s="483"/>
      <c r="AK77" s="483"/>
      <c r="AL77" s="483"/>
      <c r="AM77" s="483"/>
      <c r="AN77" s="483"/>
      <c r="AO77" s="483"/>
      <c r="AP77" s="483"/>
      <c r="AQ77" s="483"/>
    </row>
    <row r="78" spans="2:43">
      <c r="B78" s="483"/>
      <c r="C78" s="483"/>
      <c r="D78" s="483"/>
      <c r="E78" s="483"/>
      <c r="F78" s="483"/>
      <c r="G78" s="483"/>
      <c r="H78" s="408"/>
      <c r="I78" s="483"/>
      <c r="J78" s="483"/>
      <c r="K78" s="483"/>
      <c r="L78" s="483"/>
      <c r="M78" s="483"/>
      <c r="N78" s="483"/>
      <c r="O78" s="483"/>
      <c r="P78" s="483"/>
      <c r="Q78" s="483"/>
      <c r="R78" s="483"/>
      <c r="S78" s="483"/>
      <c r="T78" s="483"/>
      <c r="U78" s="483"/>
      <c r="V78" s="483"/>
      <c r="W78" s="483"/>
      <c r="X78" s="483"/>
      <c r="Y78" s="483"/>
      <c r="Z78" s="483"/>
      <c r="AA78" s="483"/>
      <c r="AB78" s="483"/>
      <c r="AC78" s="483"/>
      <c r="AD78" s="483"/>
      <c r="AE78" s="483"/>
      <c r="AF78" s="483"/>
      <c r="AG78" s="483"/>
      <c r="AH78" s="483"/>
      <c r="AI78" s="483"/>
      <c r="AJ78" s="483"/>
      <c r="AK78" s="483"/>
      <c r="AL78" s="483"/>
      <c r="AM78" s="483"/>
      <c r="AN78" s="483"/>
      <c r="AO78" s="483"/>
      <c r="AP78" s="483"/>
      <c r="AQ78" s="483"/>
    </row>
    <row r="79" spans="2:43">
      <c r="B79" s="483"/>
      <c r="C79" s="483"/>
      <c r="D79" s="483"/>
      <c r="E79" s="483"/>
      <c r="F79" s="483"/>
      <c r="G79" s="483"/>
      <c r="H79" s="408"/>
      <c r="I79" s="483"/>
      <c r="J79" s="483"/>
      <c r="K79" s="483"/>
      <c r="L79" s="483"/>
      <c r="M79" s="483"/>
      <c r="N79" s="483"/>
      <c r="O79" s="483"/>
      <c r="P79" s="483"/>
      <c r="Q79" s="483"/>
      <c r="R79" s="483"/>
      <c r="S79" s="483"/>
      <c r="T79" s="483"/>
      <c r="U79" s="483"/>
      <c r="V79" s="483"/>
      <c r="W79" s="483"/>
      <c r="X79" s="483"/>
      <c r="Y79" s="483"/>
      <c r="Z79" s="483"/>
      <c r="AA79" s="483"/>
      <c r="AB79" s="483"/>
      <c r="AC79" s="483"/>
      <c r="AD79" s="483"/>
      <c r="AE79" s="483"/>
      <c r="AF79" s="483"/>
      <c r="AG79" s="483"/>
      <c r="AH79" s="483"/>
      <c r="AI79" s="483"/>
      <c r="AJ79" s="483"/>
      <c r="AK79" s="483"/>
      <c r="AL79" s="483"/>
      <c r="AM79" s="483"/>
      <c r="AN79" s="483"/>
      <c r="AO79" s="483"/>
      <c r="AP79" s="483"/>
      <c r="AQ79" s="483"/>
    </row>
    <row r="80" spans="2:43">
      <c r="B80" s="483"/>
      <c r="C80" s="483"/>
      <c r="D80" s="483"/>
      <c r="E80" s="483"/>
      <c r="F80" s="483"/>
      <c r="G80" s="483"/>
      <c r="H80" s="408"/>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row>
    <row r="81" spans="2:43">
      <c r="B81" s="483"/>
      <c r="C81" s="483"/>
      <c r="D81" s="483"/>
      <c r="E81" s="483"/>
      <c r="F81" s="483"/>
      <c r="G81" s="483"/>
      <c r="H81" s="408"/>
      <c r="I81" s="483"/>
      <c r="J81" s="483"/>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483"/>
      <c r="AL81" s="483"/>
      <c r="AM81" s="483"/>
      <c r="AN81" s="483"/>
      <c r="AO81" s="483"/>
      <c r="AP81" s="483"/>
      <c r="AQ81" s="483"/>
    </row>
    <row r="82" spans="2:43">
      <c r="B82" s="483"/>
      <c r="C82" s="483"/>
      <c r="D82" s="483"/>
      <c r="E82" s="483"/>
      <c r="F82" s="483"/>
      <c r="G82" s="483"/>
      <c r="H82" s="408"/>
      <c r="I82" s="483"/>
      <c r="J82" s="483"/>
      <c r="K82" s="483"/>
      <c r="L82" s="483"/>
      <c r="M82" s="483"/>
      <c r="N82" s="483"/>
      <c r="O82" s="483"/>
      <c r="P82" s="483"/>
      <c r="Q82" s="483"/>
      <c r="R82" s="483"/>
      <c r="S82" s="483"/>
      <c r="T82" s="483"/>
      <c r="U82" s="483"/>
      <c r="V82" s="483"/>
      <c r="W82" s="483"/>
      <c r="X82" s="483"/>
      <c r="Y82" s="483"/>
      <c r="Z82" s="483"/>
      <c r="AA82" s="483"/>
      <c r="AB82" s="483"/>
      <c r="AC82" s="483"/>
      <c r="AD82" s="483"/>
      <c r="AE82" s="483"/>
      <c r="AF82" s="483"/>
      <c r="AG82" s="483"/>
      <c r="AH82" s="483"/>
      <c r="AI82" s="483"/>
      <c r="AJ82" s="483"/>
      <c r="AK82" s="483"/>
      <c r="AL82" s="483"/>
      <c r="AM82" s="483"/>
      <c r="AN82" s="483"/>
      <c r="AO82" s="483"/>
      <c r="AP82" s="483"/>
      <c r="AQ82" s="483"/>
    </row>
    <row r="83" spans="2:43">
      <c r="B83" s="483"/>
      <c r="C83" s="483"/>
      <c r="D83" s="483"/>
      <c r="E83" s="483"/>
      <c r="F83" s="483"/>
      <c r="G83" s="483"/>
      <c r="H83" s="408"/>
      <c r="I83" s="483"/>
      <c r="J83" s="483"/>
      <c r="K83" s="483"/>
      <c r="L83" s="483"/>
      <c r="M83" s="483"/>
      <c r="N83" s="483"/>
      <c r="O83" s="483"/>
      <c r="P83" s="483"/>
      <c r="Q83" s="483"/>
      <c r="R83" s="483"/>
      <c r="S83" s="483"/>
      <c r="T83" s="483"/>
      <c r="U83" s="483"/>
      <c r="V83" s="483"/>
      <c r="W83" s="483"/>
      <c r="X83" s="483"/>
      <c r="Y83" s="483"/>
      <c r="Z83" s="483"/>
      <c r="AA83" s="483"/>
      <c r="AB83" s="483"/>
      <c r="AC83" s="483"/>
      <c r="AD83" s="483"/>
      <c r="AE83" s="483"/>
      <c r="AF83" s="483"/>
      <c r="AG83" s="483"/>
      <c r="AH83" s="483"/>
      <c r="AI83" s="483"/>
      <c r="AJ83" s="483"/>
      <c r="AK83" s="483"/>
      <c r="AL83" s="483"/>
      <c r="AM83" s="483"/>
      <c r="AN83" s="483"/>
      <c r="AO83" s="483"/>
      <c r="AP83" s="483"/>
      <c r="AQ83" s="483"/>
    </row>
    <row r="84" spans="2:43">
      <c r="B84" s="483"/>
      <c r="C84" s="483"/>
      <c r="D84" s="483"/>
      <c r="E84" s="483"/>
      <c r="F84" s="483"/>
      <c r="G84" s="483"/>
      <c r="H84" s="408"/>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83"/>
      <c r="AG84" s="483"/>
      <c r="AH84" s="483"/>
      <c r="AI84" s="483"/>
      <c r="AJ84" s="483"/>
      <c r="AK84" s="483"/>
      <c r="AL84" s="483"/>
      <c r="AM84" s="483"/>
      <c r="AN84" s="483"/>
      <c r="AO84" s="483"/>
      <c r="AP84" s="483"/>
      <c r="AQ84" s="483"/>
    </row>
    <row r="85" spans="2:43">
      <c r="B85" s="483"/>
      <c r="C85" s="483"/>
      <c r="D85" s="483"/>
      <c r="E85" s="483"/>
      <c r="F85" s="483"/>
      <c r="G85" s="483"/>
      <c r="H85" s="408"/>
      <c r="I85" s="483"/>
      <c r="J85" s="483"/>
      <c r="K85" s="483"/>
      <c r="L85" s="483"/>
      <c r="M85" s="483"/>
      <c r="N85" s="483"/>
      <c r="O85" s="483"/>
      <c r="P85" s="483"/>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row>
    <row r="86" spans="2:43">
      <c r="B86" s="483"/>
      <c r="C86" s="483"/>
      <c r="D86" s="483"/>
      <c r="E86" s="483"/>
      <c r="F86" s="483"/>
      <c r="G86" s="483"/>
      <c r="H86" s="408"/>
      <c r="I86" s="483"/>
      <c r="J86" s="483"/>
      <c r="K86" s="483"/>
      <c r="L86" s="483"/>
      <c r="M86" s="483"/>
      <c r="N86" s="483"/>
      <c r="O86" s="483"/>
      <c r="P86" s="483"/>
      <c r="Q86" s="483"/>
      <c r="R86" s="483"/>
      <c r="S86" s="483"/>
      <c r="T86" s="483"/>
      <c r="U86" s="483"/>
      <c r="V86" s="483"/>
      <c r="W86" s="483"/>
      <c r="X86" s="483"/>
      <c r="Y86" s="483"/>
      <c r="Z86" s="483"/>
      <c r="AA86" s="483"/>
      <c r="AB86" s="483"/>
      <c r="AC86" s="483"/>
      <c r="AD86" s="483"/>
      <c r="AE86" s="483"/>
      <c r="AF86" s="483"/>
      <c r="AG86" s="483"/>
      <c r="AH86" s="483"/>
      <c r="AI86" s="483"/>
      <c r="AJ86" s="483"/>
      <c r="AK86" s="483"/>
      <c r="AL86" s="483"/>
      <c r="AM86" s="483"/>
      <c r="AN86" s="483"/>
      <c r="AO86" s="483"/>
      <c r="AP86" s="483"/>
      <c r="AQ86" s="483"/>
    </row>
    <row r="87" spans="2:43">
      <c r="B87" s="483"/>
      <c r="C87" s="483"/>
      <c r="D87" s="483"/>
      <c r="E87" s="483"/>
      <c r="F87" s="483"/>
      <c r="G87" s="483"/>
      <c r="H87" s="408"/>
      <c r="I87" s="483"/>
      <c r="J87" s="483"/>
      <c r="K87" s="483"/>
      <c r="L87" s="483"/>
      <c r="M87" s="483"/>
      <c r="N87" s="483"/>
      <c r="O87" s="483"/>
      <c r="P87" s="483"/>
      <c r="Q87" s="483"/>
      <c r="R87" s="483"/>
      <c r="S87" s="483"/>
      <c r="T87" s="483"/>
      <c r="U87" s="483"/>
      <c r="V87" s="483"/>
      <c r="W87" s="483"/>
      <c r="X87" s="483"/>
      <c r="Y87" s="483"/>
      <c r="Z87" s="483"/>
      <c r="AA87" s="483"/>
      <c r="AB87" s="483"/>
      <c r="AC87" s="483"/>
      <c r="AD87" s="483"/>
      <c r="AE87" s="483"/>
      <c r="AF87" s="483"/>
      <c r="AG87" s="483"/>
      <c r="AH87" s="483"/>
      <c r="AI87" s="483"/>
      <c r="AJ87" s="483"/>
      <c r="AK87" s="483"/>
      <c r="AL87" s="483"/>
      <c r="AM87" s="483"/>
      <c r="AN87" s="483"/>
      <c r="AO87" s="483"/>
      <c r="AP87" s="483"/>
      <c r="AQ87" s="483"/>
    </row>
    <row r="88" spans="2:43">
      <c r="B88" s="483"/>
      <c r="C88" s="483"/>
      <c r="D88" s="483"/>
      <c r="E88" s="483"/>
      <c r="F88" s="483"/>
      <c r="G88" s="483"/>
      <c r="H88" s="408"/>
      <c r="I88" s="483"/>
      <c r="J88" s="483"/>
      <c r="K88" s="483"/>
      <c r="L88" s="483"/>
      <c r="M88" s="483"/>
      <c r="N88" s="483"/>
      <c r="O88" s="483"/>
      <c r="P88" s="483"/>
      <c r="Q88" s="483"/>
      <c r="R88" s="483"/>
      <c r="S88" s="483"/>
      <c r="T88" s="483"/>
      <c r="U88" s="483"/>
      <c r="V88" s="483"/>
      <c r="W88" s="483"/>
      <c r="X88" s="483"/>
      <c r="Y88" s="483"/>
      <c r="Z88" s="483"/>
      <c r="AA88" s="483"/>
      <c r="AB88" s="483"/>
      <c r="AC88" s="483"/>
      <c r="AD88" s="483"/>
      <c r="AE88" s="483"/>
      <c r="AF88" s="483"/>
      <c r="AG88" s="483"/>
      <c r="AH88" s="483"/>
      <c r="AI88" s="483"/>
      <c r="AJ88" s="483"/>
      <c r="AK88" s="483"/>
      <c r="AL88" s="483"/>
      <c r="AM88" s="483"/>
      <c r="AN88" s="483"/>
      <c r="AO88" s="483"/>
      <c r="AP88" s="483"/>
      <c r="AQ88" s="483"/>
    </row>
    <row r="89" spans="2:43">
      <c r="B89" s="483"/>
      <c r="C89" s="483"/>
      <c r="D89" s="483"/>
      <c r="E89" s="483"/>
      <c r="F89" s="483"/>
      <c r="G89" s="483"/>
      <c r="H89" s="408"/>
      <c r="I89" s="483"/>
      <c r="J89" s="483"/>
      <c r="K89" s="483"/>
      <c r="L89" s="483"/>
      <c r="M89" s="483"/>
      <c r="N89" s="483"/>
      <c r="O89" s="483"/>
      <c r="P89" s="483"/>
      <c r="Q89" s="483"/>
      <c r="R89" s="483"/>
      <c r="S89" s="483"/>
      <c r="T89" s="483"/>
      <c r="U89" s="483"/>
      <c r="V89" s="483"/>
      <c r="W89" s="483"/>
      <c r="X89" s="483"/>
      <c r="Y89" s="483"/>
      <c r="Z89" s="483"/>
      <c r="AA89" s="483"/>
      <c r="AB89" s="483"/>
      <c r="AC89" s="483"/>
      <c r="AD89" s="483"/>
      <c r="AE89" s="483"/>
      <c r="AF89" s="483"/>
      <c r="AG89" s="483"/>
      <c r="AH89" s="483"/>
      <c r="AI89" s="483"/>
      <c r="AJ89" s="483"/>
      <c r="AK89" s="483"/>
      <c r="AL89" s="483"/>
      <c r="AM89" s="483"/>
      <c r="AN89" s="483"/>
      <c r="AO89" s="483"/>
      <c r="AP89" s="483"/>
      <c r="AQ89" s="483"/>
    </row>
    <row r="90" spans="2:43">
      <c r="B90" s="483"/>
      <c r="C90" s="483"/>
      <c r="D90" s="483"/>
      <c r="E90" s="483"/>
      <c r="F90" s="483"/>
      <c r="G90" s="483"/>
      <c r="H90" s="408"/>
      <c r="I90" s="483"/>
      <c r="J90" s="483"/>
      <c r="K90" s="483"/>
      <c r="L90" s="483"/>
      <c r="M90" s="483"/>
      <c r="N90" s="483"/>
      <c r="O90" s="483"/>
      <c r="P90" s="483"/>
      <c r="Q90" s="483"/>
      <c r="R90" s="483"/>
      <c r="S90" s="483"/>
      <c r="T90" s="483"/>
      <c r="U90" s="483"/>
      <c r="V90" s="483"/>
      <c r="W90" s="483"/>
      <c r="X90" s="483"/>
      <c r="Y90" s="483"/>
      <c r="Z90" s="483"/>
      <c r="AA90" s="483"/>
      <c r="AB90" s="483"/>
      <c r="AC90" s="483"/>
      <c r="AD90" s="483"/>
      <c r="AE90" s="483"/>
      <c r="AF90" s="483"/>
      <c r="AG90" s="483"/>
      <c r="AH90" s="483"/>
      <c r="AI90" s="483"/>
      <c r="AJ90" s="483"/>
      <c r="AK90" s="483"/>
      <c r="AL90" s="483"/>
      <c r="AM90" s="483"/>
      <c r="AN90" s="483"/>
      <c r="AO90" s="483"/>
      <c r="AP90" s="483"/>
      <c r="AQ90" s="483"/>
    </row>
    <row r="91" spans="2:43">
      <c r="B91" s="483"/>
      <c r="C91" s="483"/>
      <c r="D91" s="483"/>
      <c r="E91" s="483"/>
      <c r="F91" s="483"/>
      <c r="G91" s="483"/>
      <c r="H91" s="408"/>
      <c r="I91" s="483"/>
      <c r="J91" s="483"/>
      <c r="K91" s="483"/>
      <c r="L91" s="483"/>
      <c r="M91" s="483"/>
      <c r="N91" s="483"/>
      <c r="O91" s="483"/>
      <c r="P91" s="483"/>
      <c r="Q91" s="483"/>
      <c r="R91" s="483"/>
      <c r="S91" s="483"/>
      <c r="T91" s="483"/>
      <c r="U91" s="483"/>
      <c r="V91" s="483"/>
      <c r="W91" s="483"/>
      <c r="X91" s="483"/>
      <c r="Y91" s="483"/>
      <c r="Z91" s="483"/>
      <c r="AA91" s="483"/>
      <c r="AB91" s="483"/>
      <c r="AC91" s="483"/>
      <c r="AD91" s="483"/>
      <c r="AE91" s="483"/>
      <c r="AF91" s="483"/>
      <c r="AG91" s="483"/>
      <c r="AH91" s="483"/>
      <c r="AI91" s="483"/>
      <c r="AJ91" s="483"/>
      <c r="AK91" s="483"/>
      <c r="AL91" s="483"/>
      <c r="AM91" s="483"/>
      <c r="AN91" s="483"/>
      <c r="AO91" s="483"/>
      <c r="AP91" s="483"/>
      <c r="AQ91" s="483"/>
    </row>
    <row r="92" spans="2:43">
      <c r="B92" s="483"/>
      <c r="C92" s="483"/>
      <c r="D92" s="483"/>
      <c r="E92" s="483"/>
      <c r="F92" s="483"/>
      <c r="G92" s="483"/>
      <c r="H92" s="408"/>
      <c r="I92" s="483"/>
      <c r="J92" s="483"/>
      <c r="K92" s="483"/>
      <c r="L92" s="483"/>
      <c r="M92" s="483"/>
      <c r="N92" s="483"/>
      <c r="O92" s="483"/>
      <c r="P92" s="483"/>
      <c r="Q92" s="483"/>
      <c r="R92" s="483"/>
      <c r="S92" s="483"/>
      <c r="T92" s="483"/>
      <c r="U92" s="483"/>
      <c r="V92" s="483"/>
      <c r="W92" s="483"/>
      <c r="X92" s="483"/>
      <c r="Y92" s="483"/>
      <c r="Z92" s="483"/>
      <c r="AA92" s="483"/>
      <c r="AB92" s="483"/>
      <c r="AC92" s="483"/>
      <c r="AD92" s="483"/>
      <c r="AE92" s="483"/>
      <c r="AF92" s="483"/>
      <c r="AG92" s="483"/>
      <c r="AH92" s="483"/>
      <c r="AI92" s="483"/>
      <c r="AJ92" s="483"/>
      <c r="AK92" s="483"/>
      <c r="AL92" s="483"/>
      <c r="AM92" s="483"/>
      <c r="AN92" s="483"/>
      <c r="AO92" s="483"/>
      <c r="AP92" s="483"/>
      <c r="AQ92" s="483"/>
    </row>
    <row r="93" spans="2:43">
      <c r="B93" s="483"/>
      <c r="C93" s="483"/>
      <c r="D93" s="483"/>
      <c r="E93" s="483"/>
      <c r="F93" s="483"/>
      <c r="G93" s="483"/>
      <c r="H93" s="408"/>
      <c r="I93" s="483"/>
      <c r="J93" s="483"/>
      <c r="K93" s="483"/>
      <c r="L93" s="483"/>
      <c r="M93" s="483"/>
      <c r="N93" s="483"/>
      <c r="O93" s="483"/>
      <c r="P93" s="483"/>
      <c r="Q93" s="483"/>
      <c r="R93" s="483"/>
      <c r="S93" s="483"/>
      <c r="T93" s="483"/>
      <c r="U93" s="483"/>
      <c r="V93" s="483"/>
      <c r="W93" s="483"/>
      <c r="X93" s="483"/>
      <c r="Y93" s="483"/>
      <c r="Z93" s="483"/>
      <c r="AA93" s="483"/>
      <c r="AB93" s="483"/>
      <c r="AC93" s="483"/>
      <c r="AD93" s="483"/>
      <c r="AE93" s="483"/>
      <c r="AF93" s="483"/>
      <c r="AG93" s="483"/>
      <c r="AH93" s="483"/>
      <c r="AI93" s="483"/>
      <c r="AJ93" s="483"/>
      <c r="AK93" s="483"/>
      <c r="AL93" s="483"/>
      <c r="AM93" s="483"/>
      <c r="AN93" s="483"/>
      <c r="AO93" s="483"/>
      <c r="AP93" s="483"/>
      <c r="AQ93" s="483"/>
    </row>
    <row r="94" spans="2:43">
      <c r="B94" s="483"/>
      <c r="C94" s="483"/>
      <c r="D94" s="483"/>
      <c r="E94" s="483"/>
      <c r="F94" s="483"/>
      <c r="G94" s="483"/>
      <c r="H94" s="408"/>
      <c r="I94" s="483"/>
      <c r="J94" s="483"/>
      <c r="K94" s="483"/>
      <c r="L94" s="483"/>
      <c r="M94" s="483"/>
      <c r="N94" s="483"/>
      <c r="O94" s="483"/>
      <c r="P94" s="483"/>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row>
    <row r="95" spans="2:43">
      <c r="B95" s="483"/>
      <c r="C95" s="483"/>
      <c r="D95" s="483"/>
      <c r="E95" s="483"/>
      <c r="F95" s="483"/>
      <c r="G95" s="483"/>
      <c r="H95" s="408"/>
      <c r="I95" s="483"/>
      <c r="J95" s="483"/>
      <c r="K95" s="483"/>
      <c r="L95" s="483"/>
      <c r="M95" s="483"/>
      <c r="N95" s="483"/>
      <c r="O95" s="483"/>
      <c r="P95" s="483"/>
      <c r="Q95" s="483"/>
      <c r="R95" s="483"/>
      <c r="S95" s="483"/>
      <c r="T95" s="483"/>
      <c r="U95" s="483"/>
      <c r="V95" s="483"/>
      <c r="W95" s="483"/>
      <c r="X95" s="483"/>
      <c r="Y95" s="483"/>
      <c r="Z95" s="483"/>
      <c r="AA95" s="483"/>
      <c r="AB95" s="483"/>
      <c r="AC95" s="483"/>
      <c r="AD95" s="483"/>
      <c r="AE95" s="483"/>
      <c r="AF95" s="483"/>
      <c r="AG95" s="483"/>
      <c r="AH95" s="483"/>
      <c r="AI95" s="483"/>
      <c r="AJ95" s="483"/>
      <c r="AK95" s="483"/>
      <c r="AL95" s="483"/>
      <c r="AM95" s="483"/>
      <c r="AN95" s="483"/>
      <c r="AO95" s="483"/>
      <c r="AP95" s="483"/>
      <c r="AQ95" s="483"/>
    </row>
    <row r="96" spans="2:43">
      <c r="B96" s="483"/>
      <c r="C96" s="483"/>
      <c r="D96" s="483"/>
      <c r="E96" s="483"/>
      <c r="F96" s="483"/>
      <c r="G96" s="483"/>
      <c r="H96" s="408"/>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3"/>
      <c r="AF96" s="483"/>
      <c r="AG96" s="483"/>
      <c r="AH96" s="483"/>
      <c r="AI96" s="483"/>
      <c r="AJ96" s="483"/>
      <c r="AK96" s="483"/>
      <c r="AL96" s="483"/>
      <c r="AM96" s="483"/>
      <c r="AN96" s="483"/>
      <c r="AO96" s="483"/>
      <c r="AP96" s="483"/>
      <c r="AQ96" s="483"/>
    </row>
    <row r="97" spans="2:43">
      <c r="B97" s="483"/>
      <c r="C97" s="483"/>
      <c r="D97" s="483"/>
      <c r="E97" s="483"/>
      <c r="F97" s="483"/>
      <c r="G97" s="483"/>
      <c r="H97" s="408"/>
      <c r="I97" s="483"/>
      <c r="J97" s="483"/>
      <c r="K97" s="483"/>
      <c r="L97" s="483"/>
      <c r="M97" s="483"/>
      <c r="N97" s="483"/>
      <c r="O97" s="483"/>
      <c r="P97" s="483"/>
      <c r="Q97" s="483"/>
      <c r="R97" s="483"/>
      <c r="S97" s="483"/>
      <c r="T97" s="483"/>
      <c r="U97" s="483"/>
      <c r="V97" s="483"/>
      <c r="W97" s="483"/>
      <c r="X97" s="483"/>
      <c r="Y97" s="483"/>
      <c r="Z97" s="483"/>
      <c r="AA97" s="483"/>
      <c r="AB97" s="483"/>
      <c r="AC97" s="483"/>
      <c r="AD97" s="483"/>
      <c r="AE97" s="483"/>
      <c r="AF97" s="483"/>
      <c r="AG97" s="483"/>
      <c r="AH97" s="483"/>
      <c r="AI97" s="483"/>
      <c r="AJ97" s="483"/>
      <c r="AK97" s="483"/>
      <c r="AL97" s="483"/>
      <c r="AM97" s="483"/>
      <c r="AN97" s="483"/>
      <c r="AO97" s="483"/>
      <c r="AP97" s="483"/>
      <c r="AQ97" s="483"/>
    </row>
    <row r="98" spans="2:43">
      <c r="B98" s="483"/>
      <c r="C98" s="483"/>
      <c r="D98" s="483"/>
      <c r="E98" s="483"/>
      <c r="F98" s="483"/>
      <c r="G98" s="483"/>
      <c r="H98" s="408"/>
      <c r="I98" s="483"/>
      <c r="J98" s="483"/>
      <c r="K98" s="483"/>
      <c r="L98" s="483"/>
      <c r="M98" s="483"/>
      <c r="N98" s="483"/>
      <c r="O98" s="483"/>
      <c r="P98" s="483"/>
      <c r="Q98" s="483"/>
      <c r="R98" s="483"/>
      <c r="S98" s="483"/>
      <c r="T98" s="483"/>
      <c r="U98" s="483"/>
      <c r="V98" s="483"/>
      <c r="W98" s="483"/>
      <c r="X98" s="483"/>
      <c r="Y98" s="483"/>
      <c r="Z98" s="483"/>
      <c r="AA98" s="483"/>
      <c r="AB98" s="483"/>
      <c r="AC98" s="483"/>
      <c r="AD98" s="483"/>
      <c r="AE98" s="483"/>
      <c r="AF98" s="483"/>
      <c r="AG98" s="483"/>
      <c r="AH98" s="483"/>
      <c r="AI98" s="483"/>
      <c r="AJ98" s="483"/>
      <c r="AK98" s="483"/>
      <c r="AL98" s="483"/>
      <c r="AM98" s="483"/>
      <c r="AN98" s="483"/>
      <c r="AO98" s="483"/>
      <c r="AP98" s="483"/>
      <c r="AQ98" s="483"/>
    </row>
    <row r="99" spans="2:43">
      <c r="B99" s="483"/>
      <c r="C99" s="483"/>
      <c r="D99" s="483"/>
      <c r="E99" s="483"/>
      <c r="F99" s="483"/>
      <c r="G99" s="483"/>
      <c r="H99" s="408"/>
      <c r="I99" s="483"/>
      <c r="J99" s="483"/>
      <c r="K99" s="483"/>
      <c r="L99" s="483"/>
      <c r="M99" s="483"/>
      <c r="N99" s="483"/>
      <c r="O99" s="483"/>
      <c r="P99" s="483"/>
      <c r="Q99" s="483"/>
      <c r="R99" s="483"/>
      <c r="S99" s="483"/>
      <c r="T99" s="483"/>
      <c r="U99" s="483"/>
      <c r="V99" s="483"/>
      <c r="W99" s="483"/>
      <c r="X99" s="483"/>
      <c r="Y99" s="483"/>
      <c r="Z99" s="483"/>
      <c r="AA99" s="483"/>
      <c r="AB99" s="483"/>
      <c r="AC99" s="483"/>
      <c r="AD99" s="483"/>
      <c r="AE99" s="483"/>
      <c r="AF99" s="483"/>
      <c r="AG99" s="483"/>
      <c r="AH99" s="483"/>
      <c r="AI99" s="483"/>
      <c r="AJ99" s="483"/>
      <c r="AK99" s="483"/>
      <c r="AL99" s="483"/>
      <c r="AM99" s="483"/>
      <c r="AN99" s="483"/>
      <c r="AO99" s="483"/>
      <c r="AP99" s="483"/>
      <c r="AQ99" s="483"/>
    </row>
    <row r="100" spans="2:43">
      <c r="B100" s="483"/>
      <c r="C100" s="483"/>
      <c r="D100" s="483"/>
      <c r="E100" s="483"/>
      <c r="F100" s="483"/>
      <c r="G100" s="483"/>
      <c r="H100" s="408"/>
      <c r="I100" s="483"/>
      <c r="J100" s="483"/>
      <c r="K100" s="483"/>
      <c r="L100" s="483"/>
      <c r="M100" s="483"/>
      <c r="N100" s="483"/>
      <c r="O100" s="483"/>
      <c r="P100" s="483"/>
      <c r="Q100" s="483"/>
      <c r="R100" s="483"/>
      <c r="S100" s="483"/>
      <c r="T100" s="483"/>
      <c r="U100" s="483"/>
      <c r="V100" s="483"/>
      <c r="W100" s="483"/>
      <c r="X100" s="483"/>
      <c r="Y100" s="483"/>
      <c r="Z100" s="483"/>
      <c r="AA100" s="483"/>
      <c r="AB100" s="483"/>
      <c r="AC100" s="483"/>
      <c r="AD100" s="483"/>
      <c r="AE100" s="483"/>
      <c r="AF100" s="483"/>
      <c r="AG100" s="483"/>
      <c r="AH100" s="483"/>
      <c r="AI100" s="483"/>
      <c r="AJ100" s="483"/>
      <c r="AK100" s="483"/>
      <c r="AL100" s="483"/>
      <c r="AM100" s="483"/>
      <c r="AN100" s="483"/>
      <c r="AO100" s="483"/>
      <c r="AP100" s="483"/>
      <c r="AQ100" s="483"/>
    </row>
    <row r="101" spans="2:43">
      <c r="B101" s="483"/>
      <c r="C101" s="483"/>
      <c r="D101" s="483"/>
      <c r="E101" s="483"/>
      <c r="F101" s="483"/>
      <c r="G101" s="483"/>
      <c r="H101" s="408"/>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c r="AE101" s="483"/>
      <c r="AF101" s="483"/>
      <c r="AG101" s="483"/>
      <c r="AH101" s="483"/>
      <c r="AI101" s="483"/>
      <c r="AJ101" s="483"/>
      <c r="AK101" s="483"/>
      <c r="AL101" s="483"/>
      <c r="AM101" s="483"/>
      <c r="AN101" s="483"/>
      <c r="AO101" s="483"/>
      <c r="AP101" s="483"/>
      <c r="AQ101" s="483"/>
    </row>
    <row r="102" spans="2:43">
      <c r="B102" s="483"/>
      <c r="C102" s="483"/>
      <c r="D102" s="483"/>
      <c r="E102" s="483"/>
      <c r="F102" s="483"/>
      <c r="G102" s="483"/>
      <c r="H102" s="408"/>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c r="AE102" s="483"/>
      <c r="AF102" s="483"/>
      <c r="AG102" s="483"/>
      <c r="AH102" s="483"/>
      <c r="AI102" s="483"/>
      <c r="AJ102" s="483"/>
      <c r="AK102" s="483"/>
      <c r="AL102" s="483"/>
      <c r="AM102" s="483"/>
      <c r="AN102" s="483"/>
      <c r="AO102" s="483"/>
      <c r="AP102" s="483"/>
      <c r="AQ102" s="483"/>
    </row>
    <row r="103" spans="2:43">
      <c r="B103" s="483"/>
      <c r="C103" s="483"/>
      <c r="D103" s="483"/>
      <c r="E103" s="483"/>
      <c r="F103" s="483"/>
      <c r="G103" s="483"/>
      <c r="H103" s="408"/>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row>
    <row r="104" spans="2:43">
      <c r="B104" s="483"/>
      <c r="C104" s="483"/>
      <c r="D104" s="483"/>
      <c r="E104" s="483"/>
      <c r="F104" s="483"/>
      <c r="G104" s="483"/>
      <c r="H104" s="408"/>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row>
    <row r="105" spans="2:43">
      <c r="B105" s="483"/>
      <c r="C105" s="483"/>
      <c r="D105" s="483"/>
      <c r="E105" s="483"/>
      <c r="F105" s="483"/>
      <c r="G105" s="483"/>
      <c r="H105" s="408"/>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c r="AE105" s="483"/>
      <c r="AF105" s="483"/>
      <c r="AG105" s="483"/>
      <c r="AH105" s="483"/>
      <c r="AI105" s="483"/>
      <c r="AJ105" s="483"/>
      <c r="AK105" s="483"/>
      <c r="AL105" s="483"/>
      <c r="AM105" s="483"/>
      <c r="AN105" s="483"/>
      <c r="AO105" s="483"/>
      <c r="AP105" s="483"/>
      <c r="AQ105" s="483"/>
    </row>
    <row r="106" spans="2:43">
      <c r="B106" s="483"/>
      <c r="C106" s="483"/>
      <c r="D106" s="483"/>
      <c r="E106" s="483"/>
      <c r="F106" s="483"/>
      <c r="G106" s="483"/>
      <c r="H106" s="408"/>
      <c r="I106" s="483"/>
      <c r="J106" s="483"/>
      <c r="K106" s="483"/>
      <c r="L106" s="483"/>
      <c r="M106" s="483"/>
      <c r="N106" s="483"/>
      <c r="O106" s="483"/>
      <c r="P106" s="483"/>
      <c r="Q106" s="483"/>
      <c r="R106" s="483"/>
      <c r="S106" s="483"/>
      <c r="T106" s="483"/>
      <c r="U106" s="483"/>
      <c r="V106" s="483"/>
      <c r="W106" s="483"/>
      <c r="X106" s="483"/>
      <c r="Y106" s="483"/>
      <c r="Z106" s="483"/>
      <c r="AA106" s="483"/>
      <c r="AB106" s="483"/>
      <c r="AC106" s="483"/>
      <c r="AD106" s="483"/>
      <c r="AE106" s="483"/>
      <c r="AF106" s="483"/>
      <c r="AG106" s="483"/>
      <c r="AH106" s="483"/>
      <c r="AI106" s="483"/>
      <c r="AJ106" s="483"/>
      <c r="AK106" s="483"/>
      <c r="AL106" s="483"/>
      <c r="AM106" s="483"/>
      <c r="AN106" s="483"/>
      <c r="AO106" s="483"/>
      <c r="AP106" s="483"/>
      <c r="AQ106" s="483"/>
    </row>
    <row r="107" spans="2:43">
      <c r="B107" s="483"/>
      <c r="C107" s="483"/>
      <c r="D107" s="483"/>
      <c r="E107" s="483"/>
      <c r="F107" s="483"/>
      <c r="G107" s="483"/>
      <c r="H107" s="408"/>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3"/>
      <c r="AF107" s="483"/>
      <c r="AG107" s="483"/>
      <c r="AH107" s="483"/>
      <c r="AI107" s="483"/>
      <c r="AJ107" s="483"/>
      <c r="AK107" s="483"/>
      <c r="AL107" s="483"/>
      <c r="AM107" s="483"/>
      <c r="AN107" s="483"/>
      <c r="AO107" s="483"/>
      <c r="AP107" s="483"/>
      <c r="AQ107" s="483"/>
    </row>
    <row r="108" spans="2:43">
      <c r="B108" s="483"/>
      <c r="C108" s="483"/>
      <c r="D108" s="483"/>
      <c r="E108" s="483"/>
      <c r="F108" s="483"/>
      <c r="G108" s="483"/>
      <c r="H108" s="408"/>
      <c r="I108" s="483"/>
      <c r="J108" s="483"/>
      <c r="K108" s="483"/>
      <c r="L108" s="483"/>
      <c r="M108" s="483"/>
      <c r="N108" s="483"/>
      <c r="O108" s="483"/>
      <c r="P108" s="483"/>
      <c r="Q108" s="483"/>
      <c r="R108" s="483"/>
      <c r="S108" s="483"/>
      <c r="T108" s="483"/>
      <c r="U108" s="483"/>
      <c r="V108" s="483"/>
      <c r="W108" s="483"/>
      <c r="X108" s="483"/>
      <c r="Y108" s="483"/>
      <c r="Z108" s="483"/>
      <c r="AA108" s="483"/>
      <c r="AB108" s="483"/>
      <c r="AC108" s="483"/>
      <c r="AD108" s="483"/>
      <c r="AE108" s="483"/>
      <c r="AF108" s="483"/>
      <c r="AG108" s="483"/>
      <c r="AH108" s="483"/>
      <c r="AI108" s="483"/>
      <c r="AJ108" s="483"/>
      <c r="AK108" s="483"/>
      <c r="AL108" s="483"/>
      <c r="AM108" s="483"/>
      <c r="AN108" s="483"/>
      <c r="AO108" s="483"/>
      <c r="AP108" s="483"/>
      <c r="AQ108" s="483"/>
    </row>
    <row r="109" spans="2:43">
      <c r="B109" s="483"/>
      <c r="C109" s="483"/>
      <c r="D109" s="483"/>
      <c r="E109" s="483"/>
      <c r="F109" s="483"/>
      <c r="G109" s="483"/>
      <c r="H109" s="408"/>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c r="AE109" s="483"/>
      <c r="AF109" s="483"/>
      <c r="AG109" s="483"/>
      <c r="AH109" s="483"/>
      <c r="AI109" s="483"/>
      <c r="AJ109" s="483"/>
      <c r="AK109" s="483"/>
      <c r="AL109" s="483"/>
      <c r="AM109" s="483"/>
      <c r="AN109" s="483"/>
      <c r="AO109" s="483"/>
      <c r="AP109" s="483"/>
      <c r="AQ109" s="483"/>
    </row>
    <row r="110" spans="2:43">
      <c r="B110" s="483"/>
      <c r="C110" s="483"/>
      <c r="D110" s="483"/>
      <c r="E110" s="483"/>
      <c r="F110" s="483"/>
      <c r="G110" s="483"/>
      <c r="H110" s="408"/>
      <c r="I110" s="483"/>
      <c r="J110" s="483"/>
      <c r="K110" s="483"/>
      <c r="L110" s="483"/>
      <c r="M110" s="483"/>
      <c r="N110" s="483"/>
      <c r="O110" s="483"/>
      <c r="P110" s="483"/>
      <c r="Q110" s="483"/>
      <c r="R110" s="483"/>
      <c r="S110" s="483"/>
      <c r="T110" s="483"/>
      <c r="U110" s="483"/>
      <c r="V110" s="483"/>
      <c r="W110" s="483"/>
      <c r="X110" s="483"/>
      <c r="Y110" s="483"/>
      <c r="Z110" s="483"/>
      <c r="AA110" s="483"/>
      <c r="AB110" s="483"/>
      <c r="AC110" s="483"/>
      <c r="AD110" s="483"/>
      <c r="AE110" s="483"/>
      <c r="AF110" s="483"/>
      <c r="AG110" s="483"/>
      <c r="AH110" s="483"/>
      <c r="AI110" s="483"/>
      <c r="AJ110" s="483"/>
      <c r="AK110" s="483"/>
      <c r="AL110" s="483"/>
      <c r="AM110" s="483"/>
      <c r="AN110" s="483"/>
      <c r="AO110" s="483"/>
      <c r="AP110" s="483"/>
      <c r="AQ110" s="483"/>
    </row>
    <row r="111" spans="2:43">
      <c r="B111" s="483"/>
      <c r="C111" s="483"/>
      <c r="D111" s="483"/>
      <c r="E111" s="483"/>
      <c r="F111" s="483"/>
      <c r="G111" s="483"/>
      <c r="H111" s="408"/>
      <c r="I111" s="483"/>
      <c r="J111" s="483"/>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483"/>
      <c r="AL111" s="483"/>
      <c r="AM111" s="483"/>
      <c r="AN111" s="483"/>
      <c r="AO111" s="483"/>
      <c r="AP111" s="483"/>
      <c r="AQ111" s="483"/>
    </row>
    <row r="112" spans="2:43">
      <c r="B112" s="483"/>
      <c r="C112" s="483"/>
      <c r="D112" s="483"/>
      <c r="E112" s="483"/>
      <c r="F112" s="483"/>
      <c r="G112" s="483"/>
      <c r="H112" s="408"/>
      <c r="I112" s="483"/>
      <c r="J112" s="483"/>
      <c r="K112" s="483"/>
      <c r="L112" s="483"/>
      <c r="M112" s="483"/>
      <c r="N112" s="483"/>
      <c r="O112" s="483"/>
      <c r="P112" s="483"/>
      <c r="Q112" s="483"/>
      <c r="R112" s="483"/>
      <c r="S112" s="483"/>
      <c r="T112" s="483"/>
      <c r="U112" s="483"/>
      <c r="V112" s="483"/>
      <c r="W112" s="483"/>
      <c r="X112" s="483"/>
      <c r="Y112" s="483"/>
      <c r="Z112" s="483"/>
      <c r="AA112" s="483"/>
      <c r="AB112" s="483"/>
      <c r="AC112" s="483"/>
      <c r="AD112" s="483"/>
      <c r="AE112" s="483"/>
      <c r="AF112" s="483"/>
      <c r="AG112" s="483"/>
      <c r="AH112" s="483"/>
      <c r="AI112" s="483"/>
      <c r="AJ112" s="483"/>
      <c r="AK112" s="483"/>
      <c r="AL112" s="483"/>
      <c r="AM112" s="483"/>
      <c r="AN112" s="483"/>
      <c r="AO112" s="483"/>
      <c r="AP112" s="483"/>
      <c r="AQ112" s="483"/>
    </row>
    <row r="113" spans="2:43">
      <c r="B113" s="483"/>
      <c r="C113" s="483"/>
      <c r="D113" s="483"/>
      <c r="E113" s="483"/>
      <c r="F113" s="483"/>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C113" s="483"/>
      <c r="AD113" s="483"/>
      <c r="AE113" s="483"/>
      <c r="AF113" s="483"/>
      <c r="AG113" s="483"/>
      <c r="AH113" s="483"/>
      <c r="AI113" s="483"/>
      <c r="AJ113" s="483"/>
      <c r="AK113" s="483"/>
      <c r="AL113" s="483"/>
      <c r="AM113" s="483"/>
      <c r="AN113" s="483"/>
      <c r="AO113" s="483"/>
      <c r="AP113" s="483"/>
      <c r="AQ113" s="483"/>
    </row>
    <row r="114" spans="2:43">
      <c r="B114" s="483"/>
      <c r="C114" s="483"/>
      <c r="D114" s="483"/>
      <c r="E114" s="483"/>
      <c r="F114" s="483"/>
      <c r="G114" s="483"/>
      <c r="H114" s="483"/>
      <c r="I114" s="483"/>
      <c r="J114" s="483"/>
      <c r="K114" s="483"/>
      <c r="L114" s="483"/>
      <c r="M114" s="483"/>
      <c r="N114" s="483"/>
      <c r="O114" s="483"/>
      <c r="P114" s="483"/>
      <c r="Q114" s="483"/>
      <c r="R114" s="483"/>
      <c r="S114" s="483"/>
      <c r="T114" s="483"/>
      <c r="U114" s="483"/>
      <c r="V114" s="483"/>
      <c r="W114" s="483"/>
      <c r="X114" s="483"/>
      <c r="Y114" s="483"/>
      <c r="Z114" s="483"/>
      <c r="AA114" s="483"/>
      <c r="AB114" s="483"/>
      <c r="AC114" s="483"/>
      <c r="AD114" s="483"/>
      <c r="AE114" s="483"/>
      <c r="AF114" s="483"/>
      <c r="AG114" s="483"/>
      <c r="AH114" s="483"/>
      <c r="AI114" s="483"/>
      <c r="AJ114" s="483"/>
      <c r="AK114" s="483"/>
      <c r="AL114" s="483"/>
      <c r="AM114" s="483"/>
      <c r="AN114" s="483"/>
      <c r="AO114" s="483"/>
      <c r="AP114" s="483"/>
      <c r="AQ114" s="483"/>
    </row>
    <row r="115" spans="2:43">
      <c r="B115" s="483"/>
      <c r="C115" s="483"/>
      <c r="D115" s="483"/>
      <c r="E115" s="483"/>
      <c r="F115" s="483"/>
      <c r="G115" s="483"/>
      <c r="H115" s="483"/>
      <c r="I115" s="483"/>
      <c r="J115" s="483"/>
      <c r="K115" s="483"/>
      <c r="L115" s="483"/>
      <c r="M115" s="483"/>
      <c r="N115" s="483"/>
      <c r="O115" s="483"/>
      <c r="P115" s="483"/>
      <c r="Q115" s="483"/>
      <c r="R115" s="483"/>
      <c r="S115" s="483"/>
      <c r="T115" s="483"/>
      <c r="U115" s="483"/>
      <c r="V115" s="483"/>
      <c r="W115" s="483"/>
      <c r="X115" s="483"/>
      <c r="Y115" s="483"/>
      <c r="Z115" s="483"/>
      <c r="AA115" s="483"/>
      <c r="AB115" s="483"/>
      <c r="AC115" s="483"/>
      <c r="AD115" s="483"/>
      <c r="AE115" s="483"/>
      <c r="AF115" s="483"/>
      <c r="AG115" s="483"/>
      <c r="AH115" s="483"/>
      <c r="AI115" s="483"/>
      <c r="AJ115" s="483"/>
      <c r="AK115" s="483"/>
      <c r="AL115" s="483"/>
      <c r="AM115" s="483"/>
      <c r="AN115" s="483"/>
      <c r="AO115" s="483"/>
      <c r="AP115" s="483"/>
      <c r="AQ115" s="483"/>
    </row>
    <row r="116" spans="2:43">
      <c r="B116" s="483"/>
      <c r="C116" s="483"/>
      <c r="D116" s="483"/>
      <c r="E116" s="483"/>
      <c r="F116" s="483"/>
      <c r="G116" s="483"/>
      <c r="H116" s="483"/>
      <c r="I116" s="483"/>
      <c r="J116" s="483"/>
      <c r="K116" s="483"/>
      <c r="L116" s="483"/>
      <c r="M116" s="483"/>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row>
    <row r="117" spans="2:43">
      <c r="B117" s="483"/>
      <c r="C117" s="483"/>
      <c r="D117" s="483"/>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row>
    <row r="118" spans="2:43">
      <c r="B118" s="483"/>
      <c r="C118" s="483"/>
      <c r="D118" s="483"/>
      <c r="E118" s="483"/>
      <c r="F118" s="483"/>
      <c r="G118" s="483"/>
      <c r="H118" s="483"/>
      <c r="I118" s="483"/>
      <c r="J118" s="483"/>
      <c r="K118" s="483"/>
      <c r="L118" s="483"/>
      <c r="M118" s="483"/>
      <c r="N118" s="483"/>
      <c r="O118" s="483"/>
      <c r="P118" s="483"/>
      <c r="Q118" s="483"/>
      <c r="R118" s="483"/>
      <c r="S118" s="483"/>
      <c r="T118" s="483"/>
      <c r="U118" s="483"/>
      <c r="V118" s="483"/>
      <c r="W118" s="483"/>
      <c r="X118" s="483"/>
      <c r="Y118" s="483"/>
      <c r="Z118" s="483"/>
      <c r="AA118" s="483"/>
      <c r="AB118" s="483"/>
      <c r="AC118" s="483"/>
      <c r="AD118" s="483"/>
      <c r="AE118" s="483"/>
      <c r="AF118" s="483"/>
      <c r="AG118" s="483"/>
      <c r="AH118" s="483"/>
      <c r="AI118" s="483"/>
      <c r="AJ118" s="483"/>
      <c r="AK118" s="483"/>
      <c r="AL118" s="483"/>
      <c r="AM118" s="483"/>
      <c r="AN118" s="483"/>
      <c r="AO118" s="483"/>
      <c r="AP118" s="483"/>
      <c r="AQ118" s="483"/>
    </row>
    <row r="119" spans="2:43">
      <c r="B119" s="483"/>
      <c r="C119" s="483"/>
      <c r="D119" s="483"/>
      <c r="E119" s="483"/>
      <c r="F119" s="483"/>
      <c r="G119" s="483"/>
      <c r="H119" s="483"/>
      <c r="I119" s="483"/>
      <c r="J119" s="483"/>
      <c r="K119" s="483"/>
      <c r="L119" s="483"/>
      <c r="M119" s="483"/>
      <c r="N119" s="483"/>
      <c r="O119" s="483"/>
      <c r="P119" s="483"/>
      <c r="Q119" s="483"/>
      <c r="R119" s="483"/>
      <c r="S119" s="483"/>
      <c r="T119" s="483"/>
      <c r="U119" s="483"/>
      <c r="V119" s="483"/>
      <c r="W119" s="483"/>
      <c r="X119" s="483"/>
      <c r="Y119" s="483"/>
      <c r="Z119" s="483"/>
      <c r="AA119" s="483"/>
      <c r="AB119" s="483"/>
      <c r="AC119" s="483"/>
      <c r="AD119" s="483"/>
      <c r="AE119" s="483"/>
      <c r="AF119" s="483"/>
      <c r="AG119" s="483"/>
      <c r="AH119" s="483"/>
      <c r="AI119" s="483"/>
      <c r="AJ119" s="483"/>
      <c r="AK119" s="483"/>
      <c r="AL119" s="483"/>
      <c r="AM119" s="483"/>
      <c r="AN119" s="483"/>
      <c r="AO119" s="483"/>
      <c r="AP119" s="483"/>
      <c r="AQ119" s="483"/>
    </row>
    <row r="120" spans="2:43">
      <c r="B120" s="483"/>
      <c r="C120" s="483"/>
      <c r="D120" s="483"/>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c r="AE120" s="483"/>
      <c r="AF120" s="483"/>
      <c r="AG120" s="483"/>
      <c r="AH120" s="483"/>
      <c r="AI120" s="483"/>
      <c r="AJ120" s="483"/>
      <c r="AK120" s="483"/>
      <c r="AL120" s="483"/>
      <c r="AM120" s="483"/>
      <c r="AN120" s="483"/>
      <c r="AO120" s="483"/>
      <c r="AP120" s="483"/>
      <c r="AQ120" s="483"/>
    </row>
    <row r="121" spans="2:43">
      <c r="B121" s="483"/>
      <c r="C121" s="483"/>
      <c r="D121" s="483"/>
      <c r="E121" s="483"/>
      <c r="F121" s="483"/>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c r="AE121" s="483"/>
      <c r="AF121" s="483"/>
      <c r="AG121" s="483"/>
      <c r="AH121" s="483"/>
      <c r="AI121" s="483"/>
      <c r="AJ121" s="483"/>
      <c r="AK121" s="483"/>
      <c r="AL121" s="483"/>
      <c r="AM121" s="483"/>
      <c r="AN121" s="483"/>
      <c r="AO121" s="483"/>
      <c r="AP121" s="483"/>
      <c r="AQ121" s="483"/>
    </row>
    <row r="122" spans="2:43">
      <c r="B122" s="483"/>
      <c r="C122" s="483"/>
      <c r="D122" s="483"/>
      <c r="E122" s="483"/>
      <c r="F122" s="483"/>
      <c r="G122" s="483"/>
      <c r="H122" s="483"/>
      <c r="I122" s="483"/>
      <c r="J122" s="483"/>
      <c r="K122" s="483"/>
      <c r="L122" s="483"/>
      <c r="M122" s="483"/>
      <c r="N122" s="483"/>
      <c r="O122" s="483"/>
      <c r="P122" s="483"/>
      <c r="Q122" s="483"/>
      <c r="R122" s="483"/>
      <c r="S122" s="483"/>
      <c r="T122" s="483"/>
      <c r="U122" s="483"/>
      <c r="V122" s="483"/>
      <c r="W122" s="483"/>
      <c r="X122" s="483"/>
      <c r="Y122" s="483"/>
      <c r="Z122" s="483"/>
      <c r="AA122" s="483"/>
      <c r="AB122" s="483"/>
      <c r="AC122" s="483"/>
      <c r="AD122" s="483"/>
      <c r="AE122" s="483"/>
      <c r="AF122" s="483"/>
      <c r="AG122" s="483"/>
      <c r="AH122" s="483"/>
      <c r="AI122" s="483"/>
      <c r="AJ122" s="483"/>
      <c r="AK122" s="483"/>
      <c r="AL122" s="483"/>
      <c r="AM122" s="483"/>
      <c r="AN122" s="483"/>
      <c r="AO122" s="483"/>
      <c r="AP122" s="483"/>
      <c r="AQ122" s="483"/>
    </row>
    <row r="123" spans="2:43">
      <c r="B123" s="483"/>
      <c r="C123" s="483"/>
      <c r="D123" s="483"/>
      <c r="E123" s="483"/>
      <c r="F123" s="483"/>
      <c r="G123" s="483"/>
      <c r="H123" s="483"/>
      <c r="I123" s="483"/>
      <c r="J123" s="483"/>
      <c r="K123" s="483"/>
      <c r="L123" s="483"/>
      <c r="M123" s="483"/>
      <c r="N123" s="483"/>
      <c r="O123" s="483"/>
      <c r="P123" s="483"/>
      <c r="Q123" s="483"/>
      <c r="R123" s="483"/>
      <c r="S123" s="483"/>
      <c r="T123" s="483"/>
      <c r="U123" s="483"/>
      <c r="V123" s="483"/>
      <c r="W123" s="483"/>
      <c r="X123" s="483"/>
      <c r="Y123" s="483"/>
      <c r="Z123" s="483"/>
      <c r="AA123" s="483"/>
      <c r="AB123" s="483"/>
      <c r="AC123" s="483"/>
      <c r="AD123" s="483"/>
      <c r="AE123" s="483"/>
      <c r="AF123" s="483"/>
      <c r="AG123" s="483"/>
      <c r="AH123" s="483"/>
      <c r="AI123" s="483"/>
      <c r="AJ123" s="483"/>
      <c r="AK123" s="483"/>
      <c r="AL123" s="483"/>
      <c r="AM123" s="483"/>
      <c r="AN123" s="483"/>
      <c r="AO123" s="483"/>
      <c r="AP123" s="483"/>
      <c r="AQ123" s="483"/>
    </row>
    <row r="124" spans="2:43">
      <c r="B124" s="483"/>
      <c r="C124" s="483"/>
      <c r="D124" s="483"/>
      <c r="E124" s="483"/>
      <c r="F124" s="483"/>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c r="AE124" s="483"/>
      <c r="AF124" s="483"/>
      <c r="AG124" s="483"/>
      <c r="AH124" s="483"/>
      <c r="AI124" s="483"/>
      <c r="AJ124" s="483"/>
      <c r="AK124" s="483"/>
      <c r="AL124" s="483"/>
      <c r="AM124" s="483"/>
      <c r="AN124" s="483"/>
      <c r="AO124" s="483"/>
      <c r="AP124" s="483"/>
      <c r="AQ124" s="483"/>
    </row>
    <row r="125" spans="2:43">
      <c r="B125" s="483"/>
      <c r="C125" s="483"/>
      <c r="D125" s="483"/>
      <c r="E125" s="483"/>
      <c r="F125" s="483"/>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483"/>
      <c r="AE125" s="483"/>
      <c r="AF125" s="483"/>
      <c r="AG125" s="483"/>
      <c r="AH125" s="483"/>
      <c r="AI125" s="483"/>
      <c r="AJ125" s="483"/>
      <c r="AK125" s="483"/>
      <c r="AL125" s="483"/>
      <c r="AM125" s="483"/>
      <c r="AN125" s="483"/>
      <c r="AO125" s="483"/>
      <c r="AP125" s="483"/>
      <c r="AQ125" s="483"/>
    </row>
    <row r="126" spans="2:43">
      <c r="B126" s="483"/>
      <c r="C126" s="483"/>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c r="AA126" s="483"/>
      <c r="AB126" s="483"/>
      <c r="AC126" s="483"/>
      <c r="AD126" s="483"/>
      <c r="AE126" s="483"/>
      <c r="AF126" s="483"/>
      <c r="AG126" s="483"/>
      <c r="AH126" s="483"/>
      <c r="AI126" s="483"/>
      <c r="AJ126" s="483"/>
      <c r="AK126" s="483"/>
      <c r="AL126" s="483"/>
      <c r="AM126" s="483"/>
      <c r="AN126" s="483"/>
      <c r="AO126" s="483"/>
      <c r="AP126" s="483"/>
      <c r="AQ126" s="483"/>
    </row>
    <row r="127" spans="2:43">
      <c r="B127" s="483"/>
      <c r="C127" s="483"/>
      <c r="D127" s="483"/>
      <c r="E127" s="483"/>
      <c r="F127" s="483"/>
      <c r="G127" s="483"/>
      <c r="H127" s="483"/>
      <c r="I127" s="483"/>
      <c r="J127" s="483"/>
      <c r="K127" s="483"/>
      <c r="L127" s="483"/>
      <c r="M127" s="483"/>
      <c r="N127" s="483"/>
      <c r="O127" s="483"/>
      <c r="P127" s="483"/>
      <c r="Q127" s="483"/>
      <c r="R127" s="483"/>
      <c r="S127" s="483"/>
      <c r="T127" s="483"/>
      <c r="U127" s="483"/>
      <c r="V127" s="483"/>
      <c r="W127" s="483"/>
      <c r="X127" s="483"/>
      <c r="Y127" s="483"/>
      <c r="Z127" s="483"/>
      <c r="AA127" s="483"/>
      <c r="AB127" s="483"/>
      <c r="AC127" s="483"/>
      <c r="AD127" s="483"/>
      <c r="AE127" s="483"/>
      <c r="AF127" s="483"/>
      <c r="AG127" s="483"/>
      <c r="AH127" s="483"/>
      <c r="AI127" s="483"/>
      <c r="AJ127" s="483"/>
      <c r="AK127" s="483"/>
      <c r="AL127" s="483"/>
      <c r="AM127" s="483"/>
      <c r="AN127" s="483"/>
      <c r="AO127" s="483"/>
      <c r="AP127" s="483"/>
      <c r="AQ127" s="483"/>
    </row>
    <row r="128" spans="2:43">
      <c r="B128" s="483"/>
      <c r="C128" s="483"/>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c r="AA128" s="483"/>
      <c r="AB128" s="483"/>
      <c r="AC128" s="483"/>
      <c r="AD128" s="483"/>
      <c r="AE128" s="483"/>
      <c r="AF128" s="483"/>
      <c r="AG128" s="483"/>
      <c r="AH128" s="483"/>
      <c r="AI128" s="483"/>
      <c r="AJ128" s="483"/>
      <c r="AK128" s="483"/>
      <c r="AL128" s="483"/>
      <c r="AM128" s="483"/>
      <c r="AN128" s="483"/>
      <c r="AO128" s="483"/>
      <c r="AP128" s="483"/>
      <c r="AQ128" s="483"/>
    </row>
    <row r="129" spans="2:43">
      <c r="B129" s="483"/>
      <c r="C129" s="483"/>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c r="AA129" s="483"/>
      <c r="AB129" s="483"/>
      <c r="AC129" s="483"/>
      <c r="AD129" s="483"/>
      <c r="AE129" s="483"/>
      <c r="AF129" s="483"/>
      <c r="AG129" s="483"/>
      <c r="AH129" s="483"/>
      <c r="AI129" s="483"/>
      <c r="AJ129" s="483"/>
      <c r="AK129" s="483"/>
      <c r="AL129" s="483"/>
      <c r="AM129" s="483"/>
      <c r="AN129" s="483"/>
      <c r="AO129" s="483"/>
      <c r="AP129" s="483"/>
      <c r="AQ129" s="483"/>
    </row>
    <row r="130" spans="2:43">
      <c r="B130" s="483"/>
      <c r="C130" s="483"/>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c r="AE130" s="483"/>
      <c r="AF130" s="483"/>
      <c r="AG130" s="483"/>
      <c r="AH130" s="483"/>
      <c r="AI130" s="483"/>
      <c r="AJ130" s="483"/>
      <c r="AK130" s="483"/>
      <c r="AL130" s="483"/>
      <c r="AM130" s="483"/>
      <c r="AN130" s="483"/>
      <c r="AO130" s="483"/>
      <c r="AP130" s="483"/>
      <c r="AQ130" s="483"/>
    </row>
    <row r="131" spans="2:43">
      <c r="B131" s="483"/>
      <c r="C131" s="483"/>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c r="AE131" s="483"/>
      <c r="AF131" s="483"/>
      <c r="AG131" s="483"/>
      <c r="AH131" s="483"/>
      <c r="AI131" s="483"/>
      <c r="AJ131" s="483"/>
      <c r="AK131" s="483"/>
      <c r="AL131" s="483"/>
      <c r="AM131" s="483"/>
      <c r="AN131" s="483"/>
      <c r="AO131" s="483"/>
      <c r="AP131" s="483"/>
      <c r="AQ131" s="483"/>
    </row>
    <row r="132" spans="2:43">
      <c r="B132" s="483"/>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483"/>
      <c r="AF132" s="483"/>
      <c r="AG132" s="483"/>
      <c r="AH132" s="483"/>
      <c r="AI132" s="483"/>
      <c r="AJ132" s="483"/>
      <c r="AK132" s="483"/>
      <c r="AL132" s="483"/>
      <c r="AM132" s="483"/>
      <c r="AN132" s="483"/>
      <c r="AO132" s="483"/>
      <c r="AP132" s="483"/>
      <c r="AQ132" s="483"/>
    </row>
    <row r="133" spans="2:43">
      <c r="B133" s="483"/>
      <c r="C133" s="483"/>
      <c r="D133" s="483"/>
      <c r="E133" s="483"/>
      <c r="F133" s="483"/>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c r="AE133" s="483"/>
      <c r="AF133" s="483"/>
      <c r="AG133" s="483"/>
      <c r="AH133" s="483"/>
      <c r="AI133" s="483"/>
      <c r="AJ133" s="483"/>
      <c r="AK133" s="483"/>
      <c r="AL133" s="483"/>
      <c r="AM133" s="483"/>
      <c r="AN133" s="483"/>
      <c r="AO133" s="483"/>
      <c r="AP133" s="483"/>
      <c r="AQ133" s="483"/>
    </row>
    <row r="134" spans="2:43">
      <c r="B134" s="483"/>
      <c r="C134" s="483"/>
      <c r="D134" s="483"/>
      <c r="E134" s="483"/>
      <c r="F134" s="483"/>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c r="AE134" s="483"/>
      <c r="AF134" s="483"/>
      <c r="AG134" s="483"/>
      <c r="AH134" s="483"/>
      <c r="AI134" s="483"/>
      <c r="AJ134" s="483"/>
      <c r="AK134" s="483"/>
      <c r="AL134" s="483"/>
      <c r="AM134" s="483"/>
      <c r="AN134" s="483"/>
      <c r="AO134" s="483"/>
      <c r="AP134" s="483"/>
      <c r="AQ134" s="483"/>
    </row>
    <row r="135" spans="2:43">
      <c r="B135" s="483"/>
      <c r="C135" s="483"/>
      <c r="D135" s="483"/>
      <c r="E135" s="483"/>
      <c r="F135" s="483"/>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c r="AE135" s="483"/>
      <c r="AF135" s="483"/>
      <c r="AG135" s="483"/>
      <c r="AH135" s="483"/>
      <c r="AI135" s="483"/>
      <c r="AJ135" s="483"/>
      <c r="AK135" s="483"/>
      <c r="AL135" s="483"/>
      <c r="AM135" s="483"/>
      <c r="AN135" s="483"/>
      <c r="AO135" s="483"/>
      <c r="AP135" s="483"/>
      <c r="AQ135" s="483"/>
    </row>
    <row r="136" spans="2:43">
      <c r="B136" s="483"/>
      <c r="C136" s="483"/>
      <c r="D136" s="483"/>
      <c r="E136" s="483"/>
      <c r="F136" s="483"/>
      <c r="G136" s="483"/>
      <c r="H136" s="483"/>
      <c r="I136" s="483"/>
      <c r="J136" s="483"/>
      <c r="K136" s="483"/>
      <c r="L136" s="483"/>
      <c r="M136" s="483"/>
      <c r="N136" s="483"/>
      <c r="O136" s="483"/>
      <c r="P136" s="483"/>
      <c r="Q136" s="483"/>
      <c r="R136" s="483"/>
      <c r="S136" s="483"/>
      <c r="T136" s="483"/>
      <c r="U136" s="483"/>
      <c r="V136" s="483"/>
      <c r="W136" s="483"/>
      <c r="X136" s="483"/>
      <c r="Y136" s="483"/>
      <c r="Z136" s="483"/>
      <c r="AA136" s="483"/>
      <c r="AB136" s="483"/>
      <c r="AC136" s="483"/>
      <c r="AD136" s="483"/>
      <c r="AE136" s="483"/>
      <c r="AF136" s="483"/>
      <c r="AG136" s="483"/>
      <c r="AH136" s="483"/>
      <c r="AI136" s="483"/>
      <c r="AJ136" s="483"/>
      <c r="AK136" s="483"/>
      <c r="AL136" s="483"/>
      <c r="AM136" s="483"/>
      <c r="AN136" s="483"/>
      <c r="AO136" s="483"/>
      <c r="AP136" s="483"/>
      <c r="AQ136" s="483"/>
    </row>
    <row r="137" spans="2:43">
      <c r="B137" s="483"/>
      <c r="C137" s="483"/>
      <c r="D137" s="483"/>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c r="AE137" s="483"/>
      <c r="AF137" s="483"/>
      <c r="AG137" s="483"/>
      <c r="AH137" s="483"/>
      <c r="AI137" s="483"/>
      <c r="AJ137" s="483"/>
      <c r="AK137" s="483"/>
      <c r="AL137" s="483"/>
      <c r="AM137" s="483"/>
      <c r="AN137" s="483"/>
      <c r="AO137" s="483"/>
      <c r="AP137" s="483"/>
      <c r="AQ137" s="483"/>
    </row>
    <row r="138" spans="2:43">
      <c r="B138" s="483"/>
      <c r="C138" s="483"/>
      <c r="D138" s="483"/>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c r="AA138" s="483"/>
      <c r="AB138" s="483"/>
      <c r="AC138" s="483"/>
      <c r="AD138" s="483"/>
      <c r="AE138" s="483"/>
      <c r="AF138" s="483"/>
      <c r="AG138" s="483"/>
      <c r="AH138" s="483"/>
      <c r="AI138" s="483"/>
      <c r="AJ138" s="483"/>
      <c r="AK138" s="483"/>
      <c r="AL138" s="483"/>
      <c r="AM138" s="483"/>
      <c r="AN138" s="483"/>
      <c r="AO138" s="483"/>
      <c r="AP138" s="483"/>
      <c r="AQ138" s="483"/>
    </row>
    <row r="139" spans="2:43">
      <c r="B139" s="483"/>
      <c r="C139" s="483"/>
      <c r="D139" s="483"/>
      <c r="E139" s="483"/>
      <c r="F139" s="483"/>
      <c r="G139" s="483"/>
      <c r="H139" s="483"/>
      <c r="I139" s="483"/>
      <c r="J139" s="483"/>
      <c r="K139" s="483"/>
      <c r="L139" s="483"/>
      <c r="M139" s="483"/>
      <c r="N139" s="483"/>
      <c r="O139" s="483"/>
      <c r="P139" s="483"/>
      <c r="Q139" s="483"/>
      <c r="R139" s="483"/>
      <c r="S139" s="483"/>
      <c r="T139" s="483"/>
      <c r="U139" s="483"/>
      <c r="V139" s="483"/>
      <c r="W139" s="483"/>
      <c r="X139" s="483"/>
      <c r="Y139" s="483"/>
      <c r="Z139" s="483"/>
      <c r="AA139" s="483"/>
      <c r="AB139" s="483"/>
      <c r="AC139" s="483"/>
      <c r="AD139" s="483"/>
      <c r="AE139" s="483"/>
      <c r="AF139" s="483"/>
      <c r="AG139" s="483"/>
      <c r="AH139" s="483"/>
      <c r="AI139" s="483"/>
      <c r="AJ139" s="483"/>
      <c r="AK139" s="483"/>
      <c r="AL139" s="483"/>
      <c r="AM139" s="483"/>
      <c r="AN139" s="483"/>
      <c r="AO139" s="483"/>
      <c r="AP139" s="483"/>
      <c r="AQ139" s="483"/>
    </row>
    <row r="140" spans="2:43">
      <c r="B140" s="483"/>
      <c r="C140" s="483"/>
      <c r="D140" s="483"/>
      <c r="E140" s="483"/>
      <c r="F140" s="483"/>
      <c r="G140" s="483"/>
      <c r="H140" s="483"/>
      <c r="I140" s="483"/>
      <c r="J140" s="483"/>
      <c r="K140" s="483"/>
      <c r="L140" s="483"/>
      <c r="M140" s="483"/>
      <c r="N140" s="483"/>
      <c r="O140" s="483"/>
      <c r="P140" s="483"/>
      <c r="Q140" s="483"/>
      <c r="R140" s="483"/>
      <c r="S140" s="483"/>
      <c r="T140" s="483"/>
      <c r="U140" s="483"/>
      <c r="V140" s="483"/>
      <c r="W140" s="483"/>
      <c r="X140" s="483"/>
      <c r="Y140" s="483"/>
      <c r="Z140" s="483"/>
      <c r="AA140" s="483"/>
      <c r="AB140" s="483"/>
      <c r="AC140" s="483"/>
      <c r="AD140" s="483"/>
      <c r="AE140" s="483"/>
      <c r="AF140" s="483"/>
      <c r="AG140" s="483"/>
      <c r="AH140" s="483"/>
      <c r="AI140" s="483"/>
      <c r="AJ140" s="483"/>
      <c r="AK140" s="483"/>
      <c r="AL140" s="483"/>
      <c r="AM140" s="483"/>
      <c r="AN140" s="483"/>
      <c r="AO140" s="483"/>
      <c r="AP140" s="483"/>
      <c r="AQ140" s="483"/>
    </row>
    <row r="141" spans="2:43">
      <c r="B141" s="483"/>
      <c r="C141" s="483"/>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c r="AE141" s="483"/>
      <c r="AF141" s="483"/>
      <c r="AG141" s="483"/>
      <c r="AH141" s="483"/>
      <c r="AI141" s="483"/>
      <c r="AJ141" s="483"/>
      <c r="AK141" s="483"/>
      <c r="AL141" s="483"/>
      <c r="AM141" s="483"/>
      <c r="AN141" s="483"/>
      <c r="AO141" s="483"/>
      <c r="AP141" s="483"/>
      <c r="AQ141" s="483"/>
    </row>
    <row r="142" spans="2:43">
      <c r="B142" s="483"/>
      <c r="C142" s="483"/>
      <c r="D142" s="483"/>
      <c r="E142" s="483"/>
      <c r="F142" s="483"/>
      <c r="G142" s="483"/>
      <c r="H142" s="483"/>
      <c r="I142" s="483"/>
      <c r="J142" s="483"/>
      <c r="K142" s="483"/>
      <c r="L142" s="483"/>
      <c r="M142" s="483"/>
      <c r="N142" s="483"/>
      <c r="O142" s="483"/>
      <c r="P142" s="483"/>
      <c r="Q142" s="483"/>
      <c r="R142" s="483"/>
      <c r="S142" s="483"/>
      <c r="T142" s="483"/>
      <c r="U142" s="483"/>
      <c r="V142" s="483"/>
      <c r="W142" s="483"/>
      <c r="X142" s="483"/>
      <c r="Y142" s="483"/>
      <c r="Z142" s="483"/>
      <c r="AA142" s="483"/>
      <c r="AB142" s="483"/>
      <c r="AC142" s="483"/>
      <c r="AD142" s="483"/>
      <c r="AE142" s="483"/>
      <c r="AF142" s="483"/>
      <c r="AG142" s="483"/>
      <c r="AH142" s="483"/>
      <c r="AI142" s="483"/>
      <c r="AJ142" s="483"/>
      <c r="AK142" s="483"/>
      <c r="AL142" s="483"/>
      <c r="AM142" s="483"/>
      <c r="AN142" s="483"/>
      <c r="AO142" s="483"/>
      <c r="AP142" s="483"/>
      <c r="AQ142" s="483"/>
    </row>
    <row r="143" spans="2:43">
      <c r="B143" s="483"/>
      <c r="C143" s="483"/>
      <c r="D143" s="483"/>
      <c r="E143" s="483"/>
      <c r="F143" s="483"/>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c r="AE143" s="483"/>
      <c r="AF143" s="483"/>
      <c r="AG143" s="483"/>
      <c r="AH143" s="483"/>
      <c r="AI143" s="483"/>
      <c r="AJ143" s="483"/>
      <c r="AK143" s="483"/>
      <c r="AL143" s="483"/>
      <c r="AM143" s="483"/>
      <c r="AN143" s="483"/>
      <c r="AO143" s="483"/>
      <c r="AP143" s="483"/>
      <c r="AQ143" s="483"/>
    </row>
    <row r="144" spans="2:43">
      <c r="B144" s="483"/>
      <c r="C144" s="483"/>
      <c r="D144" s="483"/>
      <c r="E144" s="483"/>
      <c r="F144" s="483"/>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c r="AE144" s="483"/>
      <c r="AF144" s="483"/>
      <c r="AG144" s="483"/>
      <c r="AH144" s="483"/>
      <c r="AI144" s="483"/>
      <c r="AJ144" s="483"/>
      <c r="AK144" s="483"/>
      <c r="AL144" s="483"/>
      <c r="AM144" s="483"/>
      <c r="AN144" s="483"/>
      <c r="AO144" s="483"/>
      <c r="AP144" s="483"/>
      <c r="AQ144" s="483"/>
    </row>
    <row r="145" spans="2:43">
      <c r="B145" s="483"/>
      <c r="C145" s="483"/>
      <c r="D145" s="483"/>
      <c r="E145" s="483"/>
      <c r="F145" s="483"/>
      <c r="G145" s="483"/>
      <c r="H145" s="483"/>
      <c r="I145" s="483"/>
      <c r="J145" s="483"/>
      <c r="K145" s="483"/>
      <c r="L145" s="483"/>
      <c r="M145" s="483"/>
      <c r="N145" s="483"/>
      <c r="O145" s="483"/>
      <c r="P145" s="483"/>
      <c r="Q145" s="483"/>
      <c r="R145" s="483"/>
      <c r="S145" s="483"/>
      <c r="T145" s="483"/>
      <c r="U145" s="483"/>
      <c r="V145" s="483"/>
      <c r="W145" s="483"/>
      <c r="X145" s="483"/>
      <c r="Y145" s="483"/>
      <c r="Z145" s="483"/>
      <c r="AA145" s="483"/>
      <c r="AB145" s="483"/>
      <c r="AC145" s="483"/>
      <c r="AD145" s="483"/>
      <c r="AE145" s="483"/>
      <c r="AF145" s="483"/>
      <c r="AG145" s="483"/>
      <c r="AH145" s="483"/>
      <c r="AI145" s="483"/>
      <c r="AJ145" s="483"/>
      <c r="AK145" s="483"/>
      <c r="AL145" s="483"/>
      <c r="AM145" s="483"/>
      <c r="AN145" s="483"/>
      <c r="AO145" s="483"/>
      <c r="AP145" s="483"/>
      <c r="AQ145" s="483"/>
    </row>
    <row r="146" spans="2:43">
      <c r="B146" s="483"/>
      <c r="C146" s="483"/>
      <c r="D146" s="483"/>
      <c r="E146" s="483"/>
      <c r="F146" s="483"/>
      <c r="G146" s="483"/>
      <c r="H146" s="483"/>
      <c r="I146" s="483"/>
      <c r="J146" s="483"/>
      <c r="K146" s="483"/>
      <c r="L146" s="483"/>
      <c r="M146" s="483"/>
      <c r="N146" s="483"/>
      <c r="O146" s="483"/>
      <c r="P146" s="483"/>
      <c r="Q146" s="483"/>
      <c r="R146" s="483"/>
      <c r="S146" s="483"/>
      <c r="T146" s="483"/>
      <c r="U146" s="483"/>
      <c r="V146" s="483"/>
      <c r="W146" s="483"/>
      <c r="X146" s="483"/>
      <c r="Y146" s="483"/>
      <c r="Z146" s="483"/>
      <c r="AA146" s="483"/>
      <c r="AB146" s="483"/>
      <c r="AC146" s="483"/>
      <c r="AD146" s="483"/>
      <c r="AE146" s="483"/>
      <c r="AF146" s="483"/>
      <c r="AG146" s="483"/>
      <c r="AH146" s="483"/>
      <c r="AI146" s="483"/>
      <c r="AJ146" s="483"/>
      <c r="AK146" s="483"/>
      <c r="AL146" s="483"/>
      <c r="AM146" s="483"/>
      <c r="AN146" s="483"/>
      <c r="AO146" s="483"/>
      <c r="AP146" s="483"/>
      <c r="AQ146" s="483"/>
    </row>
    <row r="147" spans="2:43">
      <c r="B147" s="483"/>
      <c r="C147" s="483"/>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c r="AA147" s="483"/>
      <c r="AB147" s="483"/>
      <c r="AC147" s="483"/>
      <c r="AD147" s="483"/>
      <c r="AE147" s="483"/>
      <c r="AF147" s="483"/>
      <c r="AG147" s="483"/>
      <c r="AH147" s="483"/>
      <c r="AI147" s="483"/>
      <c r="AJ147" s="483"/>
      <c r="AK147" s="483"/>
      <c r="AL147" s="483"/>
      <c r="AM147" s="483"/>
      <c r="AN147" s="483"/>
      <c r="AO147" s="483"/>
      <c r="AP147" s="483"/>
      <c r="AQ147" s="483"/>
    </row>
    <row r="148" spans="2:43">
      <c r="B148" s="483"/>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3"/>
      <c r="AD148" s="483"/>
      <c r="AE148" s="483"/>
      <c r="AF148" s="483"/>
      <c r="AG148" s="483"/>
      <c r="AH148" s="483"/>
      <c r="AI148" s="483"/>
      <c r="AJ148" s="483"/>
      <c r="AK148" s="483"/>
      <c r="AL148" s="483"/>
      <c r="AM148" s="483"/>
      <c r="AN148" s="483"/>
      <c r="AO148" s="483"/>
      <c r="AP148" s="483"/>
      <c r="AQ148" s="483"/>
    </row>
    <row r="149" spans="2:43">
      <c r="B149" s="483"/>
      <c r="C149" s="483"/>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c r="AA149" s="483"/>
      <c r="AB149" s="483"/>
      <c r="AC149" s="483"/>
      <c r="AD149" s="483"/>
      <c r="AE149" s="483"/>
      <c r="AF149" s="483"/>
      <c r="AG149" s="483"/>
      <c r="AH149" s="483"/>
      <c r="AI149" s="483"/>
      <c r="AJ149" s="483"/>
      <c r="AK149" s="483"/>
      <c r="AL149" s="483"/>
      <c r="AM149" s="483"/>
      <c r="AN149" s="483"/>
      <c r="AO149" s="483"/>
      <c r="AP149" s="483"/>
      <c r="AQ149" s="483"/>
    </row>
    <row r="150" spans="2:43">
      <c r="B150" s="483"/>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3"/>
      <c r="AD150" s="483"/>
      <c r="AE150" s="483"/>
      <c r="AF150" s="483"/>
      <c r="AG150" s="483"/>
      <c r="AH150" s="483"/>
      <c r="AI150" s="483"/>
      <c r="AJ150" s="483"/>
      <c r="AK150" s="483"/>
      <c r="AL150" s="483"/>
      <c r="AM150" s="483"/>
      <c r="AN150" s="483"/>
      <c r="AO150" s="483"/>
      <c r="AP150" s="483"/>
      <c r="AQ150" s="483"/>
    </row>
    <row r="151" spans="2:43">
      <c r="B151" s="483"/>
      <c r="C151" s="483"/>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c r="AA151" s="483"/>
      <c r="AB151" s="483"/>
      <c r="AC151" s="483"/>
      <c r="AD151" s="483"/>
      <c r="AE151" s="483"/>
      <c r="AF151" s="483"/>
      <c r="AG151" s="483"/>
      <c r="AH151" s="483"/>
      <c r="AI151" s="483"/>
      <c r="AJ151" s="483"/>
      <c r="AK151" s="483"/>
      <c r="AL151" s="483"/>
      <c r="AM151" s="483"/>
      <c r="AN151" s="483"/>
      <c r="AO151" s="483"/>
      <c r="AP151" s="483"/>
      <c r="AQ151" s="483"/>
    </row>
    <row r="152" spans="2:43">
      <c r="B152" s="483"/>
      <c r="C152" s="483"/>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c r="AA152" s="483"/>
      <c r="AB152" s="483"/>
      <c r="AC152" s="483"/>
      <c r="AD152" s="483"/>
      <c r="AE152" s="483"/>
      <c r="AF152" s="483"/>
      <c r="AG152" s="483"/>
      <c r="AH152" s="483"/>
      <c r="AI152" s="483"/>
      <c r="AJ152" s="483"/>
      <c r="AK152" s="483"/>
      <c r="AL152" s="483"/>
      <c r="AM152" s="483"/>
      <c r="AN152" s="483"/>
      <c r="AO152" s="483"/>
      <c r="AP152" s="483"/>
      <c r="AQ152" s="483"/>
    </row>
    <row r="153" spans="2:43">
      <c r="B153" s="483"/>
      <c r="C153" s="483"/>
      <c r="D153" s="483"/>
      <c r="E153" s="483"/>
      <c r="F153" s="483"/>
      <c r="G153" s="483"/>
      <c r="H153" s="483"/>
      <c r="I153" s="483"/>
      <c r="J153" s="483"/>
      <c r="K153" s="483"/>
      <c r="L153" s="483"/>
      <c r="M153" s="483"/>
      <c r="N153" s="483"/>
      <c r="O153" s="483"/>
      <c r="P153" s="483"/>
      <c r="Q153" s="483"/>
      <c r="R153" s="483"/>
      <c r="S153" s="483"/>
      <c r="T153" s="483"/>
      <c r="U153" s="483"/>
      <c r="V153" s="483"/>
      <c r="W153" s="483"/>
      <c r="X153" s="483"/>
      <c r="Y153" s="483"/>
      <c r="Z153" s="483"/>
      <c r="AA153" s="483"/>
      <c r="AB153" s="483"/>
      <c r="AC153" s="483"/>
      <c r="AD153" s="483"/>
      <c r="AE153" s="483"/>
      <c r="AF153" s="483"/>
      <c r="AG153" s="483"/>
      <c r="AH153" s="483"/>
      <c r="AI153" s="483"/>
      <c r="AJ153" s="483"/>
      <c r="AK153" s="483"/>
      <c r="AL153" s="483"/>
      <c r="AM153" s="483"/>
      <c r="AN153" s="483"/>
      <c r="AO153" s="483"/>
      <c r="AP153" s="483"/>
      <c r="AQ153" s="483"/>
    </row>
    <row r="154" spans="2:43">
      <c r="B154" s="483"/>
      <c r="C154" s="483"/>
      <c r="D154" s="483"/>
      <c r="E154" s="483"/>
      <c r="F154" s="483"/>
      <c r="G154" s="483"/>
      <c r="H154" s="483"/>
      <c r="I154" s="483"/>
      <c r="J154" s="483"/>
      <c r="K154" s="483"/>
      <c r="L154" s="483"/>
      <c r="M154" s="483"/>
      <c r="N154" s="483"/>
      <c r="O154" s="483"/>
      <c r="P154" s="483"/>
      <c r="Q154" s="483"/>
      <c r="R154" s="483"/>
      <c r="S154" s="483"/>
      <c r="T154" s="483"/>
      <c r="U154" s="483"/>
      <c r="V154" s="483"/>
      <c r="W154" s="483"/>
      <c r="X154" s="483"/>
      <c r="Y154" s="483"/>
      <c r="Z154" s="483"/>
      <c r="AA154" s="483"/>
      <c r="AB154" s="483"/>
      <c r="AC154" s="483"/>
      <c r="AD154" s="483"/>
      <c r="AE154" s="483"/>
      <c r="AF154" s="483"/>
      <c r="AG154" s="483"/>
      <c r="AH154" s="483"/>
      <c r="AI154" s="483"/>
      <c r="AJ154" s="483"/>
      <c r="AK154" s="483"/>
      <c r="AL154" s="483"/>
      <c r="AM154" s="483"/>
      <c r="AN154" s="483"/>
      <c r="AO154" s="483"/>
      <c r="AP154" s="483"/>
      <c r="AQ154" s="483"/>
    </row>
    <row r="155" spans="2:43">
      <c r="B155" s="483"/>
      <c r="C155" s="483"/>
      <c r="D155" s="483"/>
      <c r="E155" s="483"/>
      <c r="F155" s="483"/>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c r="AE155" s="483"/>
      <c r="AF155" s="483"/>
      <c r="AG155" s="483"/>
      <c r="AH155" s="483"/>
      <c r="AI155" s="483"/>
      <c r="AJ155" s="483"/>
      <c r="AK155" s="483"/>
      <c r="AL155" s="483"/>
      <c r="AM155" s="483"/>
      <c r="AN155" s="483"/>
      <c r="AO155" s="483"/>
      <c r="AP155" s="483"/>
      <c r="AQ155" s="483"/>
    </row>
    <row r="156" spans="2:43">
      <c r="B156" s="483"/>
      <c r="C156" s="483"/>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483"/>
      <c r="AE156" s="483"/>
      <c r="AF156" s="483"/>
      <c r="AG156" s="483"/>
      <c r="AH156" s="483"/>
      <c r="AI156" s="483"/>
      <c r="AJ156" s="483"/>
      <c r="AK156" s="483"/>
      <c r="AL156" s="483"/>
      <c r="AM156" s="483"/>
      <c r="AN156" s="483"/>
      <c r="AO156" s="483"/>
      <c r="AP156" s="483"/>
      <c r="AQ156" s="483"/>
    </row>
    <row r="157" spans="2:43">
      <c r="B157" s="483"/>
      <c r="C157" s="483"/>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3"/>
      <c r="AD157" s="483"/>
      <c r="AE157" s="483"/>
      <c r="AF157" s="483"/>
      <c r="AG157" s="483"/>
      <c r="AH157" s="483"/>
      <c r="AI157" s="483"/>
      <c r="AJ157" s="483"/>
      <c r="AK157" s="483"/>
      <c r="AL157" s="483"/>
      <c r="AM157" s="483"/>
      <c r="AN157" s="483"/>
      <c r="AO157" s="483"/>
      <c r="AP157" s="483"/>
      <c r="AQ157" s="483"/>
    </row>
    <row r="158" spans="2:43">
      <c r="B158" s="483"/>
      <c r="C158" s="483"/>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3"/>
      <c r="AD158" s="483"/>
      <c r="AE158" s="483"/>
      <c r="AF158" s="483"/>
      <c r="AG158" s="483"/>
      <c r="AH158" s="483"/>
      <c r="AI158" s="483"/>
      <c r="AJ158" s="483"/>
      <c r="AK158" s="483"/>
      <c r="AL158" s="483"/>
      <c r="AM158" s="483"/>
      <c r="AN158" s="483"/>
      <c r="AO158" s="483"/>
      <c r="AP158" s="483"/>
      <c r="AQ158" s="483"/>
    </row>
    <row r="159" spans="2:43">
      <c r="B159" s="483"/>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3"/>
      <c r="AD159" s="483"/>
      <c r="AE159" s="483"/>
      <c r="AF159" s="483"/>
      <c r="AG159" s="483"/>
      <c r="AH159" s="483"/>
      <c r="AI159" s="483"/>
      <c r="AJ159" s="483"/>
      <c r="AK159" s="483"/>
      <c r="AL159" s="483"/>
      <c r="AM159" s="483"/>
      <c r="AN159" s="483"/>
      <c r="AO159" s="483"/>
      <c r="AP159" s="483"/>
      <c r="AQ159" s="483"/>
    </row>
    <row r="160" spans="2:43">
      <c r="B160" s="483"/>
      <c r="C160" s="483"/>
      <c r="D160" s="483"/>
      <c r="E160" s="483"/>
      <c r="F160" s="483"/>
      <c r="G160" s="483"/>
      <c r="H160" s="483"/>
      <c r="I160" s="483"/>
      <c r="J160" s="483"/>
      <c r="K160" s="483"/>
      <c r="L160" s="483"/>
      <c r="M160" s="483"/>
      <c r="N160" s="483"/>
      <c r="O160" s="483"/>
      <c r="P160" s="483"/>
      <c r="Q160" s="483"/>
      <c r="R160" s="483"/>
      <c r="S160" s="483"/>
      <c r="T160" s="483"/>
      <c r="U160" s="483"/>
      <c r="V160" s="483"/>
      <c r="W160" s="483"/>
      <c r="X160" s="483"/>
      <c r="Y160" s="483"/>
      <c r="Z160" s="483"/>
      <c r="AA160" s="483"/>
      <c r="AB160" s="483"/>
      <c r="AC160" s="483"/>
      <c r="AD160" s="483"/>
      <c r="AE160" s="483"/>
      <c r="AF160" s="483"/>
      <c r="AG160" s="483"/>
      <c r="AH160" s="483"/>
      <c r="AI160" s="483"/>
      <c r="AJ160" s="483"/>
      <c r="AK160" s="483"/>
      <c r="AL160" s="483"/>
      <c r="AM160" s="483"/>
      <c r="AN160" s="483"/>
      <c r="AO160" s="483"/>
      <c r="AP160" s="483"/>
      <c r="AQ160" s="483"/>
    </row>
    <row r="161" spans="2:43">
      <c r="B161" s="483"/>
      <c r="C161" s="483"/>
      <c r="D161" s="483"/>
      <c r="E161" s="483"/>
      <c r="F161" s="483"/>
      <c r="G161" s="483"/>
      <c r="H161" s="483"/>
      <c r="I161" s="483"/>
      <c r="J161" s="483"/>
      <c r="K161" s="483"/>
      <c r="L161" s="483"/>
      <c r="M161" s="483"/>
      <c r="N161" s="483"/>
      <c r="O161" s="483"/>
      <c r="P161" s="483"/>
      <c r="Q161" s="483"/>
      <c r="R161" s="483"/>
      <c r="S161" s="483"/>
      <c r="T161" s="483"/>
      <c r="U161" s="483"/>
      <c r="V161" s="483"/>
      <c r="W161" s="483"/>
      <c r="X161" s="483"/>
      <c r="Y161" s="483"/>
      <c r="Z161" s="483"/>
      <c r="AA161" s="483"/>
      <c r="AB161" s="483"/>
      <c r="AC161" s="483"/>
      <c r="AD161" s="483"/>
      <c r="AE161" s="483"/>
      <c r="AF161" s="483"/>
      <c r="AG161" s="483"/>
      <c r="AH161" s="483"/>
      <c r="AI161" s="483"/>
      <c r="AJ161" s="483"/>
      <c r="AK161" s="483"/>
      <c r="AL161" s="483"/>
      <c r="AM161" s="483"/>
      <c r="AN161" s="483"/>
      <c r="AO161" s="483"/>
      <c r="AP161" s="483"/>
      <c r="AQ161" s="483"/>
    </row>
    <row r="162" spans="2:43">
      <c r="B162" s="483"/>
      <c r="C162" s="483"/>
      <c r="D162" s="483"/>
      <c r="E162" s="483"/>
      <c r="F162" s="483"/>
      <c r="G162" s="483"/>
      <c r="H162" s="483"/>
      <c r="I162" s="483"/>
      <c r="J162" s="483"/>
      <c r="K162" s="483"/>
      <c r="L162" s="483"/>
      <c r="M162" s="483"/>
      <c r="N162" s="483"/>
      <c r="O162" s="483"/>
      <c r="P162" s="483"/>
      <c r="Q162" s="483"/>
      <c r="R162" s="483"/>
      <c r="S162" s="483"/>
      <c r="T162" s="483"/>
      <c r="U162" s="483"/>
      <c r="V162" s="483"/>
      <c r="W162" s="483"/>
      <c r="X162" s="483"/>
      <c r="Y162" s="483"/>
      <c r="Z162" s="483"/>
      <c r="AA162" s="483"/>
      <c r="AB162" s="483"/>
      <c r="AC162" s="483"/>
      <c r="AD162" s="483"/>
      <c r="AE162" s="483"/>
      <c r="AF162" s="483"/>
      <c r="AG162" s="483"/>
      <c r="AH162" s="483"/>
      <c r="AI162" s="483"/>
      <c r="AJ162" s="483"/>
      <c r="AK162" s="483"/>
      <c r="AL162" s="483"/>
      <c r="AM162" s="483"/>
      <c r="AN162" s="483"/>
      <c r="AO162" s="483"/>
      <c r="AP162" s="483"/>
      <c r="AQ162" s="483"/>
    </row>
    <row r="163" spans="2:43">
      <c r="B163" s="483"/>
      <c r="C163" s="483"/>
      <c r="D163" s="483"/>
      <c r="E163" s="483"/>
      <c r="F163" s="483"/>
      <c r="G163" s="483"/>
      <c r="H163" s="483"/>
      <c r="I163" s="483"/>
      <c r="J163" s="483"/>
      <c r="K163" s="483"/>
      <c r="L163" s="483"/>
      <c r="M163" s="483"/>
      <c r="N163" s="483"/>
      <c r="O163" s="483"/>
      <c r="P163" s="483"/>
      <c r="Q163" s="483"/>
      <c r="R163" s="483"/>
      <c r="S163" s="483"/>
      <c r="T163" s="483"/>
      <c r="U163" s="483"/>
      <c r="V163" s="483"/>
      <c r="W163" s="483"/>
      <c r="X163" s="483"/>
      <c r="Y163" s="483"/>
      <c r="Z163" s="483"/>
      <c r="AA163" s="483"/>
      <c r="AB163" s="483"/>
      <c r="AC163" s="483"/>
      <c r="AD163" s="483"/>
      <c r="AE163" s="483"/>
      <c r="AF163" s="483"/>
      <c r="AG163" s="483"/>
      <c r="AH163" s="483"/>
      <c r="AI163" s="483"/>
      <c r="AJ163" s="483"/>
      <c r="AK163" s="483"/>
      <c r="AL163" s="483"/>
      <c r="AM163" s="483"/>
      <c r="AN163" s="483"/>
      <c r="AO163" s="483"/>
      <c r="AP163" s="483"/>
      <c r="AQ163" s="483"/>
    </row>
    <row r="164" spans="2:43">
      <c r="B164" s="483"/>
      <c r="C164" s="483"/>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c r="AE164" s="483"/>
      <c r="AF164" s="483"/>
      <c r="AG164" s="483"/>
      <c r="AH164" s="483"/>
      <c r="AI164" s="483"/>
      <c r="AJ164" s="483"/>
      <c r="AK164" s="483"/>
      <c r="AL164" s="483"/>
      <c r="AM164" s="483"/>
      <c r="AN164" s="483"/>
      <c r="AO164" s="483"/>
      <c r="AP164" s="483"/>
      <c r="AQ164" s="483"/>
    </row>
    <row r="165" spans="2:43">
      <c r="B165" s="483"/>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3"/>
      <c r="AD165" s="483"/>
      <c r="AE165" s="483"/>
      <c r="AF165" s="483"/>
      <c r="AG165" s="483"/>
      <c r="AH165" s="483"/>
      <c r="AI165" s="483"/>
      <c r="AJ165" s="483"/>
      <c r="AK165" s="483"/>
      <c r="AL165" s="483"/>
      <c r="AM165" s="483"/>
      <c r="AN165" s="483"/>
      <c r="AO165" s="483"/>
      <c r="AP165" s="483"/>
      <c r="AQ165" s="483"/>
    </row>
    <row r="166" spans="2:43">
      <c r="B166" s="483"/>
      <c r="C166" s="483"/>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3"/>
      <c r="AD166" s="483"/>
      <c r="AE166" s="483"/>
      <c r="AF166" s="483"/>
      <c r="AG166" s="483"/>
      <c r="AH166" s="483"/>
      <c r="AI166" s="483"/>
      <c r="AJ166" s="483"/>
      <c r="AK166" s="483"/>
      <c r="AL166" s="483"/>
      <c r="AM166" s="483"/>
      <c r="AN166" s="483"/>
      <c r="AO166" s="483"/>
      <c r="AP166" s="483"/>
      <c r="AQ166" s="483"/>
    </row>
    <row r="167" spans="2:43">
      <c r="B167" s="483"/>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c r="AE167" s="483"/>
      <c r="AF167" s="483"/>
      <c r="AG167" s="483"/>
      <c r="AH167" s="483"/>
      <c r="AI167" s="483"/>
      <c r="AJ167" s="483"/>
      <c r="AK167" s="483"/>
      <c r="AL167" s="483"/>
      <c r="AM167" s="483"/>
      <c r="AN167" s="483"/>
      <c r="AO167" s="483"/>
      <c r="AP167" s="483"/>
      <c r="AQ167" s="483"/>
    </row>
    <row r="168" spans="2:43">
      <c r="B168" s="483"/>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c r="AE168" s="483"/>
      <c r="AF168" s="483"/>
      <c r="AG168" s="483"/>
      <c r="AH168" s="483"/>
      <c r="AI168" s="483"/>
      <c r="AJ168" s="483"/>
      <c r="AK168" s="483"/>
      <c r="AL168" s="483"/>
      <c r="AM168" s="483"/>
      <c r="AN168" s="483"/>
      <c r="AO168" s="483"/>
      <c r="AP168" s="483"/>
      <c r="AQ168" s="483"/>
    </row>
    <row r="169" spans="2:43">
      <c r="B169" s="483"/>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c r="AE169" s="483"/>
      <c r="AF169" s="483"/>
      <c r="AG169" s="483"/>
      <c r="AH169" s="483"/>
      <c r="AI169" s="483"/>
      <c r="AJ169" s="483"/>
      <c r="AK169" s="483"/>
      <c r="AL169" s="483"/>
      <c r="AM169" s="483"/>
      <c r="AN169" s="483"/>
      <c r="AO169" s="483"/>
      <c r="AP169" s="483"/>
      <c r="AQ169" s="483"/>
    </row>
    <row r="170" spans="2:43">
      <c r="B170" s="483"/>
      <c r="C170" s="483"/>
      <c r="D170" s="483"/>
      <c r="E170" s="483"/>
      <c r="F170" s="483"/>
      <c r="G170" s="483"/>
      <c r="H170" s="483"/>
      <c r="I170" s="483"/>
      <c r="J170" s="483"/>
      <c r="K170" s="483"/>
      <c r="L170" s="483"/>
      <c r="M170" s="483"/>
      <c r="N170" s="483"/>
      <c r="O170" s="483"/>
      <c r="P170" s="483"/>
      <c r="Q170" s="483"/>
      <c r="R170" s="483"/>
      <c r="S170" s="483"/>
      <c r="T170" s="483"/>
      <c r="U170" s="483"/>
      <c r="V170" s="483"/>
      <c r="W170" s="483"/>
      <c r="X170" s="483"/>
      <c r="Y170" s="483"/>
      <c r="Z170" s="483"/>
      <c r="AA170" s="483"/>
      <c r="AB170" s="483"/>
      <c r="AC170" s="483"/>
      <c r="AD170" s="483"/>
      <c r="AE170" s="483"/>
      <c r="AF170" s="483"/>
      <c r="AG170" s="483"/>
      <c r="AH170" s="483"/>
      <c r="AI170" s="483"/>
      <c r="AJ170" s="483"/>
      <c r="AK170" s="483"/>
      <c r="AL170" s="483"/>
      <c r="AM170" s="483"/>
      <c r="AN170" s="483"/>
      <c r="AO170" s="483"/>
      <c r="AP170" s="483"/>
      <c r="AQ170" s="483"/>
    </row>
    <row r="171" spans="2:43">
      <c r="B171" s="483"/>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c r="AA171" s="483"/>
      <c r="AB171" s="483"/>
      <c r="AC171" s="483"/>
      <c r="AD171" s="483"/>
      <c r="AE171" s="483"/>
      <c r="AF171" s="483"/>
      <c r="AG171" s="483"/>
      <c r="AH171" s="483"/>
      <c r="AI171" s="483"/>
      <c r="AJ171" s="483"/>
      <c r="AK171" s="483"/>
      <c r="AL171" s="483"/>
      <c r="AM171" s="483"/>
      <c r="AN171" s="483"/>
      <c r="AO171" s="483"/>
      <c r="AP171" s="483"/>
      <c r="AQ171" s="483"/>
    </row>
    <row r="172" spans="2:43">
      <c r="B172" s="483"/>
      <c r="C172" s="483"/>
      <c r="D172" s="483"/>
      <c r="E172" s="483"/>
      <c r="F172" s="483"/>
      <c r="G172" s="483"/>
      <c r="H172" s="483"/>
      <c r="I172" s="483"/>
      <c r="J172" s="483"/>
      <c r="K172" s="483"/>
      <c r="L172" s="483"/>
      <c r="M172" s="483"/>
      <c r="N172" s="483"/>
      <c r="O172" s="483"/>
      <c r="P172" s="483"/>
      <c r="Q172" s="483"/>
      <c r="R172" s="483"/>
      <c r="S172" s="483"/>
      <c r="T172" s="483"/>
      <c r="U172" s="483"/>
      <c r="V172" s="483"/>
      <c r="W172" s="483"/>
      <c r="X172" s="483"/>
      <c r="Y172" s="483"/>
      <c r="Z172" s="483"/>
      <c r="AA172" s="483"/>
      <c r="AB172" s="483"/>
      <c r="AC172" s="483"/>
      <c r="AD172" s="483"/>
      <c r="AE172" s="483"/>
      <c r="AF172" s="483"/>
      <c r="AG172" s="483"/>
      <c r="AH172" s="483"/>
      <c r="AI172" s="483"/>
      <c r="AJ172" s="483"/>
      <c r="AK172" s="483"/>
      <c r="AL172" s="483"/>
      <c r="AM172" s="483"/>
      <c r="AN172" s="483"/>
      <c r="AO172" s="483"/>
      <c r="AP172" s="483"/>
      <c r="AQ172" s="483"/>
    </row>
    <row r="173" spans="2:43">
      <c r="B173" s="483"/>
      <c r="C173" s="483"/>
      <c r="D173" s="483"/>
      <c r="E173" s="483"/>
      <c r="F173" s="483"/>
      <c r="G173" s="483"/>
      <c r="H173" s="483"/>
      <c r="I173" s="483"/>
      <c r="J173" s="483"/>
      <c r="K173" s="483"/>
      <c r="L173" s="483"/>
      <c r="M173" s="483"/>
      <c r="N173" s="483"/>
      <c r="O173" s="483"/>
      <c r="P173" s="483"/>
      <c r="Q173" s="483"/>
      <c r="R173" s="483"/>
      <c r="S173" s="483"/>
      <c r="T173" s="483"/>
      <c r="U173" s="483"/>
      <c r="V173" s="483"/>
      <c r="W173" s="483"/>
      <c r="X173" s="483"/>
      <c r="Y173" s="483"/>
      <c r="Z173" s="483"/>
      <c r="AA173" s="483"/>
      <c r="AB173" s="483"/>
      <c r="AC173" s="483"/>
      <c r="AD173" s="483"/>
      <c r="AE173" s="483"/>
      <c r="AF173" s="483"/>
      <c r="AG173" s="483"/>
      <c r="AH173" s="483"/>
      <c r="AI173" s="483"/>
      <c r="AJ173" s="483"/>
      <c r="AK173" s="483"/>
      <c r="AL173" s="483"/>
      <c r="AM173" s="483"/>
      <c r="AN173" s="483"/>
      <c r="AO173" s="483"/>
      <c r="AP173" s="483"/>
      <c r="AQ173" s="483"/>
    </row>
    <row r="174" spans="2:43">
      <c r="B174" s="483"/>
      <c r="C174" s="483"/>
      <c r="D174" s="483"/>
      <c r="E174" s="483"/>
      <c r="F174" s="483"/>
      <c r="G174" s="483"/>
      <c r="H174" s="483"/>
      <c r="I174" s="483"/>
      <c r="J174" s="483"/>
      <c r="K174" s="483"/>
      <c r="L174" s="483"/>
      <c r="M174" s="483"/>
      <c r="N174" s="483"/>
      <c r="O174" s="483"/>
      <c r="P174" s="483"/>
      <c r="Q174" s="483"/>
      <c r="R174" s="483"/>
      <c r="S174" s="483"/>
      <c r="T174" s="483"/>
      <c r="U174" s="483"/>
      <c r="V174" s="483"/>
      <c r="W174" s="483"/>
      <c r="X174" s="483"/>
      <c r="Y174" s="483"/>
      <c r="Z174" s="483"/>
      <c r="AA174" s="483"/>
      <c r="AB174" s="483"/>
      <c r="AC174" s="483"/>
      <c r="AD174" s="483"/>
      <c r="AE174" s="483"/>
      <c r="AF174" s="483"/>
      <c r="AG174" s="483"/>
      <c r="AH174" s="483"/>
      <c r="AI174" s="483"/>
      <c r="AJ174" s="483"/>
      <c r="AK174" s="483"/>
      <c r="AL174" s="483"/>
      <c r="AM174" s="483"/>
      <c r="AN174" s="483"/>
      <c r="AO174" s="483"/>
      <c r="AP174" s="483"/>
      <c r="AQ174" s="483"/>
    </row>
    <row r="175" spans="2:43">
      <c r="B175" s="483"/>
      <c r="C175" s="483"/>
      <c r="D175" s="483"/>
      <c r="E175" s="483"/>
      <c r="F175" s="483"/>
      <c r="G175" s="483"/>
      <c r="H175" s="483"/>
      <c r="I175" s="483"/>
      <c r="J175" s="483"/>
      <c r="K175" s="483"/>
      <c r="L175" s="483"/>
      <c r="M175" s="483"/>
      <c r="N175" s="483"/>
      <c r="O175" s="483"/>
      <c r="P175" s="483"/>
      <c r="Q175" s="483"/>
      <c r="R175" s="483"/>
      <c r="S175" s="483"/>
      <c r="T175" s="483"/>
      <c r="U175" s="483"/>
      <c r="V175" s="483"/>
      <c r="W175" s="483"/>
      <c r="X175" s="483"/>
      <c r="Y175" s="483"/>
      <c r="Z175" s="483"/>
      <c r="AA175" s="483"/>
      <c r="AB175" s="483"/>
      <c r="AC175" s="483"/>
      <c r="AD175" s="483"/>
      <c r="AE175" s="483"/>
      <c r="AF175" s="483"/>
      <c r="AG175" s="483"/>
      <c r="AH175" s="483"/>
      <c r="AI175" s="483"/>
      <c r="AJ175" s="483"/>
      <c r="AK175" s="483"/>
      <c r="AL175" s="483"/>
      <c r="AM175" s="483"/>
      <c r="AN175" s="483"/>
      <c r="AO175" s="483"/>
      <c r="AP175" s="483"/>
      <c r="AQ175" s="483"/>
    </row>
    <row r="176" spans="2:43">
      <c r="B176" s="483"/>
      <c r="C176" s="483"/>
      <c r="D176" s="483"/>
      <c r="E176" s="483"/>
      <c r="F176" s="483"/>
      <c r="G176" s="483"/>
      <c r="H176" s="483"/>
      <c r="I176" s="483"/>
      <c r="J176" s="483"/>
      <c r="K176" s="483"/>
      <c r="L176" s="483"/>
      <c r="M176" s="483"/>
      <c r="N176" s="483"/>
      <c r="O176" s="483"/>
      <c r="P176" s="483"/>
      <c r="Q176" s="483"/>
      <c r="R176" s="483"/>
      <c r="S176" s="483"/>
      <c r="T176" s="483"/>
      <c r="U176" s="483"/>
      <c r="V176" s="483"/>
      <c r="W176" s="483"/>
      <c r="X176" s="483"/>
      <c r="Y176" s="483"/>
      <c r="Z176" s="483"/>
      <c r="AA176" s="483"/>
      <c r="AB176" s="483"/>
      <c r="AC176" s="483"/>
      <c r="AD176" s="483"/>
      <c r="AE176" s="483"/>
      <c r="AF176" s="483"/>
      <c r="AG176" s="483"/>
      <c r="AH176" s="483"/>
      <c r="AI176" s="483"/>
      <c r="AJ176" s="483"/>
      <c r="AK176" s="483"/>
      <c r="AL176" s="483"/>
      <c r="AM176" s="483"/>
      <c r="AN176" s="483"/>
      <c r="AO176" s="483"/>
      <c r="AP176" s="483"/>
      <c r="AQ176" s="483"/>
    </row>
    <row r="177" spans="2:43">
      <c r="B177" s="483"/>
      <c r="C177" s="483"/>
      <c r="D177" s="483"/>
      <c r="E177" s="483"/>
      <c r="F177" s="483"/>
      <c r="G177" s="483"/>
      <c r="H177" s="483"/>
      <c r="I177" s="483"/>
      <c r="J177" s="483"/>
      <c r="K177" s="483"/>
      <c r="L177" s="483"/>
      <c r="M177" s="483"/>
      <c r="N177" s="483"/>
      <c r="O177" s="483"/>
      <c r="P177" s="483"/>
      <c r="Q177" s="483"/>
      <c r="R177" s="483"/>
      <c r="S177" s="483"/>
      <c r="T177" s="483"/>
      <c r="U177" s="483"/>
      <c r="V177" s="483"/>
      <c r="W177" s="483"/>
      <c r="X177" s="483"/>
      <c r="Y177" s="483"/>
      <c r="Z177" s="483"/>
      <c r="AA177" s="483"/>
      <c r="AB177" s="483"/>
      <c r="AC177" s="483"/>
      <c r="AD177" s="483"/>
      <c r="AE177" s="483"/>
      <c r="AF177" s="483"/>
      <c r="AG177" s="483"/>
      <c r="AH177" s="483"/>
      <c r="AI177" s="483"/>
      <c r="AJ177" s="483"/>
      <c r="AK177" s="483"/>
      <c r="AL177" s="483"/>
      <c r="AM177" s="483"/>
      <c r="AN177" s="483"/>
      <c r="AO177" s="483"/>
      <c r="AP177" s="483"/>
      <c r="AQ177" s="483"/>
    </row>
    <row r="178" spans="2:43">
      <c r="B178" s="483"/>
      <c r="C178" s="483"/>
      <c r="D178" s="483"/>
      <c r="E178" s="483"/>
      <c r="F178" s="483"/>
      <c r="G178" s="483"/>
      <c r="H178" s="483"/>
      <c r="I178" s="483"/>
      <c r="J178" s="483"/>
      <c r="K178" s="483"/>
      <c r="L178" s="483"/>
      <c r="M178" s="483"/>
      <c r="N178" s="483"/>
      <c r="O178" s="483"/>
      <c r="P178" s="483"/>
      <c r="Q178" s="483"/>
      <c r="R178" s="483"/>
      <c r="S178" s="483"/>
      <c r="T178" s="483"/>
      <c r="U178" s="483"/>
      <c r="V178" s="483"/>
      <c r="W178" s="483"/>
      <c r="X178" s="483"/>
      <c r="Y178" s="483"/>
      <c r="Z178" s="483"/>
      <c r="AA178" s="483"/>
      <c r="AB178" s="483"/>
      <c r="AC178" s="483"/>
      <c r="AD178" s="483"/>
      <c r="AE178" s="483"/>
      <c r="AF178" s="483"/>
      <c r="AG178" s="483"/>
      <c r="AH178" s="483"/>
      <c r="AI178" s="483"/>
      <c r="AJ178" s="483"/>
      <c r="AK178" s="483"/>
      <c r="AL178" s="483"/>
      <c r="AM178" s="483"/>
      <c r="AN178" s="483"/>
      <c r="AO178" s="483"/>
      <c r="AP178" s="483"/>
      <c r="AQ178" s="483"/>
    </row>
    <row r="179" spans="2:43">
      <c r="B179" s="483"/>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3"/>
      <c r="AN179" s="483"/>
      <c r="AO179" s="483"/>
      <c r="AP179" s="483"/>
      <c r="AQ179" s="483"/>
    </row>
    <row r="180" spans="2:43">
      <c r="B180" s="483"/>
      <c r="C180" s="483"/>
      <c r="D180" s="483"/>
      <c r="E180" s="483"/>
      <c r="F180" s="483"/>
      <c r="G180" s="483"/>
      <c r="H180" s="483"/>
      <c r="I180" s="483"/>
      <c r="J180" s="483"/>
      <c r="K180" s="483"/>
      <c r="L180" s="483"/>
      <c r="M180" s="483"/>
      <c r="N180" s="483"/>
      <c r="O180" s="483"/>
      <c r="P180" s="483"/>
      <c r="Q180" s="483"/>
      <c r="R180" s="483"/>
      <c r="S180" s="483"/>
      <c r="T180" s="483"/>
      <c r="U180" s="483"/>
      <c r="V180" s="483"/>
      <c r="W180" s="483"/>
      <c r="X180" s="483"/>
      <c r="Y180" s="483"/>
      <c r="Z180" s="483"/>
      <c r="AA180" s="483"/>
      <c r="AB180" s="483"/>
      <c r="AC180" s="483"/>
      <c r="AD180" s="483"/>
      <c r="AE180" s="483"/>
      <c r="AF180" s="483"/>
      <c r="AG180" s="483"/>
      <c r="AH180" s="483"/>
      <c r="AI180" s="483"/>
      <c r="AJ180" s="483"/>
      <c r="AK180" s="483"/>
      <c r="AL180" s="483"/>
      <c r="AM180" s="483"/>
      <c r="AN180" s="483"/>
      <c r="AO180" s="483"/>
      <c r="AP180" s="483"/>
      <c r="AQ180" s="483"/>
    </row>
    <row r="181" spans="2:43">
      <c r="B181" s="483"/>
      <c r="C181" s="483"/>
      <c r="D181" s="483"/>
      <c r="E181" s="483"/>
      <c r="F181" s="483"/>
      <c r="G181" s="483"/>
      <c r="H181" s="483"/>
      <c r="I181" s="483"/>
      <c r="J181" s="483"/>
      <c r="K181" s="483"/>
      <c r="L181" s="483"/>
      <c r="M181" s="483"/>
      <c r="N181" s="483"/>
      <c r="O181" s="483"/>
      <c r="P181" s="483"/>
      <c r="Q181" s="483"/>
      <c r="R181" s="483"/>
      <c r="S181" s="483"/>
      <c r="T181" s="483"/>
      <c r="U181" s="483"/>
      <c r="V181" s="483"/>
      <c r="W181" s="483"/>
      <c r="X181" s="483"/>
      <c r="Y181" s="483"/>
      <c r="Z181" s="483"/>
      <c r="AA181" s="483"/>
      <c r="AB181" s="483"/>
      <c r="AC181" s="483"/>
      <c r="AD181" s="483"/>
      <c r="AE181" s="483"/>
      <c r="AF181" s="483"/>
      <c r="AG181" s="483"/>
      <c r="AH181" s="483"/>
      <c r="AI181" s="483"/>
      <c r="AJ181" s="483"/>
      <c r="AK181" s="483"/>
      <c r="AL181" s="483"/>
      <c r="AM181" s="483"/>
      <c r="AN181" s="483"/>
      <c r="AO181" s="483"/>
      <c r="AP181" s="483"/>
      <c r="AQ181" s="483"/>
    </row>
    <row r="182" spans="2:43">
      <c r="B182" s="483"/>
      <c r="C182" s="483"/>
      <c r="D182" s="483"/>
      <c r="E182" s="483"/>
      <c r="F182" s="483"/>
      <c r="G182" s="483"/>
      <c r="H182" s="483"/>
      <c r="I182" s="483"/>
      <c r="J182" s="483"/>
      <c r="K182" s="483"/>
      <c r="L182" s="483"/>
      <c r="M182" s="483"/>
      <c r="N182" s="483"/>
      <c r="O182" s="483"/>
      <c r="P182" s="483"/>
      <c r="Q182" s="483"/>
      <c r="R182" s="483"/>
      <c r="S182" s="483"/>
      <c r="T182" s="483"/>
      <c r="U182" s="483"/>
      <c r="V182" s="483"/>
      <c r="W182" s="483"/>
      <c r="X182" s="483"/>
      <c r="Y182" s="483"/>
      <c r="Z182" s="483"/>
      <c r="AA182" s="483"/>
      <c r="AB182" s="483"/>
      <c r="AC182" s="483"/>
      <c r="AD182" s="483"/>
      <c r="AE182" s="483"/>
      <c r="AF182" s="483"/>
      <c r="AG182" s="483"/>
      <c r="AH182" s="483"/>
      <c r="AI182" s="483"/>
      <c r="AJ182" s="483"/>
      <c r="AK182" s="483"/>
      <c r="AL182" s="483"/>
      <c r="AM182" s="483"/>
      <c r="AN182" s="483"/>
      <c r="AO182" s="483"/>
      <c r="AP182" s="483"/>
      <c r="AQ182" s="483"/>
    </row>
    <row r="183" spans="2:43">
      <c r="B183" s="483"/>
      <c r="C183" s="483"/>
      <c r="D183" s="483"/>
      <c r="E183" s="483"/>
      <c r="F183" s="483"/>
      <c r="G183" s="483"/>
      <c r="H183" s="483"/>
      <c r="I183" s="483"/>
      <c r="J183" s="483"/>
      <c r="K183" s="483"/>
      <c r="L183" s="483"/>
      <c r="M183" s="483"/>
      <c r="N183" s="483"/>
      <c r="O183" s="483"/>
      <c r="P183" s="483"/>
      <c r="Q183" s="483"/>
      <c r="R183" s="483"/>
      <c r="S183" s="483"/>
      <c r="T183" s="483"/>
      <c r="U183" s="483"/>
      <c r="V183" s="483"/>
      <c r="W183" s="483"/>
      <c r="X183" s="483"/>
      <c r="Y183" s="483"/>
      <c r="Z183" s="483"/>
      <c r="AA183" s="483"/>
      <c r="AB183" s="483"/>
      <c r="AC183" s="483"/>
      <c r="AD183" s="483"/>
      <c r="AE183" s="483"/>
      <c r="AF183" s="483"/>
      <c r="AG183" s="483"/>
      <c r="AH183" s="483"/>
      <c r="AI183" s="483"/>
      <c r="AJ183" s="483"/>
      <c r="AK183" s="483"/>
      <c r="AL183" s="483"/>
      <c r="AM183" s="483"/>
      <c r="AN183" s="483"/>
      <c r="AO183" s="483"/>
      <c r="AP183" s="483"/>
      <c r="AQ183" s="483"/>
    </row>
    <row r="184" spans="2:43">
      <c r="B184" s="483"/>
      <c r="C184" s="483"/>
      <c r="D184" s="483"/>
      <c r="E184" s="483"/>
      <c r="F184" s="483"/>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c r="AE184" s="483"/>
      <c r="AF184" s="483"/>
      <c r="AG184" s="483"/>
      <c r="AH184" s="483"/>
      <c r="AI184" s="483"/>
      <c r="AJ184" s="483"/>
      <c r="AK184" s="483"/>
      <c r="AL184" s="483"/>
      <c r="AM184" s="483"/>
      <c r="AN184" s="483"/>
      <c r="AO184" s="483"/>
      <c r="AP184" s="483"/>
      <c r="AQ184" s="483"/>
    </row>
    <row r="185" spans="2:43">
      <c r="B185" s="483"/>
      <c r="C185" s="483"/>
      <c r="D185" s="483"/>
      <c r="E185" s="483"/>
      <c r="F185" s="483"/>
      <c r="G185" s="483"/>
      <c r="H185" s="483"/>
      <c r="I185" s="483"/>
      <c r="J185" s="483"/>
      <c r="K185" s="483"/>
      <c r="L185" s="483"/>
      <c r="M185" s="483"/>
      <c r="N185" s="483"/>
      <c r="O185" s="483"/>
      <c r="P185" s="483"/>
      <c r="Q185" s="483"/>
      <c r="R185" s="483"/>
      <c r="S185" s="483"/>
      <c r="T185" s="483"/>
      <c r="U185" s="483"/>
      <c r="V185" s="483"/>
      <c r="W185" s="483"/>
      <c r="X185" s="483"/>
      <c r="Y185" s="483"/>
      <c r="Z185" s="483"/>
      <c r="AA185" s="483"/>
      <c r="AB185" s="483"/>
      <c r="AC185" s="483"/>
      <c r="AD185" s="483"/>
      <c r="AE185" s="483"/>
      <c r="AF185" s="483"/>
      <c r="AG185" s="483"/>
      <c r="AH185" s="483"/>
      <c r="AI185" s="483"/>
      <c r="AJ185" s="483"/>
      <c r="AK185" s="483"/>
      <c r="AL185" s="483"/>
      <c r="AM185" s="483"/>
      <c r="AN185" s="483"/>
      <c r="AO185" s="483"/>
      <c r="AP185" s="483"/>
      <c r="AQ185" s="483"/>
    </row>
    <row r="186" spans="2:43">
      <c r="B186" s="483"/>
      <c r="C186" s="483"/>
      <c r="D186" s="483"/>
      <c r="E186" s="483"/>
      <c r="F186" s="483"/>
      <c r="G186" s="483"/>
      <c r="H186" s="483"/>
      <c r="I186" s="483"/>
      <c r="J186" s="483"/>
      <c r="K186" s="483"/>
      <c r="L186" s="483"/>
      <c r="M186" s="483"/>
      <c r="N186" s="483"/>
      <c r="O186" s="483"/>
      <c r="P186" s="483"/>
      <c r="Q186" s="483"/>
      <c r="R186" s="483"/>
      <c r="S186" s="483"/>
      <c r="T186" s="483"/>
      <c r="U186" s="483"/>
      <c r="V186" s="483"/>
      <c r="W186" s="483"/>
      <c r="X186" s="483"/>
      <c r="Y186" s="483"/>
      <c r="Z186" s="483"/>
      <c r="AA186" s="483"/>
      <c r="AB186" s="483"/>
      <c r="AC186" s="483"/>
      <c r="AD186" s="483"/>
      <c r="AE186" s="483"/>
      <c r="AF186" s="483"/>
      <c r="AG186" s="483"/>
      <c r="AH186" s="483"/>
      <c r="AI186" s="483"/>
      <c r="AJ186" s="483"/>
      <c r="AK186" s="483"/>
      <c r="AL186" s="483"/>
      <c r="AM186" s="483"/>
      <c r="AN186" s="483"/>
      <c r="AO186" s="483"/>
      <c r="AP186" s="483"/>
      <c r="AQ186" s="483"/>
    </row>
    <row r="187" spans="2:43">
      <c r="B187" s="483"/>
      <c r="C187" s="483"/>
      <c r="D187" s="483"/>
      <c r="E187" s="483"/>
      <c r="F187" s="483"/>
      <c r="G187" s="483"/>
      <c r="H187" s="483"/>
      <c r="I187" s="483"/>
      <c r="J187" s="483"/>
      <c r="K187" s="483"/>
      <c r="L187" s="483"/>
      <c r="M187" s="483"/>
      <c r="N187" s="483"/>
      <c r="O187" s="483"/>
      <c r="P187" s="483"/>
      <c r="Q187" s="483"/>
      <c r="R187" s="483"/>
      <c r="S187" s="483"/>
      <c r="T187" s="483"/>
      <c r="U187" s="483"/>
      <c r="V187" s="483"/>
      <c r="W187" s="483"/>
      <c r="X187" s="483"/>
      <c r="Y187" s="483"/>
      <c r="Z187" s="483"/>
      <c r="AA187" s="483"/>
      <c r="AB187" s="483"/>
      <c r="AC187" s="483"/>
      <c r="AD187" s="483"/>
      <c r="AE187" s="483"/>
      <c r="AF187" s="483"/>
      <c r="AG187" s="483"/>
      <c r="AH187" s="483"/>
      <c r="AI187" s="483"/>
      <c r="AJ187" s="483"/>
      <c r="AK187" s="483"/>
      <c r="AL187" s="483"/>
      <c r="AM187" s="483"/>
      <c r="AN187" s="483"/>
      <c r="AO187" s="483"/>
      <c r="AP187" s="483"/>
      <c r="AQ187" s="483"/>
    </row>
    <row r="188" spans="2:43">
      <c r="B188" s="483"/>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3"/>
      <c r="AB188" s="483"/>
      <c r="AC188" s="483"/>
      <c r="AD188" s="483"/>
      <c r="AE188" s="483"/>
      <c r="AF188" s="483"/>
      <c r="AG188" s="483"/>
      <c r="AH188" s="483"/>
      <c r="AI188" s="483"/>
      <c r="AJ188" s="483"/>
      <c r="AK188" s="483"/>
      <c r="AL188" s="483"/>
      <c r="AM188" s="483"/>
      <c r="AN188" s="483"/>
      <c r="AO188" s="483"/>
      <c r="AP188" s="483"/>
      <c r="AQ188" s="483"/>
    </row>
    <row r="189" spans="2:43">
      <c r="B189" s="483"/>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c r="AA189" s="483"/>
      <c r="AB189" s="483"/>
      <c r="AC189" s="483"/>
      <c r="AD189" s="483"/>
      <c r="AE189" s="483"/>
      <c r="AF189" s="483"/>
      <c r="AG189" s="483"/>
      <c r="AH189" s="483"/>
      <c r="AI189" s="483"/>
      <c r="AJ189" s="483"/>
      <c r="AK189" s="483"/>
      <c r="AL189" s="483"/>
      <c r="AM189" s="483"/>
      <c r="AN189" s="483"/>
      <c r="AO189" s="483"/>
      <c r="AP189" s="483"/>
      <c r="AQ189" s="483"/>
    </row>
    <row r="190" spans="2:43">
      <c r="B190" s="483"/>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c r="AA190" s="483"/>
      <c r="AB190" s="483"/>
      <c r="AC190" s="483"/>
      <c r="AD190" s="483"/>
      <c r="AE190" s="483"/>
      <c r="AF190" s="483"/>
      <c r="AG190" s="483"/>
      <c r="AH190" s="483"/>
      <c r="AI190" s="483"/>
      <c r="AJ190" s="483"/>
      <c r="AK190" s="483"/>
      <c r="AL190" s="483"/>
      <c r="AM190" s="483"/>
      <c r="AN190" s="483"/>
      <c r="AO190" s="483"/>
      <c r="AP190" s="483"/>
      <c r="AQ190" s="483"/>
    </row>
    <row r="191" spans="2:43">
      <c r="B191" s="483"/>
      <c r="C191" s="483"/>
      <c r="D191" s="483"/>
      <c r="E191" s="483"/>
      <c r="F191" s="483"/>
      <c r="G191" s="483"/>
      <c r="H191" s="483"/>
      <c r="I191" s="483"/>
      <c r="J191" s="483"/>
      <c r="K191" s="483"/>
      <c r="L191" s="483"/>
      <c r="M191" s="483"/>
      <c r="N191" s="483"/>
      <c r="O191" s="483"/>
      <c r="P191" s="483"/>
      <c r="Q191" s="483"/>
      <c r="R191" s="483"/>
      <c r="S191" s="483"/>
      <c r="T191" s="483"/>
      <c r="U191" s="483"/>
      <c r="V191" s="483"/>
      <c r="W191" s="483"/>
      <c r="X191" s="483"/>
      <c r="Y191" s="483"/>
      <c r="Z191" s="483"/>
      <c r="AA191" s="483"/>
      <c r="AB191" s="483"/>
      <c r="AC191" s="483"/>
      <c r="AD191" s="483"/>
      <c r="AE191" s="483"/>
      <c r="AF191" s="483"/>
      <c r="AG191" s="483"/>
      <c r="AH191" s="483"/>
      <c r="AI191" s="483"/>
      <c r="AJ191" s="483"/>
      <c r="AK191" s="483"/>
      <c r="AL191" s="483"/>
      <c r="AM191" s="483"/>
      <c r="AN191" s="483"/>
      <c r="AO191" s="483"/>
      <c r="AP191" s="483"/>
      <c r="AQ191" s="483"/>
    </row>
    <row r="192" spans="2:43">
      <c r="B192" s="483"/>
      <c r="C192" s="483"/>
      <c r="D192" s="483"/>
      <c r="E192" s="483"/>
      <c r="F192" s="483"/>
      <c r="G192" s="483"/>
      <c r="H192" s="483"/>
      <c r="I192" s="483"/>
      <c r="J192" s="483"/>
      <c r="K192" s="483"/>
      <c r="L192" s="483"/>
      <c r="M192" s="483"/>
      <c r="N192" s="483"/>
      <c r="O192" s="483"/>
      <c r="P192" s="483"/>
      <c r="Q192" s="483"/>
      <c r="R192" s="483"/>
      <c r="S192" s="483"/>
      <c r="T192" s="483"/>
      <c r="U192" s="483"/>
      <c r="V192" s="483"/>
      <c r="W192" s="483"/>
      <c r="X192" s="483"/>
      <c r="Y192" s="483"/>
      <c r="Z192" s="483"/>
      <c r="AA192" s="483"/>
      <c r="AB192" s="483"/>
      <c r="AC192" s="483"/>
      <c r="AD192" s="483"/>
      <c r="AE192" s="483"/>
      <c r="AF192" s="483"/>
      <c r="AG192" s="483"/>
      <c r="AH192" s="483"/>
      <c r="AI192" s="483"/>
      <c r="AJ192" s="483"/>
      <c r="AK192" s="483"/>
      <c r="AL192" s="483"/>
      <c r="AM192" s="483"/>
      <c r="AN192" s="483"/>
      <c r="AO192" s="483"/>
      <c r="AP192" s="483"/>
      <c r="AQ192" s="483"/>
    </row>
    <row r="193" spans="2:43">
      <c r="B193" s="483"/>
      <c r="C193" s="483"/>
      <c r="D193" s="483"/>
      <c r="E193" s="483"/>
      <c r="F193" s="483"/>
      <c r="G193" s="483"/>
      <c r="H193" s="483"/>
      <c r="I193" s="483"/>
      <c r="J193" s="483"/>
      <c r="K193" s="483"/>
      <c r="L193" s="483"/>
      <c r="M193" s="483"/>
      <c r="N193" s="483"/>
      <c r="O193" s="483"/>
      <c r="P193" s="483"/>
      <c r="Q193" s="483"/>
      <c r="R193" s="483"/>
      <c r="S193" s="483"/>
      <c r="T193" s="483"/>
      <c r="U193" s="483"/>
      <c r="V193" s="483"/>
      <c r="W193" s="483"/>
      <c r="X193" s="483"/>
      <c r="Y193" s="483"/>
      <c r="Z193" s="483"/>
      <c r="AA193" s="483"/>
      <c r="AB193" s="483"/>
      <c r="AC193" s="483"/>
      <c r="AD193" s="483"/>
      <c r="AE193" s="483"/>
      <c r="AF193" s="483"/>
      <c r="AG193" s="483"/>
      <c r="AH193" s="483"/>
      <c r="AI193" s="483"/>
      <c r="AJ193" s="483"/>
      <c r="AK193" s="483"/>
      <c r="AL193" s="483"/>
      <c r="AM193" s="483"/>
      <c r="AN193" s="483"/>
      <c r="AO193" s="483"/>
      <c r="AP193" s="483"/>
      <c r="AQ193" s="483"/>
    </row>
    <row r="194" spans="2:43">
      <c r="B194" s="483"/>
      <c r="C194" s="483"/>
      <c r="D194" s="483"/>
      <c r="E194" s="483"/>
      <c r="F194" s="483"/>
      <c r="G194" s="483"/>
      <c r="H194" s="483"/>
      <c r="I194" s="483"/>
      <c r="J194" s="483"/>
      <c r="K194" s="483"/>
      <c r="L194" s="483"/>
      <c r="M194" s="483"/>
      <c r="N194" s="483"/>
      <c r="O194" s="483"/>
      <c r="P194" s="483"/>
      <c r="Q194" s="483"/>
      <c r="R194" s="483"/>
      <c r="S194" s="483"/>
      <c r="T194" s="483"/>
      <c r="U194" s="483"/>
      <c r="V194" s="483"/>
      <c r="W194" s="483"/>
      <c r="X194" s="483"/>
      <c r="Y194" s="483"/>
      <c r="Z194" s="483"/>
      <c r="AA194" s="483"/>
      <c r="AB194" s="483"/>
      <c r="AC194" s="483"/>
      <c r="AD194" s="483"/>
      <c r="AE194" s="483"/>
      <c r="AF194" s="483"/>
      <c r="AG194" s="483"/>
      <c r="AH194" s="483"/>
      <c r="AI194" s="483"/>
      <c r="AJ194" s="483"/>
      <c r="AK194" s="483"/>
      <c r="AL194" s="483"/>
      <c r="AM194" s="483"/>
      <c r="AN194" s="483"/>
      <c r="AO194" s="483"/>
      <c r="AP194" s="483"/>
      <c r="AQ194" s="483"/>
    </row>
    <row r="195" spans="2:43">
      <c r="B195" s="483"/>
      <c r="C195" s="483"/>
      <c r="D195" s="483"/>
      <c r="E195" s="483"/>
      <c r="F195" s="483"/>
      <c r="G195" s="483"/>
      <c r="H195" s="483"/>
      <c r="I195" s="483"/>
      <c r="J195" s="483"/>
      <c r="K195" s="483"/>
      <c r="L195" s="483"/>
      <c r="M195" s="483"/>
      <c r="N195" s="483"/>
      <c r="O195" s="483"/>
      <c r="P195" s="483"/>
      <c r="Q195" s="483"/>
      <c r="R195" s="483"/>
      <c r="S195" s="483"/>
      <c r="T195" s="483"/>
      <c r="U195" s="483"/>
      <c r="V195" s="483"/>
      <c r="W195" s="483"/>
      <c r="X195" s="483"/>
      <c r="Y195" s="483"/>
      <c r="Z195" s="483"/>
      <c r="AA195" s="483"/>
      <c r="AB195" s="483"/>
      <c r="AC195" s="483"/>
      <c r="AD195" s="483"/>
      <c r="AE195" s="483"/>
      <c r="AF195" s="483"/>
      <c r="AG195" s="483"/>
      <c r="AH195" s="483"/>
      <c r="AI195" s="483"/>
      <c r="AJ195" s="483"/>
      <c r="AK195" s="483"/>
      <c r="AL195" s="483"/>
      <c r="AM195" s="483"/>
      <c r="AN195" s="483"/>
      <c r="AO195" s="483"/>
      <c r="AP195" s="483"/>
      <c r="AQ195" s="483"/>
    </row>
    <row r="196" spans="2:43">
      <c r="B196" s="483"/>
      <c r="C196" s="483"/>
      <c r="D196" s="483"/>
      <c r="E196" s="483"/>
      <c r="F196" s="483"/>
      <c r="G196" s="483"/>
      <c r="H196" s="483"/>
      <c r="I196" s="483"/>
      <c r="J196" s="483"/>
      <c r="K196" s="483"/>
      <c r="L196" s="483"/>
      <c r="M196" s="483"/>
      <c r="N196" s="483"/>
      <c r="O196" s="483"/>
      <c r="P196" s="483"/>
      <c r="Q196" s="483"/>
      <c r="R196" s="483"/>
      <c r="S196" s="483"/>
      <c r="T196" s="483"/>
      <c r="U196" s="483"/>
      <c r="V196" s="483"/>
      <c r="W196" s="483"/>
      <c r="X196" s="483"/>
      <c r="Y196" s="483"/>
      <c r="Z196" s="483"/>
      <c r="AA196" s="483"/>
      <c r="AB196" s="483"/>
      <c r="AC196" s="483"/>
      <c r="AD196" s="483"/>
      <c r="AE196" s="483"/>
      <c r="AF196" s="483"/>
      <c r="AG196" s="483"/>
      <c r="AH196" s="483"/>
      <c r="AI196" s="483"/>
      <c r="AJ196" s="483"/>
      <c r="AK196" s="483"/>
      <c r="AL196" s="483"/>
      <c r="AM196" s="483"/>
      <c r="AN196" s="483"/>
      <c r="AO196" s="483"/>
      <c r="AP196" s="483"/>
      <c r="AQ196" s="483"/>
    </row>
    <row r="197" spans="2:43">
      <c r="B197" s="483"/>
      <c r="C197" s="483"/>
      <c r="D197" s="483"/>
      <c r="E197" s="483"/>
      <c r="F197" s="483"/>
      <c r="G197" s="483"/>
      <c r="H197" s="483"/>
      <c r="I197" s="483"/>
      <c r="J197" s="483"/>
      <c r="K197" s="483"/>
      <c r="L197" s="483"/>
      <c r="M197" s="483"/>
      <c r="N197" s="483"/>
      <c r="O197" s="483"/>
      <c r="P197" s="483"/>
      <c r="Q197" s="483"/>
      <c r="R197" s="483"/>
      <c r="S197" s="483"/>
      <c r="T197" s="483"/>
      <c r="U197" s="483"/>
      <c r="V197" s="483"/>
      <c r="W197" s="483"/>
      <c r="X197" s="483"/>
      <c r="Y197" s="483"/>
      <c r="Z197" s="483"/>
      <c r="AA197" s="483"/>
      <c r="AB197" s="483"/>
      <c r="AC197" s="483"/>
      <c r="AD197" s="483"/>
      <c r="AE197" s="483"/>
      <c r="AF197" s="483"/>
      <c r="AG197" s="483"/>
      <c r="AH197" s="483"/>
      <c r="AI197" s="483"/>
      <c r="AJ197" s="483"/>
      <c r="AK197" s="483"/>
      <c r="AL197" s="483"/>
      <c r="AM197" s="483"/>
      <c r="AN197" s="483"/>
      <c r="AO197" s="483"/>
      <c r="AP197" s="483"/>
      <c r="AQ197" s="483"/>
    </row>
    <row r="198" spans="2:43">
      <c r="B198" s="483"/>
      <c r="C198" s="483"/>
      <c r="D198" s="483"/>
      <c r="E198" s="483"/>
      <c r="F198" s="483"/>
      <c r="G198" s="483"/>
      <c r="H198" s="483"/>
      <c r="I198" s="483"/>
      <c r="J198" s="483"/>
      <c r="K198" s="483"/>
      <c r="L198" s="483"/>
      <c r="M198" s="483"/>
      <c r="N198" s="483"/>
      <c r="O198" s="483"/>
      <c r="P198" s="483"/>
      <c r="Q198" s="483"/>
      <c r="R198" s="483"/>
      <c r="S198" s="483"/>
      <c r="T198" s="483"/>
      <c r="U198" s="483"/>
      <c r="V198" s="483"/>
      <c r="W198" s="483"/>
      <c r="X198" s="483"/>
      <c r="Y198" s="483"/>
      <c r="Z198" s="483"/>
      <c r="AA198" s="483"/>
      <c r="AB198" s="483"/>
      <c r="AC198" s="483"/>
      <c r="AD198" s="483"/>
      <c r="AE198" s="483"/>
      <c r="AF198" s="483"/>
      <c r="AG198" s="483"/>
      <c r="AH198" s="483"/>
      <c r="AI198" s="483"/>
      <c r="AJ198" s="483"/>
      <c r="AK198" s="483"/>
      <c r="AL198" s="483"/>
      <c r="AM198" s="483"/>
      <c r="AN198" s="483"/>
      <c r="AO198" s="483"/>
      <c r="AP198" s="483"/>
      <c r="AQ198" s="483"/>
    </row>
    <row r="199" spans="2:43">
      <c r="B199" s="483"/>
      <c r="C199" s="483"/>
      <c r="D199" s="483"/>
      <c r="E199" s="483"/>
      <c r="F199" s="483"/>
      <c r="G199" s="483"/>
      <c r="H199" s="483"/>
      <c r="I199" s="483"/>
      <c r="J199" s="483"/>
      <c r="K199" s="483"/>
      <c r="L199" s="483"/>
      <c r="M199" s="483"/>
      <c r="N199" s="483"/>
      <c r="O199" s="483"/>
      <c r="P199" s="483"/>
      <c r="Q199" s="483"/>
      <c r="R199" s="483"/>
      <c r="S199" s="483"/>
      <c r="T199" s="483"/>
      <c r="U199" s="483"/>
      <c r="V199" s="483"/>
      <c r="W199" s="483"/>
      <c r="X199" s="483"/>
      <c r="Y199" s="483"/>
      <c r="Z199" s="483"/>
      <c r="AA199" s="483"/>
      <c r="AB199" s="483"/>
      <c r="AC199" s="483"/>
      <c r="AD199" s="483"/>
      <c r="AE199" s="483"/>
      <c r="AF199" s="483"/>
      <c r="AG199" s="483"/>
      <c r="AH199" s="483"/>
      <c r="AI199" s="483"/>
      <c r="AJ199" s="483"/>
      <c r="AK199" s="483"/>
      <c r="AL199" s="483"/>
      <c r="AM199" s="483"/>
      <c r="AN199" s="483"/>
      <c r="AO199" s="483"/>
      <c r="AP199" s="483"/>
      <c r="AQ199" s="483"/>
    </row>
    <row r="200" spans="2:43">
      <c r="B200" s="483"/>
      <c r="C200" s="483"/>
      <c r="D200" s="483"/>
      <c r="E200" s="483"/>
      <c r="F200" s="483"/>
      <c r="G200" s="483"/>
      <c r="H200" s="483"/>
      <c r="I200" s="483"/>
      <c r="J200" s="483"/>
      <c r="K200" s="483"/>
      <c r="L200" s="483"/>
      <c r="M200" s="483"/>
      <c r="N200" s="483"/>
      <c r="O200" s="483"/>
      <c r="P200" s="483"/>
      <c r="Q200" s="483"/>
      <c r="R200" s="483"/>
      <c r="S200" s="483"/>
      <c r="T200" s="483"/>
      <c r="U200" s="483"/>
      <c r="V200" s="483"/>
      <c r="W200" s="483"/>
      <c r="X200" s="483"/>
      <c r="Y200" s="483"/>
      <c r="Z200" s="483"/>
      <c r="AA200" s="483"/>
      <c r="AB200" s="483"/>
      <c r="AC200" s="483"/>
      <c r="AD200" s="483"/>
      <c r="AE200" s="483"/>
      <c r="AF200" s="483"/>
      <c r="AG200" s="483"/>
      <c r="AH200" s="483"/>
      <c r="AI200" s="483"/>
      <c r="AJ200" s="483"/>
      <c r="AK200" s="483"/>
      <c r="AL200" s="483"/>
      <c r="AM200" s="483"/>
      <c r="AN200" s="483"/>
      <c r="AO200" s="483"/>
      <c r="AP200" s="483"/>
      <c r="AQ200" s="483"/>
    </row>
    <row r="201" spans="2:43">
      <c r="B201" s="483"/>
      <c r="C201" s="483"/>
      <c r="D201" s="483"/>
      <c r="E201" s="483"/>
      <c r="F201" s="483"/>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3"/>
      <c r="AD201" s="483"/>
      <c r="AE201" s="483"/>
      <c r="AF201" s="483"/>
      <c r="AG201" s="483"/>
      <c r="AH201" s="483"/>
      <c r="AI201" s="483"/>
      <c r="AJ201" s="483"/>
      <c r="AK201" s="483"/>
      <c r="AL201" s="483"/>
      <c r="AM201" s="483"/>
      <c r="AN201" s="483"/>
      <c r="AO201" s="483"/>
      <c r="AP201" s="483"/>
      <c r="AQ201" s="483"/>
    </row>
    <row r="202" spans="2:43">
      <c r="B202" s="483"/>
      <c r="C202" s="483"/>
      <c r="D202" s="483"/>
      <c r="E202" s="483"/>
      <c r="F202" s="483"/>
      <c r="G202" s="483"/>
      <c r="H202" s="483"/>
      <c r="I202" s="483"/>
      <c r="J202" s="483"/>
      <c r="K202" s="483"/>
      <c r="L202" s="483"/>
      <c r="M202" s="483"/>
      <c r="N202" s="483"/>
      <c r="O202" s="483"/>
      <c r="P202" s="483"/>
      <c r="Q202" s="483"/>
      <c r="R202" s="483"/>
      <c r="S202" s="483"/>
      <c r="T202" s="483"/>
      <c r="U202" s="483"/>
      <c r="V202" s="483"/>
      <c r="W202" s="483"/>
      <c r="X202" s="483"/>
      <c r="Y202" s="483"/>
      <c r="Z202" s="483"/>
      <c r="AA202" s="483"/>
      <c r="AB202" s="483"/>
      <c r="AC202" s="483"/>
      <c r="AD202" s="483"/>
      <c r="AE202" s="483"/>
      <c r="AF202" s="483"/>
      <c r="AG202" s="483"/>
      <c r="AH202" s="483"/>
      <c r="AI202" s="483"/>
      <c r="AJ202" s="483"/>
      <c r="AK202" s="483"/>
      <c r="AL202" s="483"/>
      <c r="AM202" s="483"/>
      <c r="AN202" s="483"/>
      <c r="AO202" s="483"/>
      <c r="AP202" s="483"/>
      <c r="AQ202" s="483"/>
    </row>
    <row r="203" spans="2:43">
      <c r="B203" s="483"/>
      <c r="C203" s="483"/>
      <c r="D203" s="483"/>
      <c r="E203" s="483"/>
      <c r="F203" s="483"/>
      <c r="G203" s="483"/>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c r="AE203" s="483"/>
      <c r="AF203" s="483"/>
      <c r="AG203" s="483"/>
      <c r="AH203" s="483"/>
      <c r="AI203" s="483"/>
      <c r="AJ203" s="483"/>
      <c r="AK203" s="483"/>
      <c r="AL203" s="483"/>
      <c r="AM203" s="483"/>
      <c r="AN203" s="483"/>
      <c r="AO203" s="483"/>
      <c r="AP203" s="483"/>
      <c r="AQ203" s="483"/>
    </row>
    <row r="204" spans="2:43">
      <c r="B204" s="483"/>
      <c r="C204" s="483"/>
      <c r="D204" s="483"/>
      <c r="E204" s="483"/>
      <c r="F204" s="483"/>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c r="AE204" s="483"/>
      <c r="AF204" s="483"/>
      <c r="AG204" s="483"/>
      <c r="AH204" s="483"/>
      <c r="AI204" s="483"/>
      <c r="AJ204" s="483"/>
      <c r="AK204" s="483"/>
      <c r="AL204" s="483"/>
      <c r="AM204" s="483"/>
      <c r="AN204" s="483"/>
      <c r="AO204" s="483"/>
      <c r="AP204" s="483"/>
      <c r="AQ204" s="483"/>
    </row>
    <row r="205" spans="2:43">
      <c r="B205" s="483"/>
      <c r="C205" s="483"/>
      <c r="D205" s="483"/>
      <c r="E205" s="483"/>
      <c r="F205" s="483"/>
      <c r="G205" s="483"/>
      <c r="H205" s="483"/>
      <c r="I205" s="483"/>
      <c r="J205" s="483"/>
      <c r="K205" s="483"/>
      <c r="L205" s="483"/>
      <c r="M205" s="483"/>
      <c r="N205" s="483"/>
      <c r="O205" s="483"/>
      <c r="P205" s="483"/>
      <c r="Q205" s="483"/>
      <c r="R205" s="483"/>
      <c r="S205" s="483"/>
      <c r="T205" s="483"/>
      <c r="U205" s="483"/>
      <c r="V205" s="483"/>
      <c r="W205" s="483"/>
      <c r="X205" s="483"/>
      <c r="Y205" s="483"/>
      <c r="Z205" s="483"/>
      <c r="AA205" s="483"/>
      <c r="AB205" s="483"/>
      <c r="AC205" s="483"/>
      <c r="AD205" s="483"/>
      <c r="AE205" s="483"/>
      <c r="AF205" s="483"/>
      <c r="AG205" s="483"/>
      <c r="AH205" s="483"/>
      <c r="AI205" s="483"/>
      <c r="AJ205" s="483"/>
      <c r="AK205" s="483"/>
      <c r="AL205" s="483"/>
      <c r="AM205" s="483"/>
      <c r="AN205" s="483"/>
      <c r="AO205" s="483"/>
      <c r="AP205" s="483"/>
      <c r="AQ205" s="483"/>
    </row>
    <row r="206" spans="2:43">
      <c r="B206" s="483"/>
      <c r="C206" s="483"/>
      <c r="D206" s="483"/>
      <c r="E206" s="483"/>
      <c r="F206" s="483"/>
      <c r="G206" s="483"/>
      <c r="H206" s="483"/>
      <c r="I206" s="483"/>
      <c r="J206" s="483"/>
      <c r="K206" s="483"/>
      <c r="L206" s="483"/>
      <c r="M206" s="483"/>
      <c r="N206" s="483"/>
      <c r="O206" s="483"/>
      <c r="P206" s="483"/>
      <c r="Q206" s="483"/>
      <c r="R206" s="483"/>
      <c r="S206" s="483"/>
      <c r="T206" s="483"/>
      <c r="U206" s="483"/>
      <c r="V206" s="483"/>
      <c r="W206" s="483"/>
      <c r="X206" s="483"/>
      <c r="Y206" s="483"/>
      <c r="Z206" s="483"/>
      <c r="AA206" s="483"/>
      <c r="AB206" s="483"/>
      <c r="AC206" s="483"/>
      <c r="AD206" s="483"/>
      <c r="AE206" s="483"/>
      <c r="AF206" s="483"/>
      <c r="AG206" s="483"/>
      <c r="AH206" s="483"/>
      <c r="AI206" s="483"/>
      <c r="AJ206" s="483"/>
      <c r="AK206" s="483"/>
      <c r="AL206" s="483"/>
      <c r="AM206" s="483"/>
      <c r="AN206" s="483"/>
      <c r="AO206" s="483"/>
      <c r="AP206" s="483"/>
      <c r="AQ206" s="483"/>
    </row>
    <row r="207" spans="2:43">
      <c r="B207" s="483"/>
      <c r="C207" s="483"/>
      <c r="D207" s="483"/>
      <c r="E207" s="483"/>
      <c r="F207" s="483"/>
      <c r="G207" s="483"/>
      <c r="H207" s="483"/>
      <c r="I207" s="483"/>
      <c r="J207" s="483"/>
      <c r="K207" s="483"/>
      <c r="L207" s="483"/>
      <c r="M207" s="483"/>
      <c r="N207" s="483"/>
      <c r="O207" s="483"/>
      <c r="P207" s="483"/>
      <c r="Q207" s="483"/>
      <c r="R207" s="483"/>
      <c r="S207" s="483"/>
      <c r="T207" s="483"/>
      <c r="U207" s="483"/>
      <c r="V207" s="483"/>
      <c r="W207" s="483"/>
      <c r="X207" s="483"/>
      <c r="Y207" s="483"/>
      <c r="Z207" s="483"/>
      <c r="AA207" s="483"/>
      <c r="AB207" s="483"/>
      <c r="AC207" s="483"/>
      <c r="AD207" s="483"/>
      <c r="AE207" s="483"/>
      <c r="AF207" s="483"/>
      <c r="AG207" s="483"/>
      <c r="AH207" s="483"/>
      <c r="AI207" s="483"/>
      <c r="AJ207" s="483"/>
      <c r="AK207" s="483"/>
      <c r="AL207" s="483"/>
      <c r="AM207" s="483"/>
      <c r="AN207" s="483"/>
      <c r="AO207" s="483"/>
      <c r="AP207" s="483"/>
      <c r="AQ207" s="483"/>
    </row>
    <row r="208" spans="2:43">
      <c r="B208" s="483"/>
      <c r="C208" s="483"/>
      <c r="D208" s="483"/>
      <c r="E208" s="483"/>
      <c r="F208" s="483"/>
      <c r="G208" s="483"/>
      <c r="H208" s="483"/>
      <c r="I208" s="483"/>
      <c r="J208" s="483"/>
      <c r="K208" s="483"/>
      <c r="L208" s="483"/>
      <c r="M208" s="483"/>
      <c r="N208" s="483"/>
      <c r="O208" s="483"/>
      <c r="P208" s="483"/>
      <c r="Q208" s="483"/>
      <c r="R208" s="483"/>
      <c r="S208" s="483"/>
      <c r="T208" s="483"/>
      <c r="U208" s="483"/>
      <c r="V208" s="483"/>
      <c r="W208" s="483"/>
      <c r="X208" s="483"/>
      <c r="Y208" s="483"/>
      <c r="Z208" s="483"/>
      <c r="AA208" s="483"/>
      <c r="AB208" s="483"/>
      <c r="AC208" s="483"/>
      <c r="AD208" s="483"/>
      <c r="AE208" s="483"/>
      <c r="AF208" s="483"/>
      <c r="AG208" s="483"/>
      <c r="AH208" s="483"/>
      <c r="AI208" s="483"/>
      <c r="AJ208" s="483"/>
      <c r="AK208" s="483"/>
      <c r="AL208" s="483"/>
      <c r="AM208" s="483"/>
      <c r="AN208" s="483"/>
      <c r="AO208" s="483"/>
      <c r="AP208" s="483"/>
      <c r="AQ208" s="483"/>
    </row>
    <row r="209" spans="2:43">
      <c r="B209" s="483"/>
      <c r="C209" s="483"/>
      <c r="D209" s="483"/>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483"/>
      <c r="AE209" s="483"/>
      <c r="AF209" s="483"/>
      <c r="AG209" s="483"/>
      <c r="AH209" s="483"/>
      <c r="AI209" s="483"/>
      <c r="AJ209" s="483"/>
      <c r="AK209" s="483"/>
      <c r="AL209" s="483"/>
      <c r="AM209" s="483"/>
      <c r="AN209" s="483"/>
      <c r="AO209" s="483"/>
      <c r="AP209" s="483"/>
      <c r="AQ209" s="483"/>
    </row>
    <row r="210" spans="2:43">
      <c r="B210" s="483"/>
      <c r="C210" s="483"/>
      <c r="D210" s="483"/>
      <c r="E210" s="483"/>
      <c r="F210" s="483"/>
      <c r="G210" s="483"/>
      <c r="H210" s="483"/>
      <c r="I210" s="483"/>
      <c r="J210" s="483"/>
      <c r="K210" s="483"/>
      <c r="L210" s="483"/>
      <c r="M210" s="483"/>
      <c r="N210" s="483"/>
      <c r="O210" s="483"/>
      <c r="P210" s="483"/>
      <c r="Q210" s="483"/>
      <c r="R210" s="483"/>
      <c r="S210" s="483"/>
      <c r="T210" s="483"/>
      <c r="U210" s="483"/>
      <c r="V210" s="483"/>
      <c r="W210" s="483"/>
      <c r="X210" s="483"/>
      <c r="Y210" s="483"/>
      <c r="Z210" s="483"/>
      <c r="AA210" s="483"/>
      <c r="AB210" s="483"/>
      <c r="AC210" s="483"/>
      <c r="AD210" s="483"/>
      <c r="AE210" s="483"/>
      <c r="AF210" s="483"/>
      <c r="AG210" s="483"/>
      <c r="AH210" s="483"/>
      <c r="AI210" s="483"/>
      <c r="AJ210" s="483"/>
      <c r="AK210" s="483"/>
      <c r="AL210" s="483"/>
      <c r="AM210" s="483"/>
      <c r="AN210" s="483"/>
      <c r="AO210" s="483"/>
      <c r="AP210" s="483"/>
      <c r="AQ210" s="483"/>
    </row>
    <row r="211" spans="2:43">
      <c r="B211" s="483"/>
      <c r="C211" s="483"/>
      <c r="D211" s="483"/>
      <c r="E211" s="483"/>
      <c r="F211" s="483"/>
      <c r="G211" s="483"/>
      <c r="H211" s="483"/>
      <c r="I211" s="483"/>
      <c r="J211" s="483"/>
      <c r="K211" s="483"/>
      <c r="L211" s="483"/>
      <c r="M211" s="483"/>
      <c r="N211" s="483"/>
      <c r="O211" s="483"/>
      <c r="P211" s="483"/>
      <c r="Q211" s="483"/>
      <c r="R211" s="483"/>
      <c r="S211" s="483"/>
      <c r="T211" s="483"/>
      <c r="U211" s="483"/>
      <c r="V211" s="483"/>
      <c r="W211" s="483"/>
      <c r="X211" s="483"/>
      <c r="Y211" s="483"/>
      <c r="Z211" s="483"/>
      <c r="AA211" s="483"/>
      <c r="AB211" s="483"/>
      <c r="AC211" s="483"/>
      <c r="AD211" s="483"/>
      <c r="AE211" s="483"/>
      <c r="AF211" s="483"/>
      <c r="AG211" s="483"/>
      <c r="AH211" s="483"/>
      <c r="AI211" s="483"/>
      <c r="AJ211" s="483"/>
      <c r="AK211" s="483"/>
      <c r="AL211" s="483"/>
      <c r="AM211" s="483"/>
      <c r="AN211" s="483"/>
      <c r="AO211" s="483"/>
      <c r="AP211" s="483"/>
      <c r="AQ211" s="483"/>
    </row>
    <row r="212" spans="2:43">
      <c r="B212" s="483"/>
      <c r="C212" s="483"/>
      <c r="D212" s="483"/>
      <c r="E212" s="483"/>
      <c r="F212" s="483"/>
      <c r="G212" s="483"/>
      <c r="H212" s="483"/>
      <c r="I212" s="483"/>
      <c r="J212" s="483"/>
      <c r="K212" s="483"/>
      <c r="L212" s="483"/>
      <c r="M212" s="483"/>
      <c r="N212" s="483"/>
      <c r="O212" s="483"/>
      <c r="P212" s="483"/>
      <c r="Q212" s="483"/>
      <c r="R212" s="483"/>
      <c r="S212" s="483"/>
      <c r="T212" s="483"/>
      <c r="U212" s="483"/>
      <c r="V212" s="483"/>
      <c r="W212" s="483"/>
      <c r="X212" s="483"/>
      <c r="Y212" s="483"/>
      <c r="Z212" s="483"/>
      <c r="AA212" s="483"/>
      <c r="AB212" s="483"/>
      <c r="AC212" s="483"/>
      <c r="AD212" s="483"/>
      <c r="AE212" s="483"/>
      <c r="AF212" s="483"/>
      <c r="AG212" s="483"/>
      <c r="AH212" s="483"/>
      <c r="AI212" s="483"/>
      <c r="AJ212" s="483"/>
      <c r="AK212" s="483"/>
      <c r="AL212" s="483"/>
      <c r="AM212" s="483"/>
      <c r="AN212" s="483"/>
      <c r="AO212" s="483"/>
      <c r="AP212" s="483"/>
      <c r="AQ212" s="483"/>
    </row>
    <row r="213" spans="2:43">
      <c r="B213" s="483"/>
      <c r="C213" s="483"/>
      <c r="D213" s="483"/>
      <c r="E213" s="483"/>
      <c r="F213" s="483"/>
      <c r="G213" s="483"/>
      <c r="H213" s="483"/>
      <c r="I213" s="483"/>
      <c r="J213" s="483"/>
      <c r="K213" s="483"/>
      <c r="L213" s="483"/>
      <c r="M213" s="483"/>
      <c r="N213" s="483"/>
      <c r="O213" s="483"/>
      <c r="P213" s="483"/>
      <c r="Q213" s="483"/>
      <c r="R213" s="483"/>
      <c r="S213" s="483"/>
      <c r="T213" s="483"/>
      <c r="U213" s="483"/>
      <c r="V213" s="483"/>
      <c r="W213" s="483"/>
      <c r="X213" s="483"/>
      <c r="Y213" s="483"/>
      <c r="Z213" s="483"/>
      <c r="AA213" s="483"/>
      <c r="AB213" s="483"/>
      <c r="AC213" s="483"/>
      <c r="AD213" s="483"/>
      <c r="AE213" s="483"/>
      <c r="AF213" s="483"/>
      <c r="AG213" s="483"/>
      <c r="AH213" s="483"/>
      <c r="AI213" s="483"/>
      <c r="AJ213" s="483"/>
      <c r="AK213" s="483"/>
      <c r="AL213" s="483"/>
      <c r="AM213" s="483"/>
      <c r="AN213" s="483"/>
      <c r="AO213" s="483"/>
      <c r="AP213" s="483"/>
      <c r="AQ213" s="483"/>
    </row>
    <row r="214" spans="2:43">
      <c r="B214" s="483"/>
      <c r="C214" s="483"/>
      <c r="D214" s="483"/>
      <c r="E214" s="483"/>
      <c r="F214" s="483"/>
      <c r="G214" s="483"/>
      <c r="H214" s="483"/>
      <c r="I214" s="483"/>
      <c r="J214" s="483"/>
      <c r="K214" s="483"/>
      <c r="L214" s="483"/>
      <c r="M214" s="483"/>
      <c r="N214" s="483"/>
      <c r="O214" s="483"/>
      <c r="P214" s="483"/>
      <c r="Q214" s="483"/>
      <c r="R214" s="483"/>
      <c r="S214" s="483"/>
      <c r="T214" s="483"/>
      <c r="U214" s="483"/>
      <c r="V214" s="483"/>
      <c r="W214" s="483"/>
      <c r="X214" s="483"/>
      <c r="Y214" s="483"/>
      <c r="Z214" s="483"/>
      <c r="AA214" s="483"/>
      <c r="AB214" s="483"/>
      <c r="AC214" s="483"/>
      <c r="AD214" s="483"/>
      <c r="AE214" s="483"/>
      <c r="AF214" s="483"/>
      <c r="AG214" s="483"/>
      <c r="AH214" s="483"/>
      <c r="AI214" s="483"/>
      <c r="AJ214" s="483"/>
      <c r="AK214" s="483"/>
      <c r="AL214" s="483"/>
      <c r="AM214" s="483"/>
      <c r="AN214" s="483"/>
      <c r="AO214" s="483"/>
      <c r="AP214" s="483"/>
      <c r="AQ214" s="483"/>
    </row>
    <row r="215" spans="2:43">
      <c r="B215" s="483"/>
      <c r="C215" s="483"/>
      <c r="D215" s="483"/>
      <c r="E215" s="483"/>
      <c r="F215" s="483"/>
      <c r="G215" s="483"/>
      <c r="H215" s="483"/>
      <c r="I215" s="483"/>
      <c r="J215" s="483"/>
      <c r="K215" s="483"/>
      <c r="L215" s="483"/>
      <c r="M215" s="483"/>
      <c r="N215" s="483"/>
      <c r="O215" s="483"/>
      <c r="P215" s="483"/>
      <c r="Q215" s="483"/>
      <c r="R215" s="483"/>
      <c r="S215" s="483"/>
      <c r="T215" s="483"/>
      <c r="U215" s="483"/>
      <c r="V215" s="483"/>
      <c r="W215" s="483"/>
      <c r="X215" s="483"/>
      <c r="Y215" s="483"/>
      <c r="Z215" s="483"/>
      <c r="AA215" s="483"/>
      <c r="AB215" s="483"/>
      <c r="AC215" s="483"/>
      <c r="AD215" s="483"/>
      <c r="AE215" s="483"/>
      <c r="AF215" s="483"/>
      <c r="AG215" s="483"/>
      <c r="AH215" s="483"/>
      <c r="AI215" s="483"/>
      <c r="AJ215" s="483"/>
      <c r="AK215" s="483"/>
      <c r="AL215" s="483"/>
      <c r="AM215" s="483"/>
      <c r="AN215" s="483"/>
      <c r="AO215" s="483"/>
      <c r="AP215" s="483"/>
      <c r="AQ215" s="483"/>
    </row>
    <row r="216" spans="2:43">
      <c r="B216" s="483"/>
      <c r="C216" s="483"/>
      <c r="D216" s="483"/>
      <c r="E216" s="483"/>
      <c r="F216" s="483"/>
      <c r="G216" s="483"/>
      <c r="H216" s="483"/>
      <c r="I216" s="483"/>
      <c r="J216" s="483"/>
      <c r="K216" s="483"/>
      <c r="L216" s="483"/>
      <c r="M216" s="483"/>
      <c r="N216" s="483"/>
      <c r="O216" s="483"/>
      <c r="P216" s="483"/>
      <c r="Q216" s="483"/>
      <c r="R216" s="483"/>
      <c r="S216" s="483"/>
      <c r="T216" s="483"/>
      <c r="U216" s="483"/>
      <c r="V216" s="483"/>
      <c r="W216" s="483"/>
      <c r="X216" s="483"/>
      <c r="Y216" s="483"/>
      <c r="Z216" s="483"/>
      <c r="AA216" s="483"/>
      <c r="AB216" s="483"/>
      <c r="AC216" s="483"/>
      <c r="AD216" s="483"/>
      <c r="AE216" s="483"/>
      <c r="AF216" s="483"/>
      <c r="AG216" s="483"/>
      <c r="AH216" s="483"/>
      <c r="AI216" s="483"/>
      <c r="AJ216" s="483"/>
      <c r="AK216" s="483"/>
      <c r="AL216" s="483"/>
      <c r="AM216" s="483"/>
      <c r="AN216" s="483"/>
      <c r="AO216" s="483"/>
      <c r="AP216" s="483"/>
      <c r="AQ216" s="483"/>
    </row>
    <row r="217" spans="2:43">
      <c r="B217" s="483"/>
      <c r="C217" s="483"/>
      <c r="D217" s="483"/>
      <c r="E217" s="483"/>
      <c r="F217" s="483"/>
      <c r="G217" s="483"/>
      <c r="H217" s="483"/>
      <c r="I217" s="483"/>
      <c r="J217" s="483"/>
      <c r="K217" s="483"/>
      <c r="L217" s="483"/>
      <c r="M217" s="483"/>
      <c r="N217" s="483"/>
      <c r="O217" s="483"/>
      <c r="P217" s="483"/>
      <c r="Q217" s="483"/>
      <c r="R217" s="483"/>
      <c r="S217" s="483"/>
      <c r="T217" s="483"/>
      <c r="U217" s="483"/>
      <c r="V217" s="483"/>
      <c r="W217" s="483"/>
      <c r="X217" s="483"/>
      <c r="Y217" s="483"/>
      <c r="Z217" s="483"/>
      <c r="AA217" s="483"/>
      <c r="AB217" s="483"/>
      <c r="AC217" s="483"/>
      <c r="AD217" s="483"/>
      <c r="AE217" s="483"/>
      <c r="AF217" s="483"/>
      <c r="AG217" s="483"/>
      <c r="AH217" s="483"/>
      <c r="AI217" s="483"/>
      <c r="AJ217" s="483"/>
      <c r="AK217" s="483"/>
      <c r="AL217" s="483"/>
      <c r="AM217" s="483"/>
      <c r="AN217" s="483"/>
      <c r="AO217" s="483"/>
      <c r="AP217" s="483"/>
      <c r="AQ217" s="483"/>
    </row>
    <row r="218" spans="2:43">
      <c r="B218" s="483"/>
      <c r="C218" s="483"/>
      <c r="D218" s="483"/>
      <c r="E218" s="483"/>
      <c r="F218" s="483"/>
      <c r="G218" s="483"/>
      <c r="H218" s="483"/>
      <c r="I218" s="483"/>
      <c r="J218" s="483"/>
      <c r="K218" s="483"/>
      <c r="L218" s="483"/>
      <c r="M218" s="483"/>
      <c r="N218" s="483"/>
      <c r="O218" s="483"/>
      <c r="P218" s="483"/>
      <c r="Q218" s="483"/>
      <c r="R218" s="483"/>
      <c r="S218" s="483"/>
      <c r="T218" s="483"/>
      <c r="U218" s="483"/>
      <c r="V218" s="483"/>
      <c r="W218" s="483"/>
      <c r="X218" s="483"/>
      <c r="Y218" s="483"/>
      <c r="Z218" s="483"/>
      <c r="AA218" s="483"/>
      <c r="AB218" s="483"/>
      <c r="AC218" s="483"/>
      <c r="AD218" s="483"/>
      <c r="AE218" s="483"/>
      <c r="AF218" s="483"/>
      <c r="AG218" s="483"/>
      <c r="AH218" s="483"/>
      <c r="AI218" s="483"/>
      <c r="AJ218" s="483"/>
      <c r="AK218" s="483"/>
      <c r="AL218" s="483"/>
      <c r="AM218" s="483"/>
      <c r="AN218" s="483"/>
      <c r="AO218" s="483"/>
      <c r="AP218" s="483"/>
      <c r="AQ218" s="483"/>
    </row>
    <row r="219" spans="2:43">
      <c r="B219" s="483"/>
      <c r="C219" s="483"/>
      <c r="D219" s="483"/>
      <c r="E219" s="483"/>
      <c r="F219" s="483"/>
      <c r="G219" s="483"/>
      <c r="H219" s="483"/>
      <c r="I219" s="483"/>
      <c r="J219" s="483"/>
      <c r="K219" s="483"/>
      <c r="L219" s="483"/>
      <c r="M219" s="483"/>
      <c r="N219" s="483"/>
      <c r="O219" s="483"/>
      <c r="P219" s="483"/>
      <c r="Q219" s="483"/>
      <c r="R219" s="483"/>
      <c r="S219" s="483"/>
      <c r="T219" s="483"/>
      <c r="U219" s="483"/>
      <c r="V219" s="483"/>
      <c r="W219" s="483"/>
      <c r="X219" s="483"/>
      <c r="Y219" s="483"/>
      <c r="Z219" s="483"/>
      <c r="AA219" s="483"/>
      <c r="AB219" s="483"/>
      <c r="AC219" s="483"/>
      <c r="AD219" s="483"/>
      <c r="AE219" s="483"/>
      <c r="AF219" s="483"/>
      <c r="AG219" s="483"/>
      <c r="AH219" s="483"/>
      <c r="AI219" s="483"/>
      <c r="AJ219" s="483"/>
      <c r="AK219" s="483"/>
      <c r="AL219" s="483"/>
      <c r="AM219" s="483"/>
      <c r="AN219" s="483"/>
      <c r="AO219" s="483"/>
      <c r="AP219" s="483"/>
      <c r="AQ219" s="483"/>
    </row>
    <row r="220" spans="2:43">
      <c r="B220" s="483"/>
      <c r="C220" s="483"/>
      <c r="D220" s="483"/>
      <c r="E220" s="483"/>
      <c r="F220" s="483"/>
      <c r="G220" s="483"/>
      <c r="H220" s="483"/>
      <c r="I220" s="483"/>
      <c r="J220" s="483"/>
      <c r="K220" s="483"/>
      <c r="L220" s="483"/>
      <c r="M220" s="483"/>
      <c r="N220" s="483"/>
      <c r="O220" s="483"/>
      <c r="P220" s="483"/>
      <c r="Q220" s="483"/>
      <c r="R220" s="483"/>
      <c r="S220" s="483"/>
      <c r="T220" s="483"/>
      <c r="U220" s="483"/>
      <c r="V220" s="483"/>
      <c r="W220" s="483"/>
      <c r="X220" s="483"/>
      <c r="Y220" s="483"/>
      <c r="Z220" s="483"/>
      <c r="AA220" s="483"/>
      <c r="AB220" s="483"/>
      <c r="AC220" s="483"/>
      <c r="AD220" s="483"/>
      <c r="AE220" s="483"/>
      <c r="AF220" s="483"/>
      <c r="AG220" s="483"/>
      <c r="AH220" s="483"/>
      <c r="AI220" s="483"/>
      <c r="AJ220" s="483"/>
      <c r="AK220" s="483"/>
      <c r="AL220" s="483"/>
      <c r="AM220" s="483"/>
      <c r="AN220" s="483"/>
      <c r="AO220" s="483"/>
      <c r="AP220" s="483"/>
      <c r="AQ220" s="483"/>
    </row>
    <row r="221" spans="2:43">
      <c r="B221" s="483"/>
      <c r="C221" s="483"/>
      <c r="D221" s="483"/>
      <c r="E221" s="483"/>
      <c r="F221" s="483"/>
      <c r="G221" s="483"/>
      <c r="H221" s="483"/>
      <c r="I221" s="483"/>
      <c r="J221" s="483"/>
      <c r="K221" s="483"/>
      <c r="L221" s="483"/>
      <c r="M221" s="483"/>
      <c r="N221" s="483"/>
      <c r="O221" s="483"/>
      <c r="P221" s="483"/>
      <c r="Q221" s="483"/>
      <c r="R221" s="483"/>
      <c r="S221" s="483"/>
      <c r="T221" s="483"/>
      <c r="U221" s="483"/>
      <c r="V221" s="483"/>
      <c r="W221" s="483"/>
      <c r="X221" s="483"/>
      <c r="Y221" s="483"/>
      <c r="Z221" s="483"/>
      <c r="AA221" s="483"/>
      <c r="AB221" s="483"/>
      <c r="AC221" s="483"/>
      <c r="AD221" s="483"/>
      <c r="AE221" s="483"/>
      <c r="AF221" s="483"/>
      <c r="AG221" s="483"/>
      <c r="AH221" s="483"/>
      <c r="AI221" s="483"/>
      <c r="AJ221" s="483"/>
      <c r="AK221" s="483"/>
      <c r="AL221" s="483"/>
      <c r="AM221" s="483"/>
      <c r="AN221" s="483"/>
      <c r="AO221" s="483"/>
      <c r="AP221" s="483"/>
      <c r="AQ221" s="483"/>
    </row>
    <row r="222" spans="2:43">
      <c r="B222" s="483"/>
      <c r="C222" s="483"/>
      <c r="D222" s="483"/>
      <c r="E222" s="483"/>
      <c r="F222" s="483"/>
      <c r="G222" s="483"/>
      <c r="H222" s="483"/>
      <c r="I222" s="483"/>
      <c r="J222" s="483"/>
      <c r="K222" s="483"/>
      <c r="L222" s="483"/>
      <c r="M222" s="483"/>
      <c r="N222" s="483"/>
      <c r="O222" s="483"/>
      <c r="P222" s="483"/>
      <c r="Q222" s="483"/>
      <c r="R222" s="483"/>
      <c r="S222" s="483"/>
      <c r="T222" s="483"/>
      <c r="U222" s="483"/>
      <c r="V222" s="483"/>
      <c r="W222" s="483"/>
      <c r="X222" s="483"/>
      <c r="Y222" s="483"/>
      <c r="Z222" s="483"/>
      <c r="AA222" s="483"/>
      <c r="AB222" s="483"/>
      <c r="AC222" s="483"/>
      <c r="AD222" s="483"/>
      <c r="AE222" s="483"/>
      <c r="AF222" s="483"/>
      <c r="AG222" s="483"/>
      <c r="AH222" s="483"/>
      <c r="AI222" s="483"/>
      <c r="AJ222" s="483"/>
      <c r="AK222" s="483"/>
      <c r="AL222" s="483"/>
      <c r="AM222" s="483"/>
      <c r="AN222" s="483"/>
      <c r="AO222" s="483"/>
      <c r="AP222" s="483"/>
      <c r="AQ222" s="483"/>
    </row>
    <row r="223" spans="2:43">
      <c r="B223" s="483"/>
      <c r="C223" s="483"/>
      <c r="D223" s="483"/>
      <c r="E223" s="483"/>
      <c r="F223" s="483"/>
      <c r="G223" s="483"/>
      <c r="H223" s="483"/>
      <c r="I223" s="483"/>
      <c r="J223" s="483"/>
      <c r="K223" s="483"/>
      <c r="L223" s="483"/>
      <c r="M223" s="483"/>
      <c r="N223" s="483"/>
      <c r="O223" s="483"/>
      <c r="P223" s="483"/>
      <c r="Q223" s="483"/>
      <c r="R223" s="483"/>
      <c r="S223" s="483"/>
      <c r="T223" s="483"/>
      <c r="U223" s="483"/>
      <c r="V223" s="483"/>
      <c r="W223" s="483"/>
      <c r="X223" s="483"/>
      <c r="Y223" s="483"/>
      <c r="Z223" s="483"/>
      <c r="AA223" s="483"/>
      <c r="AB223" s="483"/>
      <c r="AC223" s="483"/>
      <c r="AD223" s="483"/>
      <c r="AE223" s="483"/>
      <c r="AF223" s="483"/>
      <c r="AG223" s="483"/>
      <c r="AH223" s="483"/>
      <c r="AI223" s="483"/>
      <c r="AJ223" s="483"/>
      <c r="AK223" s="483"/>
      <c r="AL223" s="483"/>
      <c r="AM223" s="483"/>
      <c r="AN223" s="483"/>
      <c r="AO223" s="483"/>
      <c r="AP223" s="483"/>
      <c r="AQ223" s="483"/>
    </row>
    <row r="224" spans="2:43">
      <c r="B224" s="483"/>
      <c r="C224" s="483"/>
      <c r="D224" s="483"/>
      <c r="E224" s="483"/>
      <c r="F224" s="483"/>
      <c r="G224" s="483"/>
      <c r="H224" s="483"/>
      <c r="I224" s="483"/>
      <c r="J224" s="483"/>
      <c r="K224" s="483"/>
      <c r="L224" s="483"/>
      <c r="M224" s="483"/>
      <c r="N224" s="483"/>
      <c r="O224" s="483"/>
      <c r="P224" s="483"/>
      <c r="Q224" s="483"/>
      <c r="R224" s="483"/>
      <c r="S224" s="483"/>
      <c r="T224" s="483"/>
      <c r="U224" s="483"/>
      <c r="V224" s="483"/>
      <c r="W224" s="483"/>
      <c r="X224" s="483"/>
      <c r="Y224" s="483"/>
      <c r="Z224" s="483"/>
      <c r="AA224" s="483"/>
      <c r="AB224" s="483"/>
      <c r="AC224" s="483"/>
      <c r="AD224" s="483"/>
      <c r="AE224" s="483"/>
      <c r="AF224" s="483"/>
      <c r="AG224" s="483"/>
      <c r="AH224" s="483"/>
      <c r="AI224" s="483"/>
      <c r="AJ224" s="483"/>
      <c r="AK224" s="483"/>
      <c r="AL224" s="483"/>
      <c r="AM224" s="483"/>
      <c r="AN224" s="483"/>
      <c r="AO224" s="483"/>
      <c r="AP224" s="483"/>
      <c r="AQ224" s="483"/>
    </row>
    <row r="225" spans="2:43">
      <c r="B225" s="483"/>
      <c r="C225" s="483"/>
      <c r="D225" s="483"/>
      <c r="E225" s="483"/>
      <c r="F225" s="483"/>
      <c r="G225" s="483"/>
      <c r="H225" s="483"/>
      <c r="I225" s="483"/>
      <c r="J225" s="483"/>
      <c r="K225" s="483"/>
      <c r="L225" s="483"/>
      <c r="M225" s="483"/>
      <c r="N225" s="483"/>
      <c r="O225" s="483"/>
      <c r="P225" s="483"/>
      <c r="Q225" s="483"/>
      <c r="R225" s="483"/>
      <c r="S225" s="483"/>
      <c r="T225" s="483"/>
      <c r="U225" s="483"/>
      <c r="V225" s="483"/>
      <c r="W225" s="483"/>
      <c r="X225" s="483"/>
      <c r="Y225" s="483"/>
      <c r="Z225" s="483"/>
      <c r="AA225" s="483"/>
      <c r="AB225" s="483"/>
      <c r="AC225" s="483"/>
      <c r="AD225" s="483"/>
      <c r="AE225" s="483"/>
      <c r="AF225" s="483"/>
      <c r="AG225" s="483"/>
      <c r="AH225" s="483"/>
      <c r="AI225" s="483"/>
      <c r="AJ225" s="483"/>
      <c r="AK225" s="483"/>
      <c r="AL225" s="483"/>
      <c r="AM225" s="483"/>
      <c r="AN225" s="483"/>
      <c r="AO225" s="483"/>
      <c r="AP225" s="483"/>
      <c r="AQ225" s="483"/>
    </row>
    <row r="226" spans="2:43">
      <c r="B226" s="483"/>
      <c r="C226" s="483"/>
      <c r="D226" s="483"/>
      <c r="E226" s="483"/>
      <c r="F226" s="483"/>
      <c r="G226" s="483"/>
      <c r="H226" s="483"/>
      <c r="I226" s="483"/>
      <c r="J226" s="483"/>
      <c r="K226" s="483"/>
      <c r="L226" s="483"/>
      <c r="M226" s="483"/>
      <c r="N226" s="483"/>
      <c r="O226" s="483"/>
      <c r="P226" s="483"/>
      <c r="Q226" s="483"/>
      <c r="R226" s="483"/>
      <c r="S226" s="483"/>
      <c r="T226" s="483"/>
      <c r="U226" s="483"/>
      <c r="V226" s="483"/>
      <c r="W226" s="483"/>
      <c r="X226" s="483"/>
      <c r="Y226" s="483"/>
      <c r="Z226" s="483"/>
      <c r="AA226" s="483"/>
      <c r="AB226" s="483"/>
      <c r="AC226" s="483"/>
      <c r="AD226" s="483"/>
      <c r="AE226" s="483"/>
      <c r="AF226" s="483"/>
      <c r="AG226" s="483"/>
      <c r="AH226" s="483"/>
      <c r="AI226" s="483"/>
      <c r="AJ226" s="483"/>
      <c r="AK226" s="483"/>
      <c r="AL226" s="483"/>
      <c r="AM226" s="483"/>
      <c r="AN226" s="483"/>
      <c r="AO226" s="483"/>
      <c r="AP226" s="483"/>
      <c r="AQ226" s="483"/>
    </row>
    <row r="227" spans="2:43">
      <c r="B227" s="483"/>
      <c r="C227" s="483"/>
      <c r="D227" s="483"/>
      <c r="E227" s="483"/>
      <c r="F227" s="483"/>
      <c r="G227" s="483"/>
      <c r="H227" s="483"/>
      <c r="I227" s="483"/>
      <c r="J227" s="483"/>
      <c r="K227" s="483"/>
      <c r="L227" s="483"/>
      <c r="M227" s="483"/>
      <c r="N227" s="483"/>
      <c r="O227" s="483"/>
      <c r="P227" s="483"/>
      <c r="Q227" s="483"/>
      <c r="R227" s="483"/>
      <c r="S227" s="483"/>
      <c r="T227" s="483"/>
      <c r="U227" s="483"/>
      <c r="V227" s="483"/>
      <c r="W227" s="483"/>
      <c r="X227" s="483"/>
      <c r="Y227" s="483"/>
      <c r="Z227" s="483"/>
      <c r="AA227" s="483"/>
      <c r="AB227" s="483"/>
      <c r="AC227" s="483"/>
      <c r="AD227" s="483"/>
      <c r="AE227" s="483"/>
      <c r="AF227" s="483"/>
      <c r="AG227" s="483"/>
      <c r="AH227" s="483"/>
      <c r="AI227" s="483"/>
      <c r="AJ227" s="483"/>
      <c r="AK227" s="483"/>
      <c r="AL227" s="483"/>
      <c r="AM227" s="483"/>
      <c r="AN227" s="483"/>
      <c r="AO227" s="483"/>
      <c r="AP227" s="483"/>
      <c r="AQ227" s="483"/>
    </row>
    <row r="228" spans="2:43">
      <c r="B228" s="483"/>
      <c r="C228" s="483"/>
      <c r="D228" s="483"/>
      <c r="E228" s="483"/>
      <c r="F228" s="483"/>
      <c r="G228" s="483"/>
      <c r="H228" s="483"/>
      <c r="I228" s="483"/>
      <c r="J228" s="483"/>
      <c r="K228" s="483"/>
      <c r="L228" s="483"/>
      <c r="M228" s="483"/>
      <c r="N228" s="483"/>
      <c r="O228" s="483"/>
      <c r="P228" s="483"/>
      <c r="Q228" s="483"/>
      <c r="R228" s="483"/>
      <c r="S228" s="483"/>
      <c r="T228" s="483"/>
      <c r="U228" s="483"/>
      <c r="V228" s="483"/>
      <c r="W228" s="483"/>
      <c r="X228" s="483"/>
      <c r="Y228" s="483"/>
      <c r="Z228" s="483"/>
      <c r="AA228" s="483"/>
      <c r="AB228" s="483"/>
      <c r="AC228" s="483"/>
      <c r="AD228" s="483"/>
      <c r="AE228" s="483"/>
      <c r="AF228" s="483"/>
      <c r="AG228" s="483"/>
      <c r="AH228" s="483"/>
      <c r="AI228" s="483"/>
      <c r="AJ228" s="483"/>
      <c r="AK228" s="483"/>
      <c r="AL228" s="483"/>
      <c r="AM228" s="483"/>
      <c r="AN228" s="483"/>
      <c r="AO228" s="483"/>
      <c r="AP228" s="483"/>
      <c r="AQ228" s="483"/>
    </row>
    <row r="229" spans="2:43">
      <c r="B229" s="483"/>
      <c r="C229" s="483"/>
      <c r="D229" s="483"/>
      <c r="E229" s="483"/>
      <c r="F229" s="483"/>
      <c r="G229" s="483"/>
      <c r="H229" s="483"/>
      <c r="I229" s="483"/>
      <c r="J229" s="483"/>
      <c r="K229" s="483"/>
      <c r="L229" s="483"/>
      <c r="M229" s="483"/>
      <c r="N229" s="483"/>
      <c r="O229" s="483"/>
      <c r="P229" s="483"/>
      <c r="Q229" s="483"/>
      <c r="R229" s="483"/>
      <c r="S229" s="483"/>
      <c r="T229" s="483"/>
      <c r="U229" s="483"/>
      <c r="V229" s="483"/>
      <c r="W229" s="483"/>
      <c r="X229" s="483"/>
      <c r="Y229" s="483"/>
      <c r="Z229" s="483"/>
      <c r="AA229" s="483"/>
      <c r="AB229" s="483"/>
      <c r="AC229" s="483"/>
      <c r="AD229" s="483"/>
      <c r="AE229" s="483"/>
      <c r="AF229" s="483"/>
      <c r="AG229" s="483"/>
      <c r="AH229" s="483"/>
      <c r="AI229" s="483"/>
      <c r="AJ229" s="483"/>
      <c r="AK229" s="483"/>
      <c r="AL229" s="483"/>
      <c r="AM229" s="483"/>
      <c r="AN229" s="483"/>
      <c r="AO229" s="483"/>
      <c r="AP229" s="483"/>
      <c r="AQ229" s="483"/>
    </row>
    <row r="230" spans="2:43">
      <c r="B230" s="483"/>
      <c r="C230" s="483"/>
      <c r="D230" s="483"/>
      <c r="E230" s="483"/>
      <c r="F230" s="483"/>
      <c r="G230" s="483"/>
      <c r="H230" s="483"/>
      <c r="I230" s="483"/>
      <c r="J230" s="483"/>
      <c r="K230" s="483"/>
      <c r="L230" s="483"/>
      <c r="M230" s="483"/>
      <c r="N230" s="483"/>
      <c r="O230" s="483"/>
      <c r="P230" s="483"/>
      <c r="Q230" s="483"/>
      <c r="R230" s="483"/>
      <c r="S230" s="483"/>
      <c r="T230" s="483"/>
      <c r="U230" s="483"/>
      <c r="V230" s="483"/>
      <c r="W230" s="483"/>
      <c r="X230" s="483"/>
      <c r="Y230" s="483"/>
      <c r="Z230" s="483"/>
      <c r="AA230" s="483"/>
      <c r="AB230" s="483"/>
      <c r="AC230" s="483"/>
      <c r="AD230" s="483"/>
      <c r="AE230" s="483"/>
      <c r="AF230" s="483"/>
      <c r="AG230" s="483"/>
      <c r="AH230" s="483"/>
      <c r="AI230" s="483"/>
      <c r="AJ230" s="483"/>
      <c r="AK230" s="483"/>
      <c r="AL230" s="483"/>
      <c r="AM230" s="483"/>
      <c r="AN230" s="483"/>
      <c r="AO230" s="483"/>
      <c r="AP230" s="483"/>
      <c r="AQ230" s="483"/>
    </row>
    <row r="231" spans="2:43">
      <c r="B231" s="483"/>
      <c r="C231" s="483"/>
      <c r="D231" s="483"/>
      <c r="E231" s="483"/>
      <c r="F231" s="483"/>
      <c r="G231" s="483"/>
      <c r="H231" s="483"/>
      <c r="I231" s="483"/>
      <c r="J231" s="483"/>
      <c r="K231" s="483"/>
      <c r="L231" s="483"/>
      <c r="M231" s="483"/>
      <c r="N231" s="483"/>
      <c r="O231" s="483"/>
      <c r="P231" s="483"/>
      <c r="Q231" s="483"/>
      <c r="R231" s="483"/>
      <c r="S231" s="483"/>
      <c r="T231" s="483"/>
      <c r="U231" s="483"/>
      <c r="V231" s="483"/>
      <c r="W231" s="483"/>
      <c r="X231" s="483"/>
      <c r="Y231" s="483"/>
      <c r="Z231" s="483"/>
      <c r="AA231" s="483"/>
      <c r="AB231" s="483"/>
      <c r="AC231" s="483"/>
      <c r="AD231" s="483"/>
      <c r="AE231" s="483"/>
      <c r="AF231" s="483"/>
      <c r="AG231" s="483"/>
      <c r="AH231" s="483"/>
      <c r="AI231" s="483"/>
      <c r="AJ231" s="483"/>
      <c r="AK231" s="483"/>
      <c r="AL231" s="483"/>
      <c r="AM231" s="483"/>
      <c r="AN231" s="483"/>
      <c r="AO231" s="483"/>
      <c r="AP231" s="483"/>
      <c r="AQ231" s="483"/>
    </row>
    <row r="232" spans="2:43">
      <c r="B232" s="483"/>
      <c r="C232" s="483"/>
      <c r="D232" s="483"/>
      <c r="E232" s="483"/>
      <c r="F232" s="483"/>
      <c r="G232" s="483"/>
      <c r="H232" s="483"/>
      <c r="I232" s="483"/>
      <c r="J232" s="483"/>
      <c r="K232" s="483"/>
      <c r="L232" s="483"/>
      <c r="M232" s="483"/>
      <c r="N232" s="483"/>
      <c r="O232" s="483"/>
      <c r="P232" s="483"/>
      <c r="Q232" s="483"/>
      <c r="R232" s="483"/>
      <c r="S232" s="483"/>
      <c r="T232" s="483"/>
      <c r="U232" s="483"/>
      <c r="V232" s="483"/>
      <c r="W232" s="483"/>
      <c r="X232" s="483"/>
      <c r="Y232" s="483"/>
      <c r="Z232" s="483"/>
      <c r="AA232" s="483"/>
      <c r="AB232" s="483"/>
      <c r="AC232" s="483"/>
      <c r="AD232" s="483"/>
      <c r="AE232" s="483"/>
      <c r="AF232" s="483"/>
      <c r="AG232" s="483"/>
      <c r="AH232" s="483"/>
      <c r="AI232" s="483"/>
      <c r="AJ232" s="483"/>
      <c r="AK232" s="483"/>
      <c r="AL232" s="483"/>
      <c r="AM232" s="483"/>
      <c r="AN232" s="483"/>
      <c r="AO232" s="483"/>
      <c r="AP232" s="483"/>
      <c r="AQ232" s="483"/>
    </row>
    <row r="233" spans="2:43">
      <c r="B233" s="483"/>
      <c r="C233" s="483"/>
      <c r="D233" s="483"/>
      <c r="E233" s="483"/>
      <c r="F233" s="483"/>
      <c r="G233" s="483"/>
      <c r="H233" s="483"/>
      <c r="I233" s="483"/>
      <c r="J233" s="483"/>
      <c r="K233" s="483"/>
      <c r="L233" s="483"/>
      <c r="M233" s="483"/>
      <c r="N233" s="483"/>
      <c r="O233" s="483"/>
      <c r="P233" s="483"/>
      <c r="Q233" s="483"/>
      <c r="R233" s="483"/>
      <c r="S233" s="483"/>
      <c r="T233" s="483"/>
      <c r="U233" s="483"/>
      <c r="V233" s="483"/>
      <c r="W233" s="483"/>
      <c r="X233" s="483"/>
      <c r="Y233" s="483"/>
      <c r="Z233" s="483"/>
      <c r="AA233" s="483"/>
      <c r="AB233" s="483"/>
      <c r="AC233" s="483"/>
      <c r="AD233" s="483"/>
      <c r="AE233" s="483"/>
      <c r="AF233" s="483"/>
      <c r="AG233" s="483"/>
      <c r="AH233" s="483"/>
      <c r="AI233" s="483"/>
      <c r="AJ233" s="483"/>
      <c r="AK233" s="483"/>
      <c r="AL233" s="483"/>
      <c r="AM233" s="483"/>
      <c r="AN233" s="483"/>
      <c r="AO233" s="483"/>
      <c r="AP233" s="483"/>
      <c r="AQ233" s="483"/>
    </row>
    <row r="234" spans="2:43">
      <c r="B234" s="483"/>
      <c r="C234" s="483"/>
      <c r="D234" s="483"/>
      <c r="E234" s="483"/>
      <c r="F234" s="483"/>
      <c r="G234" s="483"/>
      <c r="H234" s="483"/>
      <c r="I234" s="483"/>
      <c r="J234" s="483"/>
      <c r="K234" s="483"/>
      <c r="L234" s="483"/>
      <c r="M234" s="483"/>
      <c r="N234" s="483"/>
      <c r="O234" s="483"/>
      <c r="P234" s="483"/>
      <c r="Q234" s="483"/>
      <c r="R234" s="483"/>
      <c r="S234" s="483"/>
      <c r="T234" s="483"/>
      <c r="U234" s="483"/>
      <c r="V234" s="483"/>
      <c r="W234" s="483"/>
      <c r="X234" s="483"/>
      <c r="Y234" s="483"/>
      <c r="Z234" s="483"/>
      <c r="AA234" s="483"/>
      <c r="AB234" s="483"/>
      <c r="AC234" s="483"/>
      <c r="AD234" s="483"/>
      <c r="AE234" s="483"/>
      <c r="AF234" s="483"/>
      <c r="AG234" s="483"/>
      <c r="AH234" s="483"/>
      <c r="AI234" s="483"/>
      <c r="AJ234" s="483"/>
      <c r="AK234" s="483"/>
      <c r="AL234" s="483"/>
      <c r="AM234" s="483"/>
      <c r="AN234" s="483"/>
      <c r="AO234" s="483"/>
      <c r="AP234" s="483"/>
      <c r="AQ234" s="483"/>
    </row>
    <row r="235" spans="2:43">
      <c r="B235" s="483"/>
      <c r="C235" s="483"/>
      <c r="D235" s="483"/>
      <c r="E235" s="483"/>
      <c r="F235" s="483"/>
      <c r="G235" s="483"/>
      <c r="H235" s="483"/>
      <c r="I235" s="483"/>
      <c r="J235" s="483"/>
      <c r="K235" s="483"/>
      <c r="L235" s="483"/>
      <c r="M235" s="483"/>
      <c r="N235" s="483"/>
      <c r="O235" s="483"/>
      <c r="P235" s="483"/>
      <c r="Q235" s="483"/>
      <c r="R235" s="483"/>
      <c r="S235" s="483"/>
      <c r="T235" s="483"/>
      <c r="U235" s="483"/>
      <c r="V235" s="483"/>
      <c r="W235" s="483"/>
      <c r="X235" s="483"/>
      <c r="Y235" s="483"/>
      <c r="Z235" s="483"/>
      <c r="AA235" s="483"/>
      <c r="AB235" s="483"/>
      <c r="AC235" s="483"/>
      <c r="AD235" s="483"/>
      <c r="AE235" s="483"/>
      <c r="AF235" s="483"/>
      <c r="AG235" s="483"/>
      <c r="AH235" s="483"/>
      <c r="AI235" s="483"/>
      <c r="AJ235" s="483"/>
      <c r="AK235" s="483"/>
      <c r="AL235" s="483"/>
      <c r="AM235" s="483"/>
      <c r="AN235" s="483"/>
      <c r="AO235" s="483"/>
      <c r="AP235" s="483"/>
      <c r="AQ235" s="483"/>
    </row>
    <row r="236" spans="2:43">
      <c r="B236" s="483"/>
      <c r="C236" s="483"/>
      <c r="D236" s="483"/>
      <c r="E236" s="483"/>
      <c r="F236" s="483"/>
      <c r="G236" s="483"/>
      <c r="H236" s="483"/>
      <c r="I236" s="483"/>
      <c r="J236" s="483"/>
      <c r="K236" s="483"/>
      <c r="L236" s="483"/>
      <c r="M236" s="483"/>
      <c r="N236" s="483"/>
      <c r="O236" s="483"/>
      <c r="P236" s="483"/>
      <c r="Q236" s="483"/>
      <c r="R236" s="483"/>
      <c r="S236" s="483"/>
      <c r="T236" s="483"/>
      <c r="U236" s="483"/>
      <c r="V236" s="483"/>
      <c r="W236" s="483"/>
      <c r="X236" s="483"/>
      <c r="Y236" s="483"/>
      <c r="Z236" s="483"/>
      <c r="AA236" s="483"/>
      <c r="AB236" s="483"/>
      <c r="AC236" s="483"/>
      <c r="AD236" s="483"/>
      <c r="AE236" s="483"/>
      <c r="AF236" s="483"/>
      <c r="AG236" s="483"/>
      <c r="AH236" s="483"/>
      <c r="AI236" s="483"/>
      <c r="AJ236" s="483"/>
      <c r="AK236" s="483"/>
      <c r="AL236" s="483"/>
      <c r="AM236" s="483"/>
      <c r="AN236" s="483"/>
      <c r="AO236" s="483"/>
      <c r="AP236" s="483"/>
      <c r="AQ236" s="483"/>
    </row>
    <row r="237" spans="2:43">
      <c r="B237" s="483"/>
      <c r="C237" s="483"/>
      <c r="D237" s="483"/>
      <c r="E237" s="483"/>
      <c r="F237" s="483"/>
      <c r="G237" s="483"/>
      <c r="H237" s="483"/>
      <c r="I237" s="483"/>
      <c r="J237" s="483"/>
      <c r="K237" s="483"/>
      <c r="L237" s="483"/>
      <c r="M237" s="483"/>
      <c r="N237" s="483"/>
      <c r="O237" s="483"/>
      <c r="P237" s="483"/>
      <c r="Q237" s="483"/>
      <c r="R237" s="483"/>
      <c r="S237" s="483"/>
      <c r="T237" s="483"/>
      <c r="U237" s="483"/>
      <c r="V237" s="483"/>
      <c r="W237" s="483"/>
      <c r="X237" s="483"/>
      <c r="Y237" s="483"/>
      <c r="Z237" s="483"/>
      <c r="AA237" s="483"/>
      <c r="AB237" s="483"/>
      <c r="AC237" s="483"/>
      <c r="AD237" s="483"/>
      <c r="AE237" s="483"/>
      <c r="AF237" s="483"/>
      <c r="AG237" s="483"/>
      <c r="AH237" s="483"/>
      <c r="AI237" s="483"/>
      <c r="AJ237" s="483"/>
      <c r="AK237" s="483"/>
      <c r="AL237" s="483"/>
      <c r="AM237" s="483"/>
      <c r="AN237" s="483"/>
      <c r="AO237" s="483"/>
      <c r="AP237" s="483"/>
      <c r="AQ237" s="483"/>
    </row>
    <row r="238" spans="2:43">
      <c r="B238" s="483"/>
      <c r="C238" s="483"/>
      <c r="D238" s="483"/>
      <c r="E238" s="483"/>
      <c r="F238" s="483"/>
      <c r="G238" s="483"/>
      <c r="H238" s="483"/>
      <c r="I238" s="483"/>
      <c r="J238" s="483"/>
      <c r="K238" s="483"/>
      <c r="L238" s="483"/>
      <c r="M238" s="483"/>
      <c r="N238" s="483"/>
      <c r="O238" s="483"/>
      <c r="P238" s="483"/>
      <c r="Q238" s="483"/>
      <c r="R238" s="483"/>
      <c r="S238" s="483"/>
      <c r="T238" s="483"/>
      <c r="U238" s="483"/>
      <c r="V238" s="483"/>
      <c r="W238" s="483"/>
      <c r="X238" s="483"/>
      <c r="Y238" s="483"/>
      <c r="Z238" s="483"/>
      <c r="AA238" s="483"/>
      <c r="AB238" s="483"/>
      <c r="AC238" s="483"/>
      <c r="AD238" s="483"/>
      <c r="AE238" s="483"/>
      <c r="AF238" s="483"/>
      <c r="AG238" s="483"/>
      <c r="AH238" s="483"/>
      <c r="AI238" s="483"/>
      <c r="AJ238" s="483"/>
      <c r="AK238" s="483"/>
      <c r="AL238" s="483"/>
      <c r="AM238" s="483"/>
      <c r="AN238" s="483"/>
      <c r="AO238" s="483"/>
      <c r="AP238" s="483"/>
      <c r="AQ238" s="483"/>
    </row>
    <row r="239" spans="2:43">
      <c r="B239" s="483"/>
      <c r="C239" s="483"/>
      <c r="D239" s="483"/>
      <c r="E239" s="483"/>
      <c r="F239" s="483"/>
      <c r="G239" s="483"/>
      <c r="H239" s="483"/>
      <c r="I239" s="483"/>
      <c r="J239" s="483"/>
      <c r="K239" s="483"/>
      <c r="L239" s="483"/>
      <c r="M239" s="483"/>
      <c r="N239" s="483"/>
      <c r="O239" s="483"/>
      <c r="P239" s="483"/>
      <c r="Q239" s="483"/>
      <c r="R239" s="483"/>
      <c r="S239" s="483"/>
      <c r="T239" s="483"/>
      <c r="U239" s="483"/>
      <c r="V239" s="483"/>
      <c r="W239" s="483"/>
      <c r="X239" s="483"/>
      <c r="Y239" s="483"/>
      <c r="Z239" s="483"/>
      <c r="AA239" s="483"/>
      <c r="AB239" s="483"/>
      <c r="AC239" s="483"/>
      <c r="AD239" s="483"/>
      <c r="AE239" s="483"/>
      <c r="AF239" s="483"/>
      <c r="AG239" s="483"/>
      <c r="AH239" s="483"/>
      <c r="AI239" s="483"/>
      <c r="AJ239" s="483"/>
      <c r="AK239" s="483"/>
      <c r="AL239" s="483"/>
      <c r="AM239" s="483"/>
      <c r="AN239" s="483"/>
      <c r="AO239" s="483"/>
      <c r="AP239" s="483"/>
      <c r="AQ239" s="483"/>
    </row>
    <row r="240" spans="2:43">
      <c r="B240" s="483"/>
      <c r="C240" s="483"/>
      <c r="D240" s="483"/>
      <c r="E240" s="483"/>
      <c r="F240" s="483"/>
      <c r="G240" s="483"/>
      <c r="H240" s="483"/>
      <c r="I240" s="483"/>
      <c r="J240" s="483"/>
      <c r="K240" s="483"/>
      <c r="L240" s="483"/>
      <c r="M240" s="483"/>
      <c r="N240" s="483"/>
      <c r="O240" s="483"/>
      <c r="P240" s="483"/>
      <c r="Q240" s="483"/>
      <c r="R240" s="483"/>
      <c r="S240" s="483"/>
      <c r="T240" s="483"/>
      <c r="U240" s="483"/>
      <c r="V240" s="483"/>
      <c r="W240" s="483"/>
      <c r="X240" s="483"/>
      <c r="Y240" s="483"/>
      <c r="Z240" s="483"/>
      <c r="AA240" s="483"/>
      <c r="AB240" s="483"/>
      <c r="AC240" s="483"/>
      <c r="AD240" s="483"/>
      <c r="AE240" s="483"/>
      <c r="AF240" s="483"/>
      <c r="AG240" s="483"/>
      <c r="AH240" s="483"/>
      <c r="AI240" s="483"/>
      <c r="AJ240" s="483"/>
      <c r="AK240" s="483"/>
      <c r="AL240" s="483"/>
      <c r="AM240" s="483"/>
      <c r="AN240" s="483"/>
      <c r="AO240" s="483"/>
      <c r="AP240" s="483"/>
      <c r="AQ240" s="483"/>
    </row>
    <row r="241" spans="2:43">
      <c r="B241" s="483"/>
      <c r="C241" s="483"/>
      <c r="D241" s="483"/>
      <c r="E241" s="483"/>
      <c r="F241" s="483"/>
      <c r="G241" s="483"/>
      <c r="H241" s="483"/>
      <c r="I241" s="483"/>
      <c r="J241" s="483"/>
      <c r="K241" s="483"/>
      <c r="L241" s="483"/>
      <c r="M241" s="483"/>
      <c r="N241" s="483"/>
      <c r="O241" s="483"/>
      <c r="P241" s="483"/>
      <c r="Q241" s="483"/>
      <c r="R241" s="483"/>
      <c r="S241" s="483"/>
      <c r="T241" s="483"/>
      <c r="U241" s="483"/>
      <c r="V241" s="483"/>
      <c r="W241" s="483"/>
      <c r="X241" s="483"/>
      <c r="Y241" s="483"/>
      <c r="Z241" s="483"/>
      <c r="AA241" s="483"/>
      <c r="AB241" s="483"/>
      <c r="AC241" s="483"/>
      <c r="AD241" s="483"/>
      <c r="AE241" s="483"/>
      <c r="AF241" s="483"/>
      <c r="AG241" s="483"/>
      <c r="AH241" s="483"/>
      <c r="AI241" s="483"/>
      <c r="AJ241" s="483"/>
      <c r="AK241" s="483"/>
      <c r="AL241" s="483"/>
      <c r="AM241" s="483"/>
      <c r="AN241" s="483"/>
      <c r="AO241" s="483"/>
      <c r="AP241" s="483"/>
      <c r="AQ241" s="483"/>
    </row>
    <row r="242" spans="2:43">
      <c r="B242" s="483"/>
      <c r="C242" s="483"/>
      <c r="D242" s="483"/>
      <c r="E242" s="483"/>
      <c r="F242" s="483"/>
      <c r="G242" s="483"/>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c r="AE242" s="483"/>
      <c r="AF242" s="483"/>
      <c r="AG242" s="483"/>
      <c r="AH242" s="483"/>
      <c r="AI242" s="483"/>
      <c r="AJ242" s="483"/>
      <c r="AK242" s="483"/>
      <c r="AL242" s="483"/>
      <c r="AM242" s="483"/>
      <c r="AN242" s="483"/>
      <c r="AO242" s="483"/>
      <c r="AP242" s="483"/>
      <c r="AQ242" s="483"/>
    </row>
    <row r="243" spans="2:43">
      <c r="B243" s="483"/>
      <c r="C243" s="483"/>
      <c r="D243" s="483"/>
      <c r="E243" s="483"/>
      <c r="F243" s="483"/>
      <c r="G243" s="483"/>
      <c r="H243" s="483"/>
      <c r="I243" s="483"/>
      <c r="J243" s="483"/>
      <c r="K243" s="483"/>
      <c r="L243" s="483"/>
      <c r="M243" s="483"/>
      <c r="N243" s="483"/>
      <c r="O243" s="483"/>
      <c r="P243" s="483"/>
      <c r="Q243" s="483"/>
      <c r="R243" s="483"/>
      <c r="S243" s="483"/>
      <c r="T243" s="483"/>
      <c r="U243" s="483"/>
      <c r="V243" s="483"/>
      <c r="W243" s="483"/>
      <c r="X243" s="483"/>
      <c r="Y243" s="483"/>
      <c r="Z243" s="483"/>
      <c r="AA243" s="483"/>
      <c r="AB243" s="483"/>
      <c r="AC243" s="483"/>
      <c r="AD243" s="483"/>
      <c r="AE243" s="483"/>
      <c r="AF243" s="483"/>
      <c r="AG243" s="483"/>
      <c r="AH243" s="483"/>
      <c r="AI243" s="483"/>
      <c r="AJ243" s="483"/>
      <c r="AK243" s="483"/>
      <c r="AL243" s="483"/>
      <c r="AM243" s="483"/>
      <c r="AN243" s="483"/>
      <c r="AO243" s="483"/>
      <c r="AP243" s="483"/>
      <c r="AQ243" s="483"/>
    </row>
    <row r="244" spans="2:43">
      <c r="B244" s="483"/>
      <c r="C244" s="483"/>
      <c r="D244" s="483"/>
      <c r="E244" s="483"/>
      <c r="F244" s="483"/>
      <c r="G244" s="483"/>
      <c r="H244" s="483"/>
      <c r="I244" s="483"/>
      <c r="J244" s="483"/>
      <c r="K244" s="483"/>
      <c r="L244" s="483"/>
      <c r="M244" s="483"/>
      <c r="N244" s="483"/>
      <c r="O244" s="483"/>
      <c r="P244" s="483"/>
      <c r="Q244" s="483"/>
      <c r="R244" s="483"/>
      <c r="S244" s="483"/>
      <c r="T244" s="483"/>
      <c r="U244" s="483"/>
      <c r="V244" s="483"/>
      <c r="W244" s="483"/>
      <c r="X244" s="483"/>
      <c r="Y244" s="483"/>
      <c r="Z244" s="483"/>
      <c r="AA244" s="483"/>
      <c r="AB244" s="483"/>
      <c r="AC244" s="483"/>
      <c r="AD244" s="483"/>
      <c r="AE244" s="483"/>
      <c r="AF244" s="483"/>
      <c r="AG244" s="483"/>
      <c r="AH244" s="483"/>
      <c r="AI244" s="483"/>
      <c r="AJ244" s="483"/>
      <c r="AK244" s="483"/>
      <c r="AL244" s="483"/>
      <c r="AM244" s="483"/>
      <c r="AN244" s="483"/>
      <c r="AO244" s="483"/>
      <c r="AP244" s="483"/>
      <c r="AQ244" s="483"/>
    </row>
    <row r="245" spans="2:43">
      <c r="B245" s="483"/>
      <c r="C245" s="483"/>
      <c r="D245" s="483"/>
      <c r="E245" s="483"/>
      <c r="F245" s="483"/>
      <c r="G245" s="483"/>
      <c r="H245" s="483"/>
      <c r="I245" s="483"/>
      <c r="J245" s="483"/>
      <c r="K245" s="483"/>
      <c r="L245" s="483"/>
      <c r="M245" s="483"/>
      <c r="N245" s="483"/>
      <c r="O245" s="483"/>
      <c r="P245" s="483"/>
      <c r="Q245" s="483"/>
      <c r="R245" s="483"/>
      <c r="S245" s="483"/>
      <c r="T245" s="483"/>
      <c r="U245" s="483"/>
      <c r="V245" s="483"/>
      <c r="W245" s="483"/>
      <c r="X245" s="483"/>
      <c r="Y245" s="483"/>
      <c r="Z245" s="483"/>
      <c r="AA245" s="483"/>
      <c r="AB245" s="483"/>
      <c r="AC245" s="483"/>
      <c r="AD245" s="483"/>
      <c r="AE245" s="483"/>
      <c r="AF245" s="483"/>
      <c r="AG245" s="483"/>
      <c r="AH245" s="483"/>
      <c r="AI245" s="483"/>
      <c r="AJ245" s="483"/>
      <c r="AK245" s="483"/>
      <c r="AL245" s="483"/>
      <c r="AM245" s="483"/>
      <c r="AN245" s="483"/>
      <c r="AO245" s="483"/>
      <c r="AP245" s="483"/>
      <c r="AQ245" s="483"/>
    </row>
    <row r="246" spans="2:43">
      <c r="B246" s="483"/>
      <c r="C246" s="483"/>
      <c r="D246" s="483"/>
      <c r="E246" s="483"/>
      <c r="F246" s="483"/>
      <c r="G246" s="483"/>
      <c r="H246" s="483"/>
      <c r="I246" s="483"/>
      <c r="J246" s="483"/>
      <c r="K246" s="483"/>
      <c r="L246" s="483"/>
      <c r="M246" s="483"/>
      <c r="N246" s="483"/>
      <c r="O246" s="483"/>
      <c r="P246" s="483"/>
      <c r="Q246" s="483"/>
      <c r="R246" s="483"/>
      <c r="S246" s="483"/>
      <c r="T246" s="483"/>
      <c r="U246" s="483"/>
      <c r="V246" s="483"/>
      <c r="W246" s="483"/>
      <c r="X246" s="483"/>
      <c r="Y246" s="483"/>
      <c r="Z246" s="483"/>
      <c r="AA246" s="483"/>
      <c r="AB246" s="483"/>
      <c r="AC246" s="483"/>
      <c r="AD246" s="483"/>
      <c r="AE246" s="483"/>
      <c r="AF246" s="483"/>
      <c r="AG246" s="483"/>
      <c r="AH246" s="483"/>
      <c r="AI246" s="483"/>
      <c r="AJ246" s="483"/>
      <c r="AK246" s="483"/>
      <c r="AL246" s="483"/>
      <c r="AM246" s="483"/>
      <c r="AN246" s="483"/>
      <c r="AO246" s="483"/>
      <c r="AP246" s="483"/>
      <c r="AQ246" s="483"/>
    </row>
    <row r="247" spans="2:43">
      <c r="B247" s="483"/>
      <c r="C247" s="483"/>
      <c r="D247" s="483"/>
      <c r="E247" s="483"/>
      <c r="F247" s="483"/>
      <c r="G247" s="483"/>
      <c r="H247" s="483"/>
      <c r="I247" s="483"/>
      <c r="J247" s="483"/>
      <c r="K247" s="483"/>
      <c r="L247" s="483"/>
      <c r="M247" s="483"/>
      <c r="N247" s="483"/>
      <c r="O247" s="483"/>
      <c r="P247" s="483"/>
      <c r="Q247" s="483"/>
      <c r="R247" s="483"/>
      <c r="S247" s="483"/>
      <c r="T247" s="483"/>
      <c r="U247" s="483"/>
      <c r="V247" s="483"/>
      <c r="W247" s="483"/>
      <c r="X247" s="483"/>
      <c r="Y247" s="483"/>
      <c r="Z247" s="483"/>
      <c r="AA247" s="483"/>
      <c r="AB247" s="483"/>
      <c r="AC247" s="483"/>
      <c r="AD247" s="483"/>
      <c r="AE247" s="483"/>
      <c r="AF247" s="483"/>
      <c r="AG247" s="483"/>
      <c r="AH247" s="483"/>
      <c r="AI247" s="483"/>
      <c r="AJ247" s="483"/>
      <c r="AK247" s="483"/>
      <c r="AL247" s="483"/>
      <c r="AM247" s="483"/>
      <c r="AN247" s="483"/>
      <c r="AO247" s="483"/>
      <c r="AP247" s="483"/>
      <c r="AQ247" s="483"/>
    </row>
    <row r="248" spans="2:43">
      <c r="B248" s="483"/>
      <c r="C248" s="483"/>
      <c r="D248" s="483"/>
      <c r="E248" s="483"/>
      <c r="F248" s="483"/>
      <c r="G248" s="483"/>
      <c r="H248" s="483"/>
      <c r="I248" s="483"/>
      <c r="J248" s="483"/>
      <c r="K248" s="483"/>
      <c r="L248" s="483"/>
      <c r="M248" s="483"/>
      <c r="N248" s="483"/>
      <c r="O248" s="483"/>
      <c r="P248" s="483"/>
      <c r="Q248" s="483"/>
      <c r="R248" s="483"/>
      <c r="S248" s="483"/>
      <c r="T248" s="483"/>
      <c r="U248" s="483"/>
      <c r="V248" s="483"/>
      <c r="W248" s="483"/>
      <c r="X248" s="483"/>
      <c r="Y248" s="483"/>
      <c r="Z248" s="483"/>
      <c r="AA248" s="483"/>
      <c r="AB248" s="483"/>
      <c r="AC248" s="483"/>
      <c r="AD248" s="483"/>
      <c r="AE248" s="483"/>
      <c r="AF248" s="483"/>
      <c r="AG248" s="483"/>
      <c r="AH248" s="483"/>
      <c r="AI248" s="483"/>
      <c r="AJ248" s="483"/>
      <c r="AK248" s="483"/>
      <c r="AL248" s="483"/>
      <c r="AM248" s="483"/>
      <c r="AN248" s="483"/>
      <c r="AO248" s="483"/>
      <c r="AP248" s="483"/>
      <c r="AQ248" s="483"/>
    </row>
    <row r="249" spans="2:43">
      <c r="B249" s="483"/>
      <c r="C249" s="483"/>
      <c r="D249" s="483"/>
      <c r="E249" s="483"/>
      <c r="F249" s="483"/>
      <c r="G249" s="483"/>
      <c r="H249" s="483"/>
      <c r="I249" s="483"/>
      <c r="J249" s="483"/>
      <c r="K249" s="483"/>
      <c r="L249" s="483"/>
      <c r="M249" s="483"/>
      <c r="N249" s="483"/>
      <c r="O249" s="483"/>
      <c r="P249" s="483"/>
      <c r="Q249" s="483"/>
      <c r="R249" s="483"/>
      <c r="S249" s="483"/>
      <c r="T249" s="483"/>
      <c r="U249" s="483"/>
      <c r="V249" s="483"/>
      <c r="W249" s="483"/>
      <c r="X249" s="483"/>
      <c r="Y249" s="483"/>
      <c r="Z249" s="483"/>
      <c r="AA249" s="483"/>
      <c r="AB249" s="483"/>
      <c r="AC249" s="483"/>
      <c r="AD249" s="483"/>
      <c r="AE249" s="483"/>
      <c r="AF249" s="483"/>
      <c r="AG249" s="483"/>
      <c r="AH249" s="483"/>
      <c r="AI249" s="483"/>
      <c r="AJ249" s="483"/>
      <c r="AK249" s="483"/>
      <c r="AL249" s="483"/>
      <c r="AM249" s="483"/>
      <c r="AN249" s="483"/>
      <c r="AO249" s="483"/>
      <c r="AP249" s="483"/>
      <c r="AQ249" s="483"/>
    </row>
    <row r="250" spans="2:43">
      <c r="B250" s="483"/>
      <c r="C250" s="483"/>
      <c r="D250" s="483"/>
      <c r="E250" s="483"/>
      <c r="F250" s="483"/>
      <c r="G250" s="483"/>
      <c r="H250" s="483"/>
      <c r="I250" s="483"/>
      <c r="J250" s="483"/>
      <c r="K250" s="483"/>
      <c r="L250" s="483"/>
      <c r="M250" s="483"/>
      <c r="N250" s="483"/>
      <c r="O250" s="483"/>
      <c r="P250" s="483"/>
      <c r="Q250" s="483"/>
      <c r="R250" s="483"/>
      <c r="S250" s="483"/>
      <c r="T250" s="483"/>
      <c r="U250" s="483"/>
      <c r="V250" s="483"/>
      <c r="W250" s="483"/>
      <c r="X250" s="483"/>
      <c r="Y250" s="483"/>
      <c r="Z250" s="483"/>
      <c r="AA250" s="483"/>
      <c r="AB250" s="483"/>
      <c r="AC250" s="483"/>
      <c r="AD250" s="483"/>
      <c r="AE250" s="483"/>
      <c r="AF250" s="483"/>
      <c r="AG250" s="483"/>
      <c r="AH250" s="483"/>
      <c r="AI250" s="483"/>
      <c r="AJ250" s="483"/>
      <c r="AK250" s="483"/>
      <c r="AL250" s="483"/>
      <c r="AM250" s="483"/>
      <c r="AN250" s="483"/>
      <c r="AO250" s="483"/>
      <c r="AP250" s="483"/>
      <c r="AQ250" s="483"/>
    </row>
    <row r="251" spans="2:43">
      <c r="B251" s="483"/>
      <c r="C251" s="483"/>
      <c r="D251" s="483"/>
      <c r="E251" s="483"/>
      <c r="F251" s="483"/>
      <c r="G251" s="483"/>
      <c r="H251" s="483"/>
      <c r="I251" s="483"/>
      <c r="J251" s="483"/>
      <c r="K251" s="483"/>
      <c r="L251" s="483"/>
      <c r="M251" s="483"/>
      <c r="N251" s="483"/>
      <c r="O251" s="483"/>
      <c r="P251" s="483"/>
      <c r="Q251" s="483"/>
      <c r="R251" s="483"/>
      <c r="S251" s="483"/>
      <c r="T251" s="483"/>
      <c r="U251" s="483"/>
      <c r="V251" s="483"/>
      <c r="W251" s="483"/>
      <c r="X251" s="483"/>
      <c r="Y251" s="483"/>
      <c r="Z251" s="483"/>
      <c r="AA251" s="483"/>
      <c r="AB251" s="483"/>
      <c r="AC251" s="483"/>
      <c r="AD251" s="483"/>
      <c r="AE251" s="483"/>
      <c r="AF251" s="483"/>
      <c r="AG251" s="483"/>
      <c r="AH251" s="483"/>
      <c r="AI251" s="483"/>
      <c r="AJ251" s="483"/>
      <c r="AK251" s="483"/>
      <c r="AL251" s="483"/>
      <c r="AM251" s="483"/>
      <c r="AN251" s="483"/>
      <c r="AO251" s="483"/>
      <c r="AP251" s="483"/>
      <c r="AQ251" s="483"/>
    </row>
    <row r="252" spans="2:43">
      <c r="B252" s="483"/>
      <c r="C252" s="483"/>
      <c r="D252" s="483"/>
      <c r="E252" s="483"/>
      <c r="F252" s="483"/>
      <c r="G252" s="483"/>
      <c r="H252" s="483"/>
      <c r="I252" s="483"/>
      <c r="J252" s="483"/>
      <c r="K252" s="483"/>
      <c r="L252" s="483"/>
      <c r="M252" s="483"/>
      <c r="N252" s="483"/>
      <c r="O252" s="483"/>
      <c r="P252" s="483"/>
      <c r="Q252" s="483"/>
      <c r="R252" s="483"/>
      <c r="S252" s="483"/>
      <c r="T252" s="483"/>
      <c r="U252" s="483"/>
      <c r="V252" s="483"/>
      <c r="W252" s="483"/>
      <c r="X252" s="483"/>
      <c r="Y252" s="483"/>
      <c r="Z252" s="483"/>
      <c r="AA252" s="483"/>
      <c r="AB252" s="483"/>
      <c r="AC252" s="483"/>
      <c r="AD252" s="483"/>
      <c r="AE252" s="483"/>
      <c r="AF252" s="483"/>
      <c r="AG252" s="483"/>
      <c r="AH252" s="483"/>
      <c r="AI252" s="483"/>
      <c r="AJ252" s="483"/>
      <c r="AK252" s="483"/>
      <c r="AL252" s="483"/>
      <c r="AM252" s="483"/>
      <c r="AN252" s="483"/>
      <c r="AO252" s="483"/>
      <c r="AP252" s="483"/>
      <c r="AQ252" s="483"/>
    </row>
    <row r="253" spans="2:43">
      <c r="B253" s="483"/>
      <c r="C253" s="483"/>
      <c r="D253" s="483"/>
      <c r="E253" s="483"/>
      <c r="F253" s="483"/>
      <c r="G253" s="483"/>
      <c r="H253" s="483"/>
      <c r="I253" s="483"/>
      <c r="J253" s="483"/>
      <c r="K253" s="483"/>
      <c r="L253" s="483"/>
      <c r="M253" s="483"/>
      <c r="N253" s="483"/>
      <c r="O253" s="483"/>
      <c r="P253" s="483"/>
      <c r="Q253" s="483"/>
      <c r="R253" s="483"/>
      <c r="S253" s="483"/>
      <c r="T253" s="483"/>
      <c r="U253" s="483"/>
      <c r="V253" s="483"/>
      <c r="W253" s="483"/>
      <c r="X253" s="483"/>
      <c r="Y253" s="483"/>
      <c r="Z253" s="483"/>
      <c r="AA253" s="483"/>
      <c r="AB253" s="483"/>
      <c r="AC253" s="483"/>
      <c r="AD253" s="483"/>
      <c r="AE253" s="483"/>
      <c r="AF253" s="483"/>
      <c r="AG253" s="483"/>
      <c r="AH253" s="483"/>
      <c r="AI253" s="483"/>
      <c r="AJ253" s="483"/>
      <c r="AK253" s="483"/>
      <c r="AL253" s="483"/>
      <c r="AM253" s="483"/>
      <c r="AN253" s="483"/>
      <c r="AO253" s="483"/>
      <c r="AP253" s="483"/>
      <c r="AQ253" s="483"/>
    </row>
    <row r="254" spans="2:43">
      <c r="B254" s="483"/>
      <c r="C254" s="483"/>
      <c r="D254" s="483"/>
      <c r="E254" s="483"/>
      <c r="F254" s="483"/>
      <c r="G254" s="483"/>
      <c r="H254" s="483"/>
      <c r="I254" s="483"/>
      <c r="J254" s="483"/>
      <c r="K254" s="483"/>
      <c r="L254" s="483"/>
      <c r="M254" s="483"/>
      <c r="N254" s="483"/>
      <c r="O254" s="483"/>
      <c r="P254" s="483"/>
      <c r="Q254" s="483"/>
      <c r="R254" s="483"/>
      <c r="S254" s="483"/>
      <c r="T254" s="483"/>
      <c r="U254" s="483"/>
      <c r="V254" s="483"/>
      <c r="W254" s="483"/>
      <c r="X254" s="483"/>
      <c r="Y254" s="483"/>
      <c r="Z254" s="483"/>
      <c r="AA254" s="483"/>
      <c r="AB254" s="483"/>
      <c r="AC254" s="483"/>
      <c r="AD254" s="483"/>
      <c r="AE254" s="483"/>
      <c r="AF254" s="483"/>
      <c r="AG254" s="483"/>
      <c r="AH254" s="483"/>
      <c r="AI254" s="483"/>
      <c r="AJ254" s="483"/>
      <c r="AK254" s="483"/>
      <c r="AL254" s="483"/>
      <c r="AM254" s="483"/>
      <c r="AN254" s="483"/>
      <c r="AO254" s="483"/>
      <c r="AP254" s="483"/>
      <c r="AQ254" s="483"/>
    </row>
    <row r="255" spans="2:43">
      <c r="B255" s="483"/>
      <c r="C255" s="483"/>
      <c r="D255" s="483"/>
      <c r="E255" s="483"/>
      <c r="F255" s="483"/>
      <c r="G255" s="483"/>
      <c r="H255" s="483"/>
      <c r="I255" s="483"/>
      <c r="J255" s="483"/>
      <c r="K255" s="483"/>
      <c r="L255" s="483"/>
      <c r="M255" s="483"/>
      <c r="N255" s="483"/>
      <c r="O255" s="483"/>
      <c r="P255" s="483"/>
      <c r="Q255" s="483"/>
      <c r="R255" s="483"/>
      <c r="S255" s="483"/>
      <c r="T255" s="483"/>
      <c r="U255" s="483"/>
      <c r="V255" s="483"/>
      <c r="W255" s="483"/>
      <c r="X255" s="483"/>
      <c r="Y255" s="483"/>
      <c r="Z255" s="483"/>
      <c r="AA255" s="483"/>
      <c r="AB255" s="483"/>
      <c r="AC255" s="483"/>
      <c r="AD255" s="483"/>
      <c r="AE255" s="483"/>
      <c r="AF255" s="483"/>
      <c r="AG255" s="483"/>
      <c r="AH255" s="483"/>
      <c r="AI255" s="483"/>
      <c r="AJ255" s="483"/>
      <c r="AK255" s="483"/>
      <c r="AL255" s="483"/>
      <c r="AM255" s="483"/>
      <c r="AN255" s="483"/>
      <c r="AO255" s="483"/>
      <c r="AP255" s="483"/>
      <c r="AQ255" s="483"/>
    </row>
    <row r="256" spans="2:43">
      <c r="B256" s="483"/>
      <c r="C256" s="483"/>
      <c r="D256" s="483"/>
      <c r="E256" s="483"/>
      <c r="F256" s="483"/>
      <c r="G256" s="483"/>
      <c r="H256" s="483"/>
      <c r="I256" s="483"/>
      <c r="J256" s="483"/>
      <c r="K256" s="483"/>
      <c r="L256" s="483"/>
      <c r="M256" s="483"/>
      <c r="N256" s="483"/>
      <c r="O256" s="483"/>
      <c r="P256" s="483"/>
      <c r="Q256" s="483"/>
      <c r="R256" s="483"/>
      <c r="S256" s="483"/>
      <c r="T256" s="483"/>
      <c r="U256" s="483"/>
      <c r="V256" s="483"/>
      <c r="W256" s="483"/>
      <c r="X256" s="483"/>
      <c r="Y256" s="483"/>
      <c r="Z256" s="483"/>
      <c r="AA256" s="483"/>
      <c r="AB256" s="483"/>
      <c r="AC256" s="483"/>
      <c r="AD256" s="483"/>
      <c r="AE256" s="483"/>
      <c r="AF256" s="483"/>
      <c r="AG256" s="483"/>
      <c r="AH256" s="483"/>
      <c r="AI256" s="483"/>
      <c r="AJ256" s="483"/>
      <c r="AK256" s="483"/>
      <c r="AL256" s="483"/>
      <c r="AM256" s="483"/>
      <c r="AN256" s="483"/>
      <c r="AO256" s="483"/>
      <c r="AP256" s="483"/>
      <c r="AQ256" s="483"/>
    </row>
    <row r="257" spans="2:43">
      <c r="B257" s="483"/>
      <c r="C257" s="483"/>
      <c r="D257" s="483"/>
      <c r="E257" s="483"/>
      <c r="F257" s="483"/>
      <c r="G257" s="483"/>
      <c r="H257" s="483"/>
      <c r="I257" s="483"/>
      <c r="J257" s="483"/>
      <c r="K257" s="483"/>
      <c r="L257" s="483"/>
      <c r="M257" s="483"/>
      <c r="N257" s="483"/>
      <c r="O257" s="483"/>
      <c r="P257" s="483"/>
      <c r="Q257" s="483"/>
      <c r="R257" s="483"/>
      <c r="S257" s="483"/>
      <c r="T257" s="483"/>
      <c r="U257" s="483"/>
      <c r="V257" s="483"/>
      <c r="W257" s="483"/>
      <c r="X257" s="483"/>
      <c r="Y257" s="483"/>
      <c r="Z257" s="483"/>
      <c r="AA257" s="483"/>
      <c r="AB257" s="483"/>
      <c r="AC257" s="483"/>
      <c r="AD257" s="483"/>
      <c r="AE257" s="483"/>
      <c r="AF257" s="483"/>
      <c r="AG257" s="483"/>
      <c r="AH257" s="483"/>
      <c r="AI257" s="483"/>
      <c r="AJ257" s="483"/>
      <c r="AK257" s="483"/>
      <c r="AL257" s="483"/>
      <c r="AM257" s="483"/>
      <c r="AN257" s="483"/>
      <c r="AO257" s="483"/>
      <c r="AP257" s="483"/>
      <c r="AQ257" s="483"/>
    </row>
    <row r="258" spans="2:43">
      <c r="B258" s="483"/>
      <c r="C258" s="483"/>
      <c r="D258" s="483"/>
      <c r="E258" s="483"/>
      <c r="F258" s="483"/>
      <c r="G258" s="483"/>
      <c r="H258" s="483"/>
      <c r="I258" s="483"/>
      <c r="J258" s="483"/>
      <c r="K258" s="483"/>
      <c r="L258" s="483"/>
      <c r="M258" s="483"/>
      <c r="N258" s="483"/>
      <c r="O258" s="483"/>
      <c r="P258" s="483"/>
      <c r="Q258" s="483"/>
      <c r="R258" s="483"/>
      <c r="S258" s="483"/>
      <c r="T258" s="483"/>
      <c r="U258" s="483"/>
      <c r="V258" s="483"/>
      <c r="W258" s="483"/>
      <c r="X258" s="483"/>
      <c r="Y258" s="483"/>
      <c r="Z258" s="483"/>
      <c r="AA258" s="483"/>
      <c r="AB258" s="483"/>
      <c r="AC258" s="483"/>
      <c r="AD258" s="483"/>
      <c r="AE258" s="483"/>
      <c r="AF258" s="483"/>
      <c r="AG258" s="483"/>
      <c r="AH258" s="483"/>
      <c r="AI258" s="483"/>
      <c r="AJ258" s="483"/>
      <c r="AK258" s="483"/>
      <c r="AL258" s="483"/>
      <c r="AM258" s="483"/>
      <c r="AN258" s="483"/>
      <c r="AO258" s="483"/>
      <c r="AP258" s="483"/>
      <c r="AQ258" s="483"/>
    </row>
    <row r="259" spans="2:43">
      <c r="B259" s="483"/>
      <c r="C259" s="483"/>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483"/>
      <c r="AI259" s="483"/>
      <c r="AJ259" s="483"/>
      <c r="AK259" s="483"/>
      <c r="AL259" s="483"/>
      <c r="AM259" s="483"/>
      <c r="AN259" s="483"/>
      <c r="AO259" s="483"/>
      <c r="AP259" s="483"/>
      <c r="AQ259" s="483"/>
    </row>
    <row r="260" spans="2:43">
      <c r="B260" s="483"/>
      <c r="C260" s="483"/>
      <c r="D260" s="483"/>
      <c r="E260" s="483"/>
      <c r="F260" s="483"/>
      <c r="G260" s="483"/>
      <c r="H260" s="483"/>
      <c r="I260" s="483"/>
      <c r="J260" s="483"/>
      <c r="K260" s="483"/>
      <c r="L260" s="483"/>
      <c r="M260" s="483"/>
      <c r="N260" s="483"/>
      <c r="O260" s="483"/>
      <c r="P260" s="483"/>
      <c r="Q260" s="483"/>
      <c r="R260" s="483"/>
      <c r="S260" s="483"/>
      <c r="T260" s="483"/>
      <c r="U260" s="483"/>
      <c r="V260" s="483"/>
      <c r="W260" s="483"/>
      <c r="X260" s="483"/>
      <c r="Y260" s="483"/>
      <c r="Z260" s="483"/>
      <c r="AA260" s="483"/>
      <c r="AB260" s="483"/>
      <c r="AC260" s="483"/>
      <c r="AD260" s="483"/>
      <c r="AE260" s="483"/>
      <c r="AF260" s="483"/>
      <c r="AG260" s="483"/>
      <c r="AH260" s="483"/>
      <c r="AI260" s="483"/>
      <c r="AJ260" s="483"/>
      <c r="AK260" s="483"/>
      <c r="AL260" s="483"/>
      <c r="AM260" s="483"/>
      <c r="AN260" s="483"/>
      <c r="AO260" s="483"/>
      <c r="AP260" s="483"/>
      <c r="AQ260" s="483"/>
    </row>
    <row r="261" spans="2:43">
      <c r="B261" s="483"/>
      <c r="C261" s="483"/>
      <c r="D261" s="483"/>
      <c r="E261" s="483"/>
      <c r="F261" s="483"/>
      <c r="G261" s="483"/>
      <c r="H261" s="483"/>
      <c r="I261" s="483"/>
      <c r="J261" s="483"/>
      <c r="K261" s="483"/>
      <c r="L261" s="483"/>
      <c r="M261" s="483"/>
      <c r="N261" s="483"/>
      <c r="O261" s="483"/>
      <c r="P261" s="483"/>
      <c r="Q261" s="483"/>
      <c r="R261" s="483"/>
      <c r="S261" s="483"/>
      <c r="T261" s="483"/>
      <c r="U261" s="483"/>
      <c r="V261" s="483"/>
      <c r="W261" s="483"/>
      <c r="X261" s="483"/>
      <c r="Y261" s="483"/>
      <c r="Z261" s="483"/>
      <c r="AA261" s="483"/>
      <c r="AB261" s="483"/>
      <c r="AC261" s="483"/>
      <c r="AD261" s="483"/>
      <c r="AE261" s="483"/>
      <c r="AF261" s="483"/>
      <c r="AG261" s="483"/>
      <c r="AH261" s="483"/>
      <c r="AI261" s="483"/>
      <c r="AJ261" s="483"/>
      <c r="AK261" s="483"/>
      <c r="AL261" s="483"/>
      <c r="AM261" s="483"/>
      <c r="AN261" s="483"/>
      <c r="AO261" s="483"/>
      <c r="AP261" s="483"/>
      <c r="AQ261" s="483"/>
    </row>
    <row r="262" spans="2:43">
      <c r="B262" s="483"/>
      <c r="C262" s="483"/>
      <c r="D262" s="483"/>
      <c r="E262" s="483"/>
      <c r="F262" s="483"/>
      <c r="G262" s="483"/>
      <c r="H262" s="483"/>
      <c r="I262" s="483"/>
      <c r="J262" s="483"/>
      <c r="K262" s="483"/>
      <c r="L262" s="483"/>
      <c r="M262" s="483"/>
      <c r="N262" s="483"/>
      <c r="O262" s="483"/>
      <c r="P262" s="483"/>
      <c r="Q262" s="483"/>
      <c r="R262" s="483"/>
      <c r="S262" s="483"/>
      <c r="T262" s="483"/>
      <c r="U262" s="483"/>
      <c r="V262" s="483"/>
      <c r="W262" s="483"/>
      <c r="X262" s="483"/>
      <c r="Y262" s="483"/>
      <c r="Z262" s="483"/>
      <c r="AA262" s="483"/>
      <c r="AB262" s="483"/>
      <c r="AC262" s="483"/>
      <c r="AD262" s="483"/>
      <c r="AE262" s="483"/>
      <c r="AF262" s="483"/>
      <c r="AG262" s="483"/>
      <c r="AH262" s="483"/>
      <c r="AI262" s="483"/>
      <c r="AJ262" s="483"/>
      <c r="AK262" s="483"/>
      <c r="AL262" s="483"/>
      <c r="AM262" s="483"/>
      <c r="AN262" s="483"/>
      <c r="AO262" s="483"/>
      <c r="AP262" s="483"/>
      <c r="AQ262" s="483"/>
    </row>
    <row r="263" spans="2:43">
      <c r="B263" s="483"/>
      <c r="C263" s="483"/>
      <c r="D263" s="483"/>
      <c r="E263" s="483"/>
      <c r="F263" s="483"/>
      <c r="G263" s="483"/>
      <c r="H263" s="483"/>
      <c r="I263" s="483"/>
      <c r="J263" s="483"/>
      <c r="K263" s="483"/>
      <c r="L263" s="483"/>
      <c r="M263" s="483"/>
      <c r="N263" s="483"/>
      <c r="O263" s="483"/>
      <c r="P263" s="483"/>
      <c r="Q263" s="483"/>
      <c r="R263" s="483"/>
      <c r="S263" s="483"/>
      <c r="T263" s="483"/>
      <c r="U263" s="483"/>
      <c r="V263" s="483"/>
      <c r="W263" s="483"/>
      <c r="X263" s="483"/>
      <c r="Y263" s="483"/>
      <c r="Z263" s="483"/>
      <c r="AA263" s="483"/>
      <c r="AB263" s="483"/>
      <c r="AC263" s="483"/>
      <c r="AD263" s="483"/>
      <c r="AE263" s="483"/>
      <c r="AF263" s="483"/>
      <c r="AG263" s="483"/>
      <c r="AH263" s="483"/>
      <c r="AI263" s="483"/>
      <c r="AJ263" s="483"/>
      <c r="AK263" s="483"/>
      <c r="AL263" s="483"/>
      <c r="AM263" s="483"/>
      <c r="AN263" s="483"/>
      <c r="AO263" s="483"/>
      <c r="AP263" s="483"/>
      <c r="AQ263" s="483"/>
    </row>
    <row r="264" spans="2:43">
      <c r="B264" s="483"/>
      <c r="C264" s="483"/>
      <c r="D264" s="483"/>
      <c r="E264" s="483"/>
      <c r="F264" s="483"/>
      <c r="G264" s="483"/>
      <c r="H264" s="483"/>
      <c r="I264" s="483"/>
      <c r="J264" s="483"/>
      <c r="K264" s="483"/>
      <c r="L264" s="483"/>
      <c r="M264" s="483"/>
      <c r="N264" s="483"/>
      <c r="O264" s="483"/>
      <c r="P264" s="483"/>
      <c r="Q264" s="483"/>
      <c r="R264" s="483"/>
      <c r="S264" s="483"/>
      <c r="T264" s="483"/>
      <c r="U264" s="483"/>
      <c r="V264" s="483"/>
      <c r="W264" s="483"/>
      <c r="X264" s="483"/>
      <c r="Y264" s="483"/>
      <c r="Z264" s="483"/>
      <c r="AA264" s="483"/>
      <c r="AB264" s="483"/>
      <c r="AC264" s="483"/>
      <c r="AD264" s="483"/>
      <c r="AE264" s="483"/>
      <c r="AF264" s="483"/>
      <c r="AG264" s="483"/>
      <c r="AH264" s="483"/>
      <c r="AI264" s="483"/>
      <c r="AJ264" s="483"/>
      <c r="AK264" s="483"/>
      <c r="AL264" s="483"/>
      <c r="AM264" s="483"/>
      <c r="AN264" s="483"/>
      <c r="AO264" s="483"/>
      <c r="AP264" s="483"/>
      <c r="AQ264" s="483"/>
    </row>
    <row r="265" spans="2:43">
      <c r="B265" s="483"/>
      <c r="C265" s="483"/>
      <c r="D265" s="483"/>
      <c r="E265" s="483"/>
      <c r="F265" s="483"/>
      <c r="G265" s="483"/>
      <c r="H265" s="483"/>
      <c r="I265" s="483"/>
      <c r="J265" s="483"/>
      <c r="K265" s="483"/>
      <c r="L265" s="483"/>
      <c r="M265" s="483"/>
      <c r="N265" s="483"/>
      <c r="O265" s="483"/>
      <c r="P265" s="483"/>
      <c r="Q265" s="483"/>
      <c r="R265" s="483"/>
      <c r="S265" s="483"/>
      <c r="T265" s="483"/>
      <c r="U265" s="483"/>
      <c r="V265" s="483"/>
      <c r="W265" s="483"/>
      <c r="X265" s="483"/>
      <c r="Y265" s="483"/>
      <c r="Z265" s="483"/>
      <c r="AA265" s="483"/>
      <c r="AB265" s="483"/>
      <c r="AC265" s="483"/>
      <c r="AD265" s="483"/>
      <c r="AE265" s="483"/>
      <c r="AF265" s="483"/>
      <c r="AG265" s="483"/>
      <c r="AH265" s="483"/>
      <c r="AI265" s="483"/>
      <c r="AJ265" s="483"/>
      <c r="AK265" s="483"/>
      <c r="AL265" s="483"/>
      <c r="AM265" s="483"/>
      <c r="AN265" s="483"/>
      <c r="AO265" s="483"/>
      <c r="AP265" s="483"/>
      <c r="AQ265" s="483"/>
    </row>
    <row r="266" spans="2:43">
      <c r="B266" s="483"/>
      <c r="C266" s="483"/>
      <c r="D266" s="483"/>
      <c r="E266" s="483"/>
      <c r="F266" s="483"/>
      <c r="G266" s="483"/>
      <c r="H266" s="483"/>
      <c r="I266" s="483"/>
      <c r="J266" s="483"/>
      <c r="K266" s="483"/>
      <c r="L266" s="483"/>
      <c r="M266" s="483"/>
      <c r="N266" s="483"/>
      <c r="O266" s="483"/>
      <c r="P266" s="483"/>
      <c r="Q266" s="483"/>
      <c r="R266" s="483"/>
      <c r="S266" s="483"/>
      <c r="T266" s="483"/>
      <c r="U266" s="483"/>
      <c r="V266" s="483"/>
      <c r="W266" s="483"/>
      <c r="X266" s="483"/>
      <c r="Y266" s="483"/>
      <c r="Z266" s="483"/>
      <c r="AA266" s="483"/>
      <c r="AB266" s="483"/>
      <c r="AC266" s="483"/>
      <c r="AD266" s="483"/>
      <c r="AE266" s="483"/>
      <c r="AF266" s="483"/>
      <c r="AG266" s="483"/>
      <c r="AH266" s="483"/>
      <c r="AI266" s="483"/>
      <c r="AJ266" s="483"/>
      <c r="AK266" s="483"/>
      <c r="AL266" s="483"/>
      <c r="AM266" s="483"/>
      <c r="AN266" s="483"/>
      <c r="AO266" s="483"/>
      <c r="AP266" s="483"/>
      <c r="AQ266" s="483"/>
    </row>
    <row r="267" spans="2:43">
      <c r="B267" s="483"/>
      <c r="C267" s="483"/>
      <c r="D267" s="483"/>
      <c r="E267" s="483"/>
      <c r="F267" s="483"/>
      <c r="G267" s="483"/>
      <c r="H267" s="483"/>
      <c r="I267" s="483"/>
      <c r="J267" s="483"/>
      <c r="K267" s="483"/>
      <c r="L267" s="483"/>
      <c r="M267" s="483"/>
      <c r="N267" s="483"/>
      <c r="O267" s="483"/>
      <c r="P267" s="483"/>
      <c r="Q267" s="483"/>
      <c r="R267" s="483"/>
      <c r="S267" s="483"/>
      <c r="T267" s="483"/>
      <c r="U267" s="483"/>
      <c r="V267" s="483"/>
      <c r="W267" s="483"/>
      <c r="X267" s="483"/>
      <c r="Y267" s="483"/>
      <c r="Z267" s="483"/>
      <c r="AA267" s="483"/>
      <c r="AB267" s="483"/>
      <c r="AC267" s="483"/>
      <c r="AD267" s="483"/>
      <c r="AE267" s="483"/>
      <c r="AF267" s="483"/>
      <c r="AG267" s="483"/>
      <c r="AH267" s="483"/>
      <c r="AI267" s="483"/>
      <c r="AJ267" s="483"/>
      <c r="AK267" s="483"/>
      <c r="AL267" s="483"/>
      <c r="AM267" s="483"/>
      <c r="AN267" s="483"/>
      <c r="AO267" s="483"/>
      <c r="AP267" s="483"/>
      <c r="AQ267" s="483"/>
    </row>
    <row r="268" spans="2:43">
      <c r="B268" s="483"/>
      <c r="C268" s="483"/>
      <c r="D268" s="483"/>
      <c r="E268" s="483"/>
      <c r="F268" s="483"/>
      <c r="G268" s="483"/>
      <c r="H268" s="483"/>
      <c r="I268" s="483"/>
      <c r="J268" s="483"/>
      <c r="K268" s="483"/>
      <c r="L268" s="483"/>
      <c r="M268" s="483"/>
      <c r="N268" s="483"/>
      <c r="O268" s="483"/>
      <c r="P268" s="483"/>
      <c r="Q268" s="483"/>
      <c r="R268" s="483"/>
      <c r="S268" s="483"/>
      <c r="T268" s="483"/>
      <c r="U268" s="483"/>
      <c r="V268" s="483"/>
      <c r="W268" s="483"/>
      <c r="X268" s="483"/>
      <c r="Y268" s="483"/>
      <c r="Z268" s="483"/>
      <c r="AA268" s="483"/>
      <c r="AB268" s="483"/>
      <c r="AC268" s="483"/>
      <c r="AD268" s="483"/>
      <c r="AE268" s="483"/>
      <c r="AF268" s="483"/>
      <c r="AG268" s="483"/>
      <c r="AH268" s="483"/>
      <c r="AI268" s="483"/>
      <c r="AJ268" s="483"/>
      <c r="AK268" s="483"/>
      <c r="AL268" s="483"/>
      <c r="AM268" s="483"/>
      <c r="AN268" s="483"/>
      <c r="AO268" s="483"/>
      <c r="AP268" s="483"/>
      <c r="AQ268" s="483"/>
    </row>
    <row r="269" spans="2:43">
      <c r="B269" s="483"/>
      <c r="C269" s="483"/>
      <c r="D269" s="483"/>
      <c r="E269" s="483"/>
      <c r="F269" s="483"/>
      <c r="G269" s="483"/>
      <c r="H269" s="483"/>
      <c r="I269" s="483"/>
      <c r="J269" s="483"/>
      <c r="K269" s="483"/>
      <c r="L269" s="483"/>
      <c r="M269" s="483"/>
      <c r="N269" s="483"/>
      <c r="O269" s="483"/>
      <c r="P269" s="483"/>
      <c r="Q269" s="483"/>
      <c r="R269" s="483"/>
      <c r="S269" s="483"/>
      <c r="T269" s="483"/>
      <c r="U269" s="483"/>
      <c r="V269" s="483"/>
      <c r="W269" s="483"/>
      <c r="X269" s="483"/>
      <c r="Y269" s="483"/>
      <c r="Z269" s="483"/>
      <c r="AA269" s="483"/>
      <c r="AB269" s="483"/>
      <c r="AC269" s="483"/>
      <c r="AD269" s="483"/>
      <c r="AE269" s="483"/>
      <c r="AF269" s="483"/>
      <c r="AG269" s="483"/>
      <c r="AH269" s="483"/>
      <c r="AI269" s="483"/>
      <c r="AJ269" s="483"/>
      <c r="AK269" s="483"/>
      <c r="AL269" s="483"/>
      <c r="AM269" s="483"/>
      <c r="AN269" s="483"/>
      <c r="AO269" s="483"/>
      <c r="AP269" s="483"/>
      <c r="AQ269" s="483"/>
    </row>
    <row r="270" spans="2:43">
      <c r="B270" s="483"/>
      <c r="C270" s="483"/>
      <c r="D270" s="483"/>
      <c r="E270" s="483"/>
      <c r="F270" s="483"/>
      <c r="G270" s="483"/>
      <c r="H270" s="483"/>
      <c r="I270" s="483"/>
      <c r="J270" s="483"/>
      <c r="K270" s="483"/>
      <c r="L270" s="483"/>
      <c r="M270" s="483"/>
      <c r="N270" s="483"/>
      <c r="O270" s="483"/>
      <c r="P270" s="483"/>
      <c r="Q270" s="483"/>
      <c r="R270" s="483"/>
      <c r="S270" s="483"/>
      <c r="T270" s="483"/>
      <c r="U270" s="483"/>
      <c r="V270" s="483"/>
      <c r="W270" s="483"/>
      <c r="X270" s="483"/>
      <c r="Y270" s="483"/>
      <c r="Z270" s="483"/>
      <c r="AA270" s="483"/>
      <c r="AB270" s="483"/>
      <c r="AC270" s="483"/>
      <c r="AD270" s="483"/>
      <c r="AE270" s="483"/>
      <c r="AF270" s="483"/>
      <c r="AG270" s="483"/>
      <c r="AH270" s="483"/>
      <c r="AI270" s="483"/>
      <c r="AJ270" s="483"/>
      <c r="AK270" s="483"/>
      <c r="AL270" s="483"/>
      <c r="AM270" s="483"/>
      <c r="AN270" s="483"/>
      <c r="AO270" s="483"/>
      <c r="AP270" s="483"/>
      <c r="AQ270" s="483"/>
    </row>
    <row r="271" spans="2:43">
      <c r="B271" s="483"/>
      <c r="C271" s="483"/>
      <c r="D271" s="483"/>
      <c r="E271" s="483"/>
      <c r="F271" s="483"/>
      <c r="G271" s="483"/>
      <c r="H271" s="483"/>
      <c r="I271" s="483"/>
      <c r="J271" s="483"/>
      <c r="K271" s="483"/>
      <c r="L271" s="483"/>
      <c r="M271" s="483"/>
      <c r="N271" s="483"/>
      <c r="O271" s="483"/>
      <c r="P271" s="483"/>
      <c r="Q271" s="483"/>
      <c r="R271" s="483"/>
      <c r="S271" s="483"/>
      <c r="T271" s="483"/>
      <c r="U271" s="483"/>
      <c r="V271" s="483"/>
      <c r="W271" s="483"/>
      <c r="X271" s="483"/>
      <c r="Y271" s="483"/>
      <c r="Z271" s="483"/>
      <c r="AA271" s="483"/>
      <c r="AB271" s="483"/>
      <c r="AC271" s="483"/>
      <c r="AD271" s="483"/>
      <c r="AE271" s="483"/>
      <c r="AF271" s="483"/>
      <c r="AG271" s="483"/>
      <c r="AH271" s="483"/>
      <c r="AI271" s="483"/>
      <c r="AJ271" s="483"/>
      <c r="AK271" s="483"/>
      <c r="AL271" s="483"/>
      <c r="AM271" s="483"/>
      <c r="AN271" s="483"/>
      <c r="AO271" s="483"/>
      <c r="AP271" s="483"/>
      <c r="AQ271" s="483"/>
    </row>
    <row r="272" spans="2:43">
      <c r="B272" s="483"/>
      <c r="C272" s="483"/>
      <c r="D272" s="483"/>
      <c r="E272" s="483"/>
      <c r="F272" s="483"/>
      <c r="G272" s="483"/>
      <c r="H272" s="483"/>
      <c r="I272" s="483"/>
      <c r="J272" s="483"/>
      <c r="K272" s="483"/>
      <c r="L272" s="483"/>
      <c r="M272" s="483"/>
      <c r="N272" s="483"/>
      <c r="O272" s="483"/>
      <c r="P272" s="483"/>
      <c r="Q272" s="483"/>
      <c r="R272" s="483"/>
      <c r="S272" s="483"/>
      <c r="T272" s="483"/>
      <c r="U272" s="483"/>
      <c r="V272" s="483"/>
      <c r="W272" s="483"/>
      <c r="X272" s="483"/>
      <c r="Y272" s="483"/>
      <c r="Z272" s="483"/>
      <c r="AA272" s="483"/>
      <c r="AB272" s="483"/>
      <c r="AC272" s="483"/>
      <c r="AD272" s="483"/>
      <c r="AE272" s="483"/>
      <c r="AF272" s="483"/>
      <c r="AG272" s="483"/>
      <c r="AH272" s="483"/>
      <c r="AI272" s="483"/>
      <c r="AJ272" s="483"/>
      <c r="AK272" s="483"/>
      <c r="AL272" s="483"/>
      <c r="AM272" s="483"/>
      <c r="AN272" s="483"/>
      <c r="AO272" s="483"/>
      <c r="AP272" s="483"/>
      <c r="AQ272" s="483"/>
    </row>
    <row r="273" spans="2:43">
      <c r="B273" s="483"/>
      <c r="C273" s="48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E273" s="483"/>
      <c r="AF273" s="483"/>
      <c r="AG273" s="483"/>
      <c r="AH273" s="483"/>
      <c r="AI273" s="483"/>
      <c r="AJ273" s="483"/>
      <c r="AK273" s="483"/>
      <c r="AL273" s="483"/>
      <c r="AM273" s="483"/>
      <c r="AN273" s="483"/>
      <c r="AO273" s="483"/>
      <c r="AP273" s="483"/>
      <c r="AQ273" s="483"/>
    </row>
    <row r="274" spans="2:43">
      <c r="B274" s="483"/>
      <c r="C274" s="483"/>
      <c r="D274" s="483"/>
      <c r="E274" s="483"/>
      <c r="F274" s="483"/>
      <c r="G274" s="483"/>
      <c r="H274" s="483"/>
      <c r="I274" s="483"/>
      <c r="J274" s="483"/>
      <c r="K274" s="483"/>
      <c r="L274" s="483"/>
      <c r="M274" s="483"/>
      <c r="N274" s="483"/>
      <c r="O274" s="483"/>
      <c r="P274" s="483"/>
      <c r="Q274" s="483"/>
      <c r="R274" s="483"/>
      <c r="S274" s="483"/>
      <c r="T274" s="483"/>
      <c r="U274" s="483"/>
      <c r="V274" s="483"/>
      <c r="W274" s="483"/>
      <c r="X274" s="483"/>
      <c r="Y274" s="483"/>
      <c r="Z274" s="483"/>
      <c r="AA274" s="483"/>
      <c r="AB274" s="483"/>
      <c r="AC274" s="483"/>
      <c r="AD274" s="483"/>
      <c r="AE274" s="483"/>
      <c r="AF274" s="483"/>
      <c r="AG274" s="483"/>
      <c r="AH274" s="483"/>
      <c r="AI274" s="483"/>
      <c r="AJ274" s="483"/>
      <c r="AK274" s="483"/>
      <c r="AL274" s="483"/>
      <c r="AM274" s="483"/>
      <c r="AN274" s="483"/>
      <c r="AO274" s="483"/>
      <c r="AP274" s="483"/>
      <c r="AQ274" s="483"/>
    </row>
    <row r="275" spans="2:43">
      <c r="B275" s="483"/>
      <c r="C275" s="483"/>
      <c r="D275" s="483"/>
      <c r="E275" s="483"/>
      <c r="F275" s="483"/>
      <c r="G275" s="483"/>
      <c r="H275" s="483"/>
      <c r="I275" s="483"/>
      <c r="J275" s="483"/>
      <c r="K275" s="483"/>
      <c r="L275" s="483"/>
      <c r="M275" s="483"/>
      <c r="N275" s="483"/>
      <c r="O275" s="483"/>
      <c r="P275" s="483"/>
      <c r="Q275" s="483"/>
      <c r="R275" s="483"/>
      <c r="S275" s="483"/>
      <c r="T275" s="483"/>
      <c r="U275" s="483"/>
      <c r="V275" s="483"/>
      <c r="W275" s="483"/>
      <c r="X275" s="483"/>
      <c r="Y275" s="483"/>
      <c r="Z275" s="483"/>
      <c r="AA275" s="483"/>
      <c r="AB275" s="483"/>
      <c r="AC275" s="483"/>
      <c r="AD275" s="483"/>
      <c r="AE275" s="483"/>
      <c r="AF275" s="483"/>
      <c r="AG275" s="483"/>
      <c r="AH275" s="483"/>
      <c r="AI275" s="483"/>
      <c r="AJ275" s="483"/>
      <c r="AK275" s="483"/>
      <c r="AL275" s="483"/>
      <c r="AM275" s="483"/>
      <c r="AN275" s="483"/>
      <c r="AO275" s="483"/>
      <c r="AP275" s="483"/>
      <c r="AQ275" s="483"/>
    </row>
    <row r="276" spans="2:43">
      <c r="B276" s="483"/>
      <c r="C276" s="483"/>
      <c r="D276" s="483"/>
      <c r="E276" s="483"/>
      <c r="F276" s="483"/>
      <c r="G276" s="483"/>
      <c r="H276" s="483"/>
      <c r="I276" s="483"/>
      <c r="J276" s="483"/>
      <c r="K276" s="483"/>
      <c r="L276" s="483"/>
      <c r="M276" s="483"/>
      <c r="N276" s="483"/>
      <c r="O276" s="483"/>
      <c r="P276" s="483"/>
      <c r="Q276" s="483"/>
      <c r="R276" s="483"/>
      <c r="S276" s="483"/>
      <c r="T276" s="483"/>
      <c r="U276" s="483"/>
      <c r="V276" s="483"/>
      <c r="W276" s="483"/>
      <c r="X276" s="483"/>
      <c r="Y276" s="483"/>
      <c r="Z276" s="483"/>
      <c r="AA276" s="483"/>
      <c r="AB276" s="483"/>
      <c r="AC276" s="483"/>
      <c r="AD276" s="483"/>
      <c r="AE276" s="483"/>
      <c r="AF276" s="483"/>
      <c r="AG276" s="483"/>
      <c r="AH276" s="483"/>
      <c r="AI276" s="483"/>
      <c r="AJ276" s="483"/>
      <c r="AK276" s="483"/>
      <c r="AL276" s="483"/>
      <c r="AM276" s="483"/>
      <c r="AN276" s="483"/>
      <c r="AO276" s="483"/>
      <c r="AP276" s="483"/>
      <c r="AQ276" s="483"/>
    </row>
    <row r="277" spans="2:43">
      <c r="B277" s="483"/>
      <c r="C277" s="483"/>
      <c r="D277" s="483"/>
      <c r="E277" s="483"/>
      <c r="F277" s="483"/>
      <c r="G277" s="483"/>
      <c r="H277" s="483"/>
      <c r="I277" s="483"/>
      <c r="J277" s="483"/>
      <c r="K277" s="483"/>
      <c r="L277" s="483"/>
      <c r="M277" s="483"/>
      <c r="N277" s="483"/>
      <c r="O277" s="483"/>
      <c r="P277" s="483"/>
      <c r="Q277" s="483"/>
      <c r="R277" s="483"/>
      <c r="S277" s="483"/>
      <c r="T277" s="483"/>
      <c r="U277" s="483"/>
      <c r="V277" s="483"/>
      <c r="W277" s="483"/>
      <c r="X277" s="483"/>
      <c r="Y277" s="483"/>
      <c r="Z277" s="483"/>
      <c r="AA277" s="483"/>
      <c r="AB277" s="483"/>
      <c r="AC277" s="483"/>
      <c r="AD277" s="483"/>
      <c r="AE277" s="483"/>
      <c r="AF277" s="483"/>
      <c r="AG277" s="483"/>
      <c r="AH277" s="483"/>
      <c r="AI277" s="483"/>
      <c r="AJ277" s="483"/>
      <c r="AK277" s="483"/>
      <c r="AL277" s="483"/>
      <c r="AM277" s="483"/>
      <c r="AN277" s="483"/>
      <c r="AO277" s="483"/>
      <c r="AP277" s="483"/>
      <c r="AQ277" s="483"/>
    </row>
    <row r="278" spans="2:43">
      <c r="B278" s="483"/>
      <c r="C278" s="483"/>
      <c r="D278" s="483"/>
      <c r="E278" s="483"/>
      <c r="F278" s="483"/>
      <c r="G278" s="483"/>
      <c r="H278" s="483"/>
      <c r="I278" s="483"/>
      <c r="J278" s="483"/>
      <c r="K278" s="483"/>
      <c r="L278" s="483"/>
      <c r="M278" s="483"/>
      <c r="N278" s="483"/>
      <c r="O278" s="483"/>
      <c r="P278" s="483"/>
      <c r="Q278" s="483"/>
      <c r="R278" s="483"/>
      <c r="S278" s="483"/>
      <c r="T278" s="483"/>
      <c r="U278" s="483"/>
      <c r="V278" s="483"/>
      <c r="W278" s="483"/>
      <c r="X278" s="483"/>
      <c r="Y278" s="483"/>
      <c r="Z278" s="483"/>
      <c r="AA278" s="483"/>
      <c r="AB278" s="483"/>
      <c r="AC278" s="483"/>
      <c r="AD278" s="483"/>
      <c r="AE278" s="483"/>
      <c r="AF278" s="483"/>
      <c r="AG278" s="483"/>
      <c r="AH278" s="483"/>
      <c r="AI278" s="483"/>
      <c r="AJ278" s="483"/>
      <c r="AK278" s="483"/>
      <c r="AL278" s="483"/>
      <c r="AM278" s="483"/>
      <c r="AN278" s="483"/>
      <c r="AO278" s="483"/>
      <c r="AP278" s="483"/>
      <c r="AQ278" s="483"/>
    </row>
    <row r="279" spans="2:43">
      <c r="B279" s="483"/>
      <c r="C279" s="483"/>
      <c r="D279" s="483"/>
      <c r="E279" s="483"/>
      <c r="F279" s="483"/>
      <c r="G279" s="483"/>
      <c r="H279" s="483"/>
      <c r="I279" s="483"/>
      <c r="J279" s="483"/>
      <c r="K279" s="483"/>
      <c r="L279" s="483"/>
      <c r="M279" s="483"/>
      <c r="N279" s="483"/>
      <c r="O279" s="483"/>
      <c r="P279" s="483"/>
      <c r="Q279" s="483"/>
      <c r="R279" s="483"/>
      <c r="S279" s="483"/>
      <c r="T279" s="483"/>
      <c r="U279" s="483"/>
      <c r="V279" s="483"/>
      <c r="W279" s="483"/>
      <c r="X279" s="483"/>
      <c r="Y279" s="483"/>
      <c r="Z279" s="483"/>
      <c r="AA279" s="483"/>
      <c r="AB279" s="483"/>
      <c r="AC279" s="483"/>
      <c r="AD279" s="483"/>
      <c r="AE279" s="483"/>
      <c r="AF279" s="483"/>
      <c r="AG279" s="483"/>
      <c r="AH279" s="483"/>
      <c r="AI279" s="483"/>
      <c r="AJ279" s="483"/>
      <c r="AK279" s="483"/>
      <c r="AL279" s="483"/>
      <c r="AM279" s="483"/>
      <c r="AN279" s="483"/>
      <c r="AO279" s="483"/>
      <c r="AP279" s="483"/>
      <c r="AQ279" s="483"/>
    </row>
    <row r="280" spans="2:43">
      <c r="B280" s="483"/>
      <c r="C280" s="483"/>
      <c r="D280" s="483"/>
      <c r="E280" s="483"/>
      <c r="F280" s="483"/>
      <c r="G280" s="483"/>
      <c r="H280" s="483"/>
      <c r="I280" s="483"/>
      <c r="J280" s="483"/>
      <c r="K280" s="483"/>
      <c r="L280" s="483"/>
      <c r="M280" s="483"/>
      <c r="N280" s="483"/>
      <c r="O280" s="483"/>
      <c r="P280" s="483"/>
      <c r="Q280" s="483"/>
      <c r="R280" s="483"/>
      <c r="S280" s="483"/>
      <c r="T280" s="483"/>
      <c r="U280" s="483"/>
      <c r="V280" s="483"/>
      <c r="W280" s="483"/>
      <c r="X280" s="483"/>
      <c r="Y280" s="483"/>
      <c r="Z280" s="483"/>
      <c r="AA280" s="483"/>
      <c r="AB280" s="483"/>
      <c r="AC280" s="483"/>
      <c r="AD280" s="483"/>
      <c r="AE280" s="483"/>
      <c r="AF280" s="483"/>
      <c r="AG280" s="483"/>
      <c r="AH280" s="483"/>
      <c r="AI280" s="483"/>
      <c r="AJ280" s="483"/>
      <c r="AK280" s="483"/>
      <c r="AL280" s="483"/>
      <c r="AM280" s="483"/>
      <c r="AN280" s="483"/>
      <c r="AO280" s="483"/>
      <c r="AP280" s="483"/>
      <c r="AQ280" s="483"/>
    </row>
    <row r="281" spans="2:43">
      <c r="B281" s="483"/>
      <c r="C281" s="483"/>
      <c r="D281" s="483"/>
      <c r="E281" s="483"/>
      <c r="F281" s="483"/>
      <c r="G281" s="483"/>
      <c r="H281" s="483"/>
      <c r="I281" s="483"/>
      <c r="J281" s="483"/>
      <c r="K281" s="483"/>
      <c r="L281" s="483"/>
      <c r="M281" s="483"/>
      <c r="N281" s="483"/>
      <c r="O281" s="483"/>
      <c r="P281" s="483"/>
      <c r="Q281" s="483"/>
      <c r="R281" s="483"/>
      <c r="S281" s="483"/>
      <c r="T281" s="483"/>
      <c r="U281" s="483"/>
      <c r="V281" s="483"/>
      <c r="W281" s="483"/>
      <c r="X281" s="483"/>
      <c r="Y281" s="483"/>
      <c r="Z281" s="483"/>
      <c r="AA281" s="483"/>
      <c r="AB281" s="483"/>
      <c r="AC281" s="483"/>
      <c r="AD281" s="483"/>
      <c r="AE281" s="483"/>
      <c r="AF281" s="483"/>
      <c r="AG281" s="483"/>
      <c r="AH281" s="483"/>
      <c r="AI281" s="483"/>
      <c r="AJ281" s="483"/>
      <c r="AK281" s="483"/>
      <c r="AL281" s="483"/>
      <c r="AM281" s="483"/>
      <c r="AN281" s="483"/>
      <c r="AO281" s="483"/>
      <c r="AP281" s="483"/>
      <c r="AQ281" s="483"/>
    </row>
    <row r="282" spans="2:43">
      <c r="B282" s="483"/>
      <c r="C282" s="483"/>
      <c r="D282" s="483"/>
      <c r="E282" s="483"/>
      <c r="F282" s="483"/>
      <c r="G282" s="483"/>
      <c r="H282" s="483"/>
      <c r="I282" s="483"/>
      <c r="J282" s="483"/>
      <c r="K282" s="483"/>
      <c r="L282" s="483"/>
      <c r="M282" s="483"/>
      <c r="N282" s="483"/>
      <c r="O282" s="483"/>
      <c r="P282" s="483"/>
      <c r="Q282" s="483"/>
      <c r="R282" s="483"/>
      <c r="S282" s="483"/>
      <c r="T282" s="483"/>
      <c r="U282" s="483"/>
      <c r="V282" s="483"/>
      <c r="W282" s="483"/>
      <c r="X282" s="483"/>
      <c r="Y282" s="483"/>
      <c r="Z282" s="483"/>
      <c r="AA282" s="483"/>
      <c r="AB282" s="483"/>
      <c r="AC282" s="483"/>
      <c r="AD282" s="483"/>
      <c r="AE282" s="483"/>
      <c r="AF282" s="483"/>
      <c r="AG282" s="483"/>
      <c r="AH282" s="483"/>
      <c r="AI282" s="483"/>
      <c r="AJ282" s="483"/>
      <c r="AK282" s="483"/>
      <c r="AL282" s="483"/>
      <c r="AM282" s="483"/>
      <c r="AN282" s="483"/>
      <c r="AO282" s="483"/>
      <c r="AP282" s="483"/>
      <c r="AQ282" s="483"/>
    </row>
    <row r="283" spans="2:43">
      <c r="B283" s="483"/>
      <c r="C283" s="483"/>
      <c r="D283" s="483"/>
      <c r="E283" s="483"/>
      <c r="F283" s="483"/>
      <c r="G283" s="483"/>
      <c r="H283" s="483"/>
      <c r="I283" s="483"/>
      <c r="J283" s="483"/>
      <c r="K283" s="483"/>
      <c r="L283" s="483"/>
      <c r="M283" s="483"/>
      <c r="N283" s="483"/>
      <c r="O283" s="483"/>
      <c r="P283" s="483"/>
      <c r="Q283" s="483"/>
      <c r="R283" s="483"/>
      <c r="S283" s="483"/>
      <c r="T283" s="483"/>
      <c r="U283" s="483"/>
      <c r="V283" s="483"/>
      <c r="W283" s="483"/>
      <c r="X283" s="483"/>
      <c r="Y283" s="483"/>
      <c r="Z283" s="483"/>
      <c r="AA283" s="483"/>
      <c r="AB283" s="483"/>
      <c r="AC283" s="483"/>
      <c r="AD283" s="483"/>
      <c r="AE283" s="483"/>
      <c r="AF283" s="483"/>
      <c r="AG283" s="483"/>
      <c r="AH283" s="483"/>
      <c r="AI283" s="483"/>
      <c r="AJ283" s="483"/>
      <c r="AK283" s="483"/>
      <c r="AL283" s="483"/>
      <c r="AM283" s="483"/>
      <c r="AN283" s="483"/>
      <c r="AO283" s="483"/>
      <c r="AP283" s="483"/>
      <c r="AQ283" s="483"/>
    </row>
    <row r="284" spans="2:43">
      <c r="B284" s="483"/>
      <c r="C284" s="483"/>
      <c r="D284" s="483"/>
      <c r="E284" s="483"/>
      <c r="F284" s="483"/>
      <c r="G284" s="483"/>
      <c r="H284" s="483"/>
      <c r="I284" s="483"/>
      <c r="J284" s="483"/>
      <c r="K284" s="483"/>
      <c r="L284" s="483"/>
      <c r="M284" s="483"/>
      <c r="N284" s="483"/>
      <c r="O284" s="483"/>
      <c r="P284" s="483"/>
      <c r="Q284" s="483"/>
      <c r="R284" s="483"/>
      <c r="S284" s="483"/>
      <c r="T284" s="483"/>
      <c r="U284" s="483"/>
      <c r="V284" s="483"/>
      <c r="W284" s="483"/>
      <c r="X284" s="483"/>
      <c r="Y284" s="483"/>
      <c r="Z284" s="483"/>
      <c r="AA284" s="483"/>
      <c r="AB284" s="483"/>
      <c r="AC284" s="483"/>
      <c r="AD284" s="483"/>
      <c r="AE284" s="483"/>
      <c r="AF284" s="483"/>
      <c r="AG284" s="483"/>
      <c r="AH284" s="483"/>
      <c r="AI284" s="483"/>
      <c r="AJ284" s="483"/>
      <c r="AK284" s="483"/>
      <c r="AL284" s="483"/>
      <c r="AM284" s="483"/>
      <c r="AN284" s="483"/>
      <c r="AO284" s="483"/>
      <c r="AP284" s="483"/>
      <c r="AQ284" s="483"/>
    </row>
    <row r="285" spans="2:43">
      <c r="B285" s="483"/>
      <c r="C285" s="483"/>
      <c r="D285" s="483"/>
      <c r="E285" s="483"/>
      <c r="F285" s="483"/>
      <c r="G285" s="483"/>
      <c r="H285" s="483"/>
      <c r="I285" s="483"/>
      <c r="J285" s="483"/>
      <c r="K285" s="483"/>
      <c r="L285" s="483"/>
      <c r="M285" s="483"/>
      <c r="N285" s="483"/>
      <c r="O285" s="483"/>
      <c r="P285" s="483"/>
      <c r="Q285" s="483"/>
      <c r="R285" s="483"/>
      <c r="S285" s="483"/>
      <c r="T285" s="483"/>
      <c r="U285" s="483"/>
      <c r="V285" s="483"/>
      <c r="W285" s="483"/>
      <c r="X285" s="483"/>
      <c r="Y285" s="483"/>
      <c r="Z285" s="483"/>
      <c r="AA285" s="483"/>
      <c r="AB285" s="483"/>
      <c r="AC285" s="483"/>
      <c r="AD285" s="483"/>
      <c r="AE285" s="483"/>
      <c r="AF285" s="483"/>
      <c r="AG285" s="483"/>
      <c r="AH285" s="483"/>
      <c r="AI285" s="483"/>
      <c r="AJ285" s="483"/>
      <c r="AK285" s="483"/>
      <c r="AL285" s="483"/>
      <c r="AM285" s="483"/>
      <c r="AN285" s="483"/>
      <c r="AO285" s="483"/>
      <c r="AP285" s="483"/>
      <c r="AQ285" s="483"/>
    </row>
    <row r="286" spans="2:43">
      <c r="B286" s="483"/>
      <c r="C286" s="483"/>
      <c r="D286" s="483"/>
      <c r="E286" s="483"/>
      <c r="F286" s="483"/>
      <c r="G286" s="483"/>
      <c r="H286" s="483"/>
      <c r="I286" s="483"/>
      <c r="J286" s="483"/>
      <c r="K286" s="483"/>
      <c r="L286" s="483"/>
      <c r="M286" s="483"/>
      <c r="N286" s="483"/>
      <c r="O286" s="483"/>
      <c r="P286" s="483"/>
      <c r="Q286" s="483"/>
      <c r="R286" s="483"/>
      <c r="S286" s="483"/>
      <c r="T286" s="483"/>
      <c r="U286" s="483"/>
      <c r="V286" s="483"/>
      <c r="W286" s="483"/>
      <c r="X286" s="483"/>
      <c r="Y286" s="483"/>
      <c r="Z286" s="483"/>
      <c r="AA286" s="483"/>
      <c r="AB286" s="483"/>
      <c r="AC286" s="483"/>
      <c r="AD286" s="483"/>
      <c r="AE286" s="483"/>
      <c r="AF286" s="483"/>
      <c r="AG286" s="483"/>
      <c r="AH286" s="483"/>
      <c r="AI286" s="483"/>
      <c r="AJ286" s="483"/>
      <c r="AK286" s="483"/>
      <c r="AL286" s="483"/>
      <c r="AM286" s="483"/>
      <c r="AN286" s="483"/>
      <c r="AO286" s="483"/>
      <c r="AP286" s="483"/>
      <c r="AQ286" s="483"/>
    </row>
    <row r="287" spans="2:43">
      <c r="B287" s="483"/>
      <c r="C287" s="483"/>
      <c r="D287" s="483"/>
      <c r="E287" s="483"/>
      <c r="F287" s="483"/>
      <c r="G287" s="483"/>
      <c r="H287" s="483"/>
      <c r="I287" s="483"/>
      <c r="J287" s="483"/>
      <c r="K287" s="483"/>
      <c r="L287" s="483"/>
      <c r="M287" s="483"/>
      <c r="N287" s="483"/>
      <c r="O287" s="483"/>
      <c r="P287" s="483"/>
      <c r="Q287" s="483"/>
      <c r="R287" s="483"/>
      <c r="S287" s="483"/>
      <c r="T287" s="483"/>
      <c r="U287" s="483"/>
      <c r="V287" s="483"/>
      <c r="W287" s="483"/>
      <c r="X287" s="483"/>
      <c r="Y287" s="483"/>
      <c r="Z287" s="483"/>
      <c r="AA287" s="483"/>
      <c r="AB287" s="483"/>
      <c r="AC287" s="483"/>
      <c r="AD287" s="483"/>
      <c r="AE287" s="483"/>
      <c r="AF287" s="483"/>
      <c r="AG287" s="483"/>
      <c r="AH287" s="483"/>
      <c r="AI287" s="483"/>
      <c r="AJ287" s="483"/>
      <c r="AK287" s="483"/>
      <c r="AL287" s="483"/>
      <c r="AM287" s="483"/>
      <c r="AN287" s="483"/>
      <c r="AO287" s="483"/>
      <c r="AP287" s="483"/>
      <c r="AQ287" s="483"/>
    </row>
    <row r="288" spans="2:43">
      <c r="B288" s="483"/>
      <c r="C288" s="483"/>
      <c r="D288" s="483"/>
      <c r="E288" s="483"/>
      <c r="F288" s="483"/>
      <c r="G288" s="483"/>
      <c r="H288" s="483"/>
      <c r="I288" s="483"/>
      <c r="J288" s="483"/>
      <c r="K288" s="483"/>
      <c r="L288" s="483"/>
      <c r="M288" s="483"/>
      <c r="N288" s="483"/>
      <c r="O288" s="483"/>
      <c r="P288" s="483"/>
      <c r="Q288" s="483"/>
      <c r="R288" s="483"/>
      <c r="S288" s="483"/>
      <c r="T288" s="483"/>
      <c r="U288" s="483"/>
      <c r="V288" s="483"/>
      <c r="W288" s="483"/>
      <c r="X288" s="483"/>
      <c r="Y288" s="483"/>
      <c r="Z288" s="483"/>
      <c r="AA288" s="483"/>
      <c r="AB288" s="483"/>
      <c r="AC288" s="483"/>
      <c r="AD288" s="483"/>
      <c r="AE288" s="483"/>
      <c r="AF288" s="483"/>
      <c r="AG288" s="483"/>
      <c r="AH288" s="483"/>
      <c r="AI288" s="483"/>
      <c r="AJ288" s="483"/>
      <c r="AK288" s="483"/>
      <c r="AL288" s="483"/>
      <c r="AM288" s="483"/>
      <c r="AN288" s="483"/>
      <c r="AO288" s="483"/>
      <c r="AP288" s="483"/>
      <c r="AQ288" s="483"/>
    </row>
    <row r="289" spans="2:43">
      <c r="B289" s="483"/>
      <c r="C289" s="483"/>
      <c r="D289" s="483"/>
      <c r="E289" s="483"/>
      <c r="F289" s="483"/>
      <c r="G289" s="483"/>
      <c r="H289" s="483"/>
      <c r="I289" s="483"/>
      <c r="J289" s="483"/>
      <c r="K289" s="483"/>
      <c r="L289" s="483"/>
      <c r="M289" s="483"/>
      <c r="N289" s="483"/>
      <c r="O289" s="483"/>
      <c r="P289" s="483"/>
      <c r="Q289" s="483"/>
      <c r="R289" s="483"/>
      <c r="S289" s="483"/>
      <c r="T289" s="483"/>
      <c r="U289" s="483"/>
      <c r="V289" s="483"/>
      <c r="W289" s="483"/>
      <c r="X289" s="483"/>
      <c r="Y289" s="483"/>
      <c r="Z289" s="483"/>
      <c r="AA289" s="483"/>
      <c r="AB289" s="483"/>
      <c r="AC289" s="483"/>
      <c r="AD289" s="483"/>
      <c r="AE289" s="483"/>
      <c r="AF289" s="483"/>
      <c r="AG289" s="483"/>
      <c r="AH289" s="483"/>
      <c r="AI289" s="483"/>
      <c r="AJ289" s="483"/>
      <c r="AK289" s="483"/>
      <c r="AL289" s="483"/>
      <c r="AM289" s="483"/>
      <c r="AN289" s="483"/>
      <c r="AO289" s="483"/>
      <c r="AP289" s="483"/>
      <c r="AQ289" s="483"/>
    </row>
    <row r="290" spans="2:43">
      <c r="B290" s="483"/>
      <c r="C290" s="483"/>
      <c r="D290" s="483"/>
      <c r="E290" s="483"/>
      <c r="F290" s="483"/>
      <c r="G290" s="483"/>
      <c r="H290" s="483"/>
      <c r="I290" s="483"/>
      <c r="J290" s="483"/>
      <c r="K290" s="483"/>
      <c r="L290" s="483"/>
      <c r="M290" s="483"/>
      <c r="N290" s="483"/>
      <c r="O290" s="483"/>
      <c r="P290" s="483"/>
      <c r="Q290" s="483"/>
      <c r="R290" s="483"/>
      <c r="S290" s="483"/>
      <c r="T290" s="483"/>
      <c r="U290" s="483"/>
      <c r="V290" s="483"/>
      <c r="W290" s="483"/>
      <c r="X290" s="483"/>
      <c r="Y290" s="483"/>
      <c r="Z290" s="483"/>
      <c r="AA290" s="483"/>
      <c r="AB290" s="483"/>
      <c r="AC290" s="483"/>
      <c r="AD290" s="483"/>
      <c r="AE290" s="483"/>
      <c r="AF290" s="483"/>
      <c r="AG290" s="483"/>
      <c r="AH290" s="483"/>
      <c r="AI290" s="483"/>
      <c r="AJ290" s="483"/>
      <c r="AK290" s="483"/>
      <c r="AL290" s="483"/>
      <c r="AM290" s="483"/>
      <c r="AN290" s="483"/>
      <c r="AO290" s="483"/>
      <c r="AP290" s="483"/>
      <c r="AQ290" s="483"/>
    </row>
    <row r="291" spans="2:43">
      <c r="B291" s="483"/>
      <c r="C291" s="483"/>
      <c r="D291" s="483"/>
      <c r="E291" s="483"/>
      <c r="F291" s="483"/>
      <c r="G291" s="483"/>
      <c r="H291" s="483"/>
      <c r="I291" s="483"/>
      <c r="J291" s="483"/>
      <c r="K291" s="483"/>
      <c r="L291" s="483"/>
      <c r="M291" s="483"/>
      <c r="N291" s="483"/>
      <c r="O291" s="483"/>
      <c r="P291" s="483"/>
      <c r="Q291" s="483"/>
      <c r="R291" s="483"/>
      <c r="S291" s="483"/>
      <c r="T291" s="483"/>
      <c r="U291" s="483"/>
      <c r="V291" s="483"/>
      <c r="W291" s="483"/>
      <c r="X291" s="483"/>
      <c r="Y291" s="483"/>
      <c r="Z291" s="483"/>
      <c r="AA291" s="483"/>
      <c r="AB291" s="483"/>
      <c r="AC291" s="483"/>
      <c r="AD291" s="483"/>
      <c r="AE291" s="483"/>
      <c r="AF291" s="483"/>
      <c r="AG291" s="483"/>
      <c r="AH291" s="483"/>
      <c r="AI291" s="483"/>
      <c r="AJ291" s="483"/>
      <c r="AK291" s="483"/>
      <c r="AL291" s="483"/>
      <c r="AM291" s="483"/>
      <c r="AN291" s="483"/>
      <c r="AO291" s="483"/>
      <c r="AP291" s="483"/>
      <c r="AQ291" s="483"/>
    </row>
    <row r="292" spans="2:43">
      <c r="B292" s="483"/>
      <c r="C292" s="483"/>
      <c r="D292" s="483"/>
      <c r="E292" s="483"/>
      <c r="F292" s="483"/>
      <c r="G292" s="483"/>
      <c r="H292" s="483"/>
      <c r="I292" s="483"/>
      <c r="J292" s="483"/>
      <c r="K292" s="483"/>
      <c r="L292" s="483"/>
      <c r="M292" s="483"/>
      <c r="N292" s="483"/>
      <c r="O292" s="483"/>
      <c r="P292" s="483"/>
      <c r="Q292" s="483"/>
      <c r="R292" s="483"/>
      <c r="S292" s="483"/>
      <c r="T292" s="483"/>
      <c r="U292" s="483"/>
      <c r="V292" s="483"/>
      <c r="W292" s="483"/>
      <c r="X292" s="483"/>
      <c r="Y292" s="483"/>
      <c r="Z292" s="483"/>
      <c r="AA292" s="483"/>
      <c r="AB292" s="483"/>
      <c r="AC292" s="483"/>
      <c r="AD292" s="483"/>
      <c r="AE292" s="483"/>
      <c r="AF292" s="483"/>
      <c r="AG292" s="483"/>
      <c r="AH292" s="483"/>
      <c r="AI292" s="483"/>
      <c r="AJ292" s="483"/>
      <c r="AK292" s="483"/>
      <c r="AL292" s="483"/>
      <c r="AM292" s="483"/>
      <c r="AN292" s="483"/>
      <c r="AO292" s="483"/>
      <c r="AP292" s="483"/>
      <c r="AQ292" s="483"/>
    </row>
    <row r="293" spans="2:43">
      <c r="B293" s="483"/>
      <c r="C293" s="483"/>
      <c r="D293" s="483"/>
      <c r="E293" s="483"/>
      <c r="F293" s="483"/>
      <c r="G293" s="483"/>
      <c r="H293" s="483"/>
      <c r="I293" s="483"/>
      <c r="J293" s="483"/>
      <c r="K293" s="483"/>
      <c r="L293" s="483"/>
      <c r="M293" s="483"/>
      <c r="N293" s="483"/>
      <c r="O293" s="483"/>
      <c r="P293" s="483"/>
      <c r="Q293" s="483"/>
      <c r="R293" s="483"/>
      <c r="S293" s="483"/>
      <c r="T293" s="483"/>
      <c r="U293" s="483"/>
      <c r="V293" s="483"/>
      <c r="W293" s="483"/>
      <c r="X293" s="483"/>
      <c r="Y293" s="483"/>
      <c r="Z293" s="483"/>
      <c r="AA293" s="483"/>
      <c r="AB293" s="483"/>
      <c r="AC293" s="483"/>
      <c r="AD293" s="483"/>
      <c r="AE293" s="483"/>
      <c r="AF293" s="483"/>
      <c r="AG293" s="483"/>
      <c r="AH293" s="483"/>
      <c r="AI293" s="483"/>
      <c r="AJ293" s="483"/>
      <c r="AK293" s="483"/>
      <c r="AL293" s="483"/>
      <c r="AM293" s="483"/>
      <c r="AN293" s="483"/>
      <c r="AO293" s="483"/>
      <c r="AP293" s="483"/>
      <c r="AQ293" s="483"/>
    </row>
    <row r="294" spans="2:43">
      <c r="B294" s="483"/>
      <c r="C294" s="483"/>
      <c r="D294" s="483"/>
      <c r="E294" s="483"/>
      <c r="F294" s="483"/>
      <c r="G294" s="483"/>
      <c r="H294" s="483"/>
      <c r="I294" s="483"/>
      <c r="J294" s="483"/>
      <c r="K294" s="483"/>
      <c r="L294" s="483"/>
      <c r="M294" s="483"/>
      <c r="N294" s="483"/>
      <c r="O294" s="483"/>
      <c r="P294" s="483"/>
      <c r="Q294" s="483"/>
      <c r="R294" s="483"/>
      <c r="S294" s="483"/>
      <c r="T294" s="483"/>
      <c r="U294" s="483"/>
      <c r="V294" s="483"/>
      <c r="W294" s="483"/>
      <c r="X294" s="483"/>
      <c r="Y294" s="483"/>
      <c r="Z294" s="483"/>
      <c r="AA294" s="483"/>
      <c r="AB294" s="483"/>
      <c r="AC294" s="483"/>
      <c r="AD294" s="483"/>
      <c r="AE294" s="483"/>
      <c r="AF294" s="483"/>
      <c r="AG294" s="483"/>
      <c r="AH294" s="483"/>
      <c r="AI294" s="483"/>
      <c r="AJ294" s="483"/>
      <c r="AK294" s="483"/>
      <c r="AL294" s="483"/>
      <c r="AM294" s="483"/>
      <c r="AN294" s="483"/>
      <c r="AO294" s="483"/>
      <c r="AP294" s="483"/>
      <c r="AQ294" s="483"/>
    </row>
    <row r="295" spans="2:43">
      <c r="B295" s="483"/>
      <c r="C295" s="483"/>
      <c r="D295" s="483"/>
      <c r="E295" s="483"/>
      <c r="F295" s="483"/>
      <c r="G295" s="483"/>
      <c r="H295" s="483"/>
      <c r="I295" s="483"/>
      <c r="J295" s="483"/>
      <c r="K295" s="483"/>
      <c r="L295" s="483"/>
      <c r="M295" s="483"/>
      <c r="N295" s="483"/>
      <c r="O295" s="483"/>
      <c r="P295" s="483"/>
      <c r="Q295" s="483"/>
      <c r="R295" s="483"/>
      <c r="S295" s="483"/>
      <c r="T295" s="483"/>
      <c r="U295" s="483"/>
      <c r="V295" s="483"/>
      <c r="W295" s="483"/>
      <c r="X295" s="483"/>
      <c r="Y295" s="483"/>
      <c r="Z295" s="483"/>
      <c r="AA295" s="483"/>
      <c r="AB295" s="483"/>
      <c r="AC295" s="483"/>
      <c r="AD295" s="483"/>
      <c r="AE295" s="483"/>
      <c r="AF295" s="483"/>
      <c r="AG295" s="483"/>
      <c r="AH295" s="483"/>
      <c r="AI295" s="483"/>
      <c r="AJ295" s="483"/>
      <c r="AK295" s="483"/>
      <c r="AL295" s="483"/>
      <c r="AM295" s="483"/>
      <c r="AN295" s="483"/>
      <c r="AO295" s="483"/>
      <c r="AP295" s="483"/>
      <c r="AQ295" s="483"/>
    </row>
  </sheetData>
  <mergeCells count="14">
    <mergeCell ref="AM7:AP7"/>
    <mergeCell ref="A1:AP1"/>
    <mergeCell ref="A2:AP2"/>
    <mergeCell ref="A3:AP3"/>
    <mergeCell ref="B7:E7"/>
    <mergeCell ref="F7:I7"/>
    <mergeCell ref="J7:M7"/>
    <mergeCell ref="N7:Q7"/>
    <mergeCell ref="AC7:AF7"/>
    <mergeCell ref="R7:U7"/>
    <mergeCell ref="AG7:AI7"/>
    <mergeCell ref="Z7:AB7"/>
    <mergeCell ref="AJ7:AL7"/>
    <mergeCell ref="V7:Y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B13" workbookViewId="0">
      <selection activeCell="M17" sqref="M17"/>
    </sheetView>
  </sheetViews>
  <sheetFormatPr baseColWidth="10" defaultRowHeight="13.2"/>
  <sheetData>
    <row r="5" spans="1:7">
      <c r="F5" s="170"/>
    </row>
    <row r="10" spans="1:7" ht="22.8">
      <c r="A10" s="169"/>
      <c r="B10" s="171"/>
      <c r="C10" s="172"/>
      <c r="D10" s="172"/>
      <c r="E10" s="172"/>
      <c r="F10" s="173"/>
      <c r="G10" s="1"/>
    </row>
    <row r="11" spans="1:7" ht="22.8">
      <c r="A11" s="169"/>
      <c r="B11" s="171"/>
      <c r="C11" s="172"/>
      <c r="D11" s="172"/>
      <c r="E11" s="172"/>
      <c r="F11" s="173"/>
      <c r="G11" s="1"/>
    </row>
    <row r="12" spans="1:7" ht="22.8">
      <c r="A12" s="169"/>
      <c r="B12" s="171"/>
      <c r="C12" s="172"/>
      <c r="D12" s="172"/>
      <c r="E12" s="172"/>
      <c r="F12" s="173"/>
      <c r="G12" s="1"/>
    </row>
    <row r="13" spans="1:7" ht="22.8">
      <c r="A13" s="169"/>
      <c r="B13" s="171"/>
      <c r="C13" s="172"/>
      <c r="D13" s="172"/>
      <c r="E13" s="172"/>
      <c r="F13" s="173"/>
      <c r="G13" s="1"/>
    </row>
    <row r="14" spans="1:7" ht="22.8">
      <c r="A14" s="169"/>
      <c r="B14" s="171"/>
      <c r="C14" s="172"/>
      <c r="D14" s="172"/>
      <c r="E14" s="172"/>
      <c r="F14" s="173"/>
      <c r="G14" s="1"/>
    </row>
    <row r="15" spans="1:7" ht="22.8">
      <c r="A15" s="174"/>
      <c r="B15" s="171"/>
      <c r="C15" s="172"/>
      <c r="D15" s="172"/>
      <c r="E15" s="172"/>
      <c r="F15" s="173"/>
      <c r="G15" s="1"/>
    </row>
    <row r="16" spans="1:7" ht="22.8">
      <c r="A16" s="174"/>
      <c r="B16" s="175"/>
      <c r="C16" s="175"/>
      <c r="D16" s="175"/>
      <c r="E16" s="175"/>
      <c r="F16" s="1"/>
      <c r="G16" s="1"/>
    </row>
    <row r="17" spans="1:7" ht="22.8">
      <c r="A17" s="174"/>
      <c r="B17" s="175"/>
      <c r="C17" s="175"/>
      <c r="D17" s="175"/>
      <c r="E17" s="175"/>
      <c r="F17" s="1"/>
      <c r="G17" s="1"/>
    </row>
    <row r="18" spans="1:7" ht="22.8">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6"/>
  <sheetViews>
    <sheetView topLeftCell="A7" zoomScaleNormal="100" workbookViewId="0">
      <pane xSplit="1" ySplit="2" topLeftCell="AA28" activePane="bottomRight" state="frozen"/>
      <selection activeCell="A7" sqref="A7"/>
      <selection pane="topRight" activeCell="B7" sqref="B7"/>
      <selection pane="bottomLeft" activeCell="A9" sqref="A9"/>
      <selection pane="bottomRight" activeCell="AO36" sqref="AO36"/>
    </sheetView>
  </sheetViews>
  <sheetFormatPr baseColWidth="10" defaultColWidth="11.44140625" defaultRowHeight="11.4"/>
  <cols>
    <col min="1" max="1" width="26.77734375" style="204" customWidth="1"/>
    <col min="2" max="21" width="7.21875" style="204" customWidth="1"/>
    <col min="22" max="25" width="9.5546875" style="204" customWidth="1"/>
    <col min="26" max="28" width="10.21875" style="204" customWidth="1"/>
    <col min="29" max="37" width="7.21875" style="204" customWidth="1"/>
    <col min="38" max="38" width="8.77734375" style="204" customWidth="1"/>
    <col min="39" max="42" width="7.21875" style="204" customWidth="1"/>
    <col min="43" max="16384" width="11.44140625" style="204"/>
  </cols>
  <sheetData>
    <row r="1" spans="1:45" ht="12">
      <c r="A1" s="1616" t="s">
        <v>1434</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row>
    <row r="2" spans="1:45" ht="12">
      <c r="A2" s="1616" t="s">
        <v>1003</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row>
    <row r="3" spans="1:45"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row>
    <row r="6" spans="1:45" ht="12">
      <c r="A6" s="379" t="s">
        <v>964</v>
      </c>
    </row>
    <row r="7" spans="1:45" ht="18" customHeight="1">
      <c r="A7" s="332" t="s">
        <v>965</v>
      </c>
      <c r="B7" s="1641" t="s">
        <v>966</v>
      </c>
      <c r="C7" s="1630"/>
      <c r="D7" s="1630"/>
      <c r="E7" s="1642"/>
      <c r="F7" s="1630" t="s">
        <v>885</v>
      </c>
      <c r="G7" s="1630"/>
      <c r="H7" s="1630"/>
      <c r="I7" s="1642"/>
      <c r="J7" s="1630" t="s">
        <v>967</v>
      </c>
      <c r="K7" s="1630"/>
      <c r="L7" s="1630"/>
      <c r="M7" s="1630"/>
      <c r="N7" s="1641" t="s">
        <v>933</v>
      </c>
      <c r="O7" s="1630"/>
      <c r="P7" s="1630"/>
      <c r="Q7" s="1642"/>
      <c r="R7" s="1641" t="s">
        <v>1194</v>
      </c>
      <c r="S7" s="1630"/>
      <c r="T7" s="1630"/>
      <c r="U7" s="1642"/>
      <c r="V7" s="1641" t="s">
        <v>1460</v>
      </c>
      <c r="W7" s="1630"/>
      <c r="X7" s="1630"/>
      <c r="Y7" s="1630"/>
      <c r="Z7" s="1641" t="s">
        <v>1573</v>
      </c>
      <c r="AA7" s="1630"/>
      <c r="AB7" s="1642"/>
      <c r="AC7" s="1630" t="s">
        <v>1459</v>
      </c>
      <c r="AD7" s="1612"/>
      <c r="AE7" s="1612"/>
      <c r="AF7" s="1613"/>
      <c r="AG7" s="1597" t="s">
        <v>1575</v>
      </c>
      <c r="AH7" s="1612"/>
      <c r="AI7" s="1612"/>
      <c r="AJ7" s="1641" t="s">
        <v>1576</v>
      </c>
      <c r="AK7" s="1630"/>
      <c r="AL7" s="1642"/>
      <c r="AM7" s="1630"/>
      <c r="AN7" s="1630"/>
      <c r="AO7" s="1630"/>
      <c r="AP7" s="1642"/>
    </row>
    <row r="8" spans="1:45" ht="18" customHeight="1">
      <c r="A8" s="14"/>
      <c r="B8" s="1227">
        <f>+'49'!B8</f>
        <v>2017</v>
      </c>
      <c r="C8" s="1228">
        <f>+'49'!C8</f>
        <v>2018</v>
      </c>
      <c r="D8" s="1535">
        <f>+'49'!D8</f>
        <v>2019</v>
      </c>
      <c r="E8" s="1229">
        <f>+'49'!E8</f>
        <v>2020</v>
      </c>
      <c r="F8" s="1228">
        <f>+'49'!F8</f>
        <v>2017</v>
      </c>
      <c r="G8" s="1228">
        <f>+'49'!G8</f>
        <v>2018</v>
      </c>
      <c r="H8" s="1535">
        <f>+'49'!H8</f>
        <v>2019</v>
      </c>
      <c r="I8" s="1229">
        <f>+'49'!I8</f>
        <v>2020</v>
      </c>
      <c r="J8" s="505">
        <f>+'49'!J8</f>
        <v>2017</v>
      </c>
      <c r="K8" s="505">
        <f>+'49'!K8</f>
        <v>2018</v>
      </c>
      <c r="L8" s="505">
        <f>+'49'!L8</f>
        <v>2019</v>
      </c>
      <c r="M8" s="515">
        <f>+'49'!M8</f>
        <v>2020</v>
      </c>
      <c r="N8" s="516">
        <f>+'49'!N8</f>
        <v>2017</v>
      </c>
      <c r="O8" s="513">
        <f>+'49'!O8</f>
        <v>2018</v>
      </c>
      <c r="P8" s="513">
        <f>+'49'!P8</f>
        <v>2019</v>
      </c>
      <c r="Q8" s="514">
        <f>+'49'!Q8</f>
        <v>2020</v>
      </c>
      <c r="R8" s="342">
        <f t="shared" ref="R8:Y8" si="0">+N8</f>
        <v>2017</v>
      </c>
      <c r="S8" s="343">
        <f t="shared" si="0"/>
        <v>2018</v>
      </c>
      <c r="T8" s="343">
        <f t="shared" si="0"/>
        <v>2019</v>
      </c>
      <c r="U8" s="344">
        <f t="shared" si="0"/>
        <v>2020</v>
      </c>
      <c r="V8" s="342">
        <f t="shared" si="0"/>
        <v>2017</v>
      </c>
      <c r="W8" s="343">
        <f t="shared" si="0"/>
        <v>2018</v>
      </c>
      <c r="X8" s="343">
        <f t="shared" si="0"/>
        <v>2019</v>
      </c>
      <c r="Y8" s="343">
        <f t="shared" si="0"/>
        <v>2020</v>
      </c>
      <c r="Z8" s="342">
        <v>2018</v>
      </c>
      <c r="AA8" s="343">
        <f>+X8</f>
        <v>2019</v>
      </c>
      <c r="AB8" s="349">
        <f>+Y8</f>
        <v>2020</v>
      </c>
      <c r="AC8" s="513">
        <f>+'49'!AC8</f>
        <v>2017</v>
      </c>
      <c r="AD8" s="513">
        <f>+'49'!AD8</f>
        <v>2018</v>
      </c>
      <c r="AE8" s="513">
        <f>+'49'!AE8</f>
        <v>2019</v>
      </c>
      <c r="AF8" s="514">
        <f>+'49'!AF8</f>
        <v>2020</v>
      </c>
      <c r="AG8" s="1465">
        <f>+AC8</f>
        <v>2017</v>
      </c>
      <c r="AH8" s="1466">
        <f>+AD8</f>
        <v>2018</v>
      </c>
      <c r="AI8" s="1466">
        <f>+AE8</f>
        <v>2019</v>
      </c>
      <c r="AJ8" s="347">
        <v>2018</v>
      </c>
      <c r="AK8" s="348">
        <v>2019</v>
      </c>
      <c r="AL8" s="349">
        <f>+Q8</f>
        <v>2020</v>
      </c>
      <c r="AM8" s="505">
        <f>+'49'!AM8</f>
        <v>2017</v>
      </c>
      <c r="AN8" s="505">
        <f>+'49'!AN8</f>
        <v>2018</v>
      </c>
      <c r="AO8" s="505">
        <f>+'49'!AO8</f>
        <v>2019</v>
      </c>
      <c r="AP8" s="510">
        <f>+'49'!AP8</f>
        <v>2020</v>
      </c>
    </row>
    <row r="9" spans="1:45" ht="18" customHeight="1">
      <c r="A9" s="517" t="s">
        <v>968</v>
      </c>
      <c r="B9" s="522">
        <v>995</v>
      </c>
      <c r="C9" s="522">
        <v>1074</v>
      </c>
      <c r="D9" s="522">
        <v>1183</v>
      </c>
      <c r="E9" s="507">
        <v>1026</v>
      </c>
      <c r="F9" s="522">
        <v>398</v>
      </c>
      <c r="G9" s="522">
        <v>385</v>
      </c>
      <c r="H9" s="522">
        <v>342</v>
      </c>
      <c r="I9" s="507">
        <v>88</v>
      </c>
      <c r="J9" s="968"/>
      <c r="K9" s="967"/>
      <c r="L9" s="967"/>
      <c r="M9" s="519"/>
      <c r="N9" s="518"/>
      <c r="O9" s="518"/>
      <c r="P9" s="518"/>
      <c r="Q9" s="518"/>
      <c r="R9" s="520"/>
      <c r="S9" s="469"/>
      <c r="T9" s="469"/>
      <c r="U9" s="469"/>
      <c r="V9" s="468"/>
      <c r="W9" s="469"/>
      <c r="X9" s="469"/>
      <c r="Y9" s="469"/>
      <c r="Z9" s="468"/>
      <c r="AA9" s="353"/>
      <c r="AB9" s="467"/>
      <c r="AC9" s="518"/>
      <c r="AD9" s="518"/>
      <c r="AE9" s="518"/>
      <c r="AF9" s="519"/>
      <c r="AG9" s="518"/>
      <c r="AH9" s="518"/>
      <c r="AI9" s="518"/>
      <c r="AJ9" s="520"/>
      <c r="AK9" s="518"/>
      <c r="AL9" s="519"/>
      <c r="AM9" s="522">
        <f t="shared" ref="AM9:AM22" si="1">+N9+J9+F9+B9+AC9</f>
        <v>1393</v>
      </c>
      <c r="AN9" s="522">
        <f t="shared" ref="AN9:AN22" si="2">+O9+K9+G9+C9+AD9+AH9</f>
        <v>1459</v>
      </c>
      <c r="AO9" s="522">
        <f t="shared" ref="AO9:AO22" si="3">+P9+L9+H9+D9+AE9+AI9</f>
        <v>1525</v>
      </c>
      <c r="AP9" s="507">
        <f t="shared" ref="AP9:AP22" si="4">+Q9+M9+I9+E9+AF9+AL9</f>
        <v>1114</v>
      </c>
    </row>
    <row r="10" spans="1:45" ht="18" customHeight="1">
      <c r="A10" s="521" t="s">
        <v>969</v>
      </c>
      <c r="B10" s="522">
        <v>256</v>
      </c>
      <c r="C10" s="522">
        <v>239</v>
      </c>
      <c r="D10" s="522">
        <v>261</v>
      </c>
      <c r="E10" s="507">
        <v>76</v>
      </c>
      <c r="F10" s="522">
        <v>126</v>
      </c>
      <c r="G10" s="522">
        <v>113</v>
      </c>
      <c r="H10" s="522">
        <v>140</v>
      </c>
      <c r="I10" s="507">
        <v>81</v>
      </c>
      <c r="J10" s="523"/>
      <c r="K10" s="522"/>
      <c r="L10" s="522"/>
      <c r="M10" s="507"/>
      <c r="N10" s="522"/>
      <c r="O10" s="522"/>
      <c r="P10" s="522"/>
      <c r="Q10" s="522"/>
      <c r="R10" s="523"/>
      <c r="S10" s="353"/>
      <c r="T10" s="353"/>
      <c r="U10" s="353"/>
      <c r="V10" s="352"/>
      <c r="W10" s="353"/>
      <c r="X10" s="353"/>
      <c r="Y10" s="353"/>
      <c r="Z10" s="352"/>
      <c r="AA10" s="353"/>
      <c r="AB10" s="466"/>
      <c r="AC10" s="522"/>
      <c r="AD10" s="522"/>
      <c r="AE10" s="522"/>
      <c r="AF10" s="507"/>
      <c r="AG10" s="522"/>
      <c r="AH10" s="522"/>
      <c r="AI10" s="522"/>
      <c r="AJ10" s="523"/>
      <c r="AK10" s="522"/>
      <c r="AL10" s="507"/>
      <c r="AM10" s="522">
        <f t="shared" si="1"/>
        <v>382</v>
      </c>
      <c r="AN10" s="522">
        <f t="shared" si="2"/>
        <v>352</v>
      </c>
      <c r="AO10" s="522">
        <f t="shared" si="3"/>
        <v>401</v>
      </c>
      <c r="AP10" s="507">
        <f t="shared" si="4"/>
        <v>157</v>
      </c>
      <c r="AQ10" s="524"/>
      <c r="AR10" s="524"/>
      <c r="AS10" s="524"/>
    </row>
    <row r="11" spans="1:45" ht="18" customHeight="1">
      <c r="A11" s="521" t="s">
        <v>970</v>
      </c>
      <c r="B11" s="522"/>
      <c r="C11" s="522"/>
      <c r="D11" s="522"/>
      <c r="E11" s="507"/>
      <c r="F11" s="522"/>
      <c r="G11" s="522"/>
      <c r="H11" s="522"/>
      <c r="I11" s="507"/>
      <c r="J11" s="523"/>
      <c r="K11" s="522"/>
      <c r="L11" s="522"/>
      <c r="M11" s="507"/>
      <c r="N11" s="522"/>
      <c r="O11" s="522"/>
      <c r="P11" s="522"/>
      <c r="Q11" s="522"/>
      <c r="R11" s="523"/>
      <c r="S11" s="353"/>
      <c r="T11" s="353"/>
      <c r="U11" s="353"/>
      <c r="V11" s="352"/>
      <c r="W11" s="353"/>
      <c r="X11" s="353"/>
      <c r="Y11" s="353"/>
      <c r="Z11" s="352"/>
      <c r="AA11" s="353"/>
      <c r="AB11" s="466"/>
      <c r="AC11" s="522"/>
      <c r="AD11" s="522"/>
      <c r="AE11" s="522"/>
      <c r="AF11" s="507"/>
      <c r="AG11" s="522"/>
      <c r="AH11" s="522"/>
      <c r="AI11" s="522"/>
      <c r="AJ11" s="523"/>
      <c r="AK11" s="522"/>
      <c r="AL11" s="507"/>
      <c r="AM11" s="522">
        <f t="shared" si="1"/>
        <v>0</v>
      </c>
      <c r="AN11" s="522">
        <f t="shared" si="2"/>
        <v>0</v>
      </c>
      <c r="AO11" s="522">
        <f t="shared" si="3"/>
        <v>0</v>
      </c>
      <c r="AP11" s="507">
        <f t="shared" si="4"/>
        <v>0</v>
      </c>
      <c r="AQ11" s="524"/>
      <c r="AR11" s="524"/>
      <c r="AS11" s="524"/>
    </row>
    <row r="12" spans="1:45" ht="18" customHeight="1">
      <c r="A12" s="92" t="s">
        <v>971</v>
      </c>
      <c r="B12" s="522"/>
      <c r="C12" s="522"/>
      <c r="D12" s="522"/>
      <c r="E12" s="507"/>
      <c r="F12" s="522">
        <v>103</v>
      </c>
      <c r="G12" s="522">
        <v>120</v>
      </c>
      <c r="H12" s="522">
        <v>176</v>
      </c>
      <c r="I12" s="507">
        <v>97</v>
      </c>
      <c r="J12" s="523"/>
      <c r="K12" s="522"/>
      <c r="L12" s="522"/>
      <c r="M12" s="507"/>
      <c r="N12" s="522"/>
      <c r="O12" s="522"/>
      <c r="P12" s="522"/>
      <c r="Q12" s="522"/>
      <c r="R12" s="523"/>
      <c r="S12" s="353"/>
      <c r="T12" s="353"/>
      <c r="U12" s="353"/>
      <c r="V12" s="352"/>
      <c r="W12" s="353"/>
      <c r="X12" s="353"/>
      <c r="Y12" s="353"/>
      <c r="Z12" s="352"/>
      <c r="AA12" s="353"/>
      <c r="AB12" s="466"/>
      <c r="AC12" s="522"/>
      <c r="AD12" s="522"/>
      <c r="AE12" s="522"/>
      <c r="AF12" s="507"/>
      <c r="AG12" s="522"/>
      <c r="AH12" s="522"/>
      <c r="AI12" s="522"/>
      <c r="AJ12" s="523"/>
      <c r="AK12" s="522"/>
      <c r="AL12" s="507"/>
      <c r="AM12" s="522">
        <f t="shared" si="1"/>
        <v>103</v>
      </c>
      <c r="AN12" s="522">
        <f t="shared" si="2"/>
        <v>120</v>
      </c>
      <c r="AO12" s="522">
        <f t="shared" si="3"/>
        <v>176</v>
      </c>
      <c r="AP12" s="507">
        <f t="shared" si="4"/>
        <v>97</v>
      </c>
      <c r="AQ12" s="524"/>
      <c r="AR12" s="524"/>
      <c r="AS12" s="524"/>
    </row>
    <row r="13" spans="1:45" ht="18" customHeight="1">
      <c r="A13" s="92" t="s">
        <v>1004</v>
      </c>
      <c r="B13" s="522">
        <v>177</v>
      </c>
      <c r="C13" s="522">
        <v>249</v>
      </c>
      <c r="D13" s="522">
        <v>276</v>
      </c>
      <c r="E13" s="507">
        <v>103</v>
      </c>
      <c r="F13" s="522">
        <v>9</v>
      </c>
      <c r="G13" s="522">
        <v>2</v>
      </c>
      <c r="H13" s="522">
        <v>13</v>
      </c>
      <c r="I13" s="507">
        <v>3</v>
      </c>
      <c r="J13" s="523"/>
      <c r="K13" s="522"/>
      <c r="L13" s="522"/>
      <c r="M13" s="507"/>
      <c r="N13" s="522"/>
      <c r="O13" s="522"/>
      <c r="P13" s="522"/>
      <c r="Q13" s="522"/>
      <c r="R13" s="523"/>
      <c r="S13" s="353"/>
      <c r="T13" s="353"/>
      <c r="U13" s="353"/>
      <c r="V13" s="352"/>
      <c r="W13" s="353"/>
      <c r="X13" s="353"/>
      <c r="Y13" s="353"/>
      <c r="Z13" s="352"/>
      <c r="AA13" s="353"/>
      <c r="AB13" s="466"/>
      <c r="AC13" s="522"/>
      <c r="AD13" s="522"/>
      <c r="AE13" s="522"/>
      <c r="AF13" s="507"/>
      <c r="AG13" s="522"/>
      <c r="AH13" s="522"/>
      <c r="AI13" s="522"/>
      <c r="AJ13" s="523"/>
      <c r="AK13" s="522"/>
      <c r="AL13" s="507"/>
      <c r="AM13" s="522">
        <f t="shared" si="1"/>
        <v>186</v>
      </c>
      <c r="AN13" s="522">
        <f t="shared" si="2"/>
        <v>251</v>
      </c>
      <c r="AO13" s="522">
        <f t="shared" si="3"/>
        <v>289</v>
      </c>
      <c r="AP13" s="507">
        <f t="shared" si="4"/>
        <v>106</v>
      </c>
      <c r="AQ13" s="524"/>
      <c r="AR13" s="524"/>
      <c r="AS13" s="524"/>
    </row>
    <row r="14" spans="1:45" ht="18" customHeight="1">
      <c r="A14" s="506" t="s">
        <v>973</v>
      </c>
      <c r="B14" s="522"/>
      <c r="C14" s="522"/>
      <c r="D14" s="522"/>
      <c r="E14" s="507"/>
      <c r="F14" s="522">
        <v>53</v>
      </c>
      <c r="G14" s="522">
        <v>53</v>
      </c>
      <c r="H14" s="522">
        <v>100</v>
      </c>
      <c r="I14" s="507">
        <v>50</v>
      </c>
      <c r="J14" s="523"/>
      <c r="K14" s="522"/>
      <c r="L14" s="522"/>
      <c r="M14" s="507"/>
      <c r="N14" s="522"/>
      <c r="O14" s="522"/>
      <c r="P14" s="522"/>
      <c r="Q14" s="522"/>
      <c r="R14" s="523"/>
      <c r="S14" s="353"/>
      <c r="T14" s="353"/>
      <c r="U14" s="353"/>
      <c r="V14" s="352"/>
      <c r="W14" s="353"/>
      <c r="X14" s="353"/>
      <c r="Y14" s="353"/>
      <c r="Z14" s="352"/>
      <c r="AA14" s="353"/>
      <c r="AB14" s="466"/>
      <c r="AC14" s="522"/>
      <c r="AD14" s="522"/>
      <c r="AE14" s="522"/>
      <c r="AF14" s="507"/>
      <c r="AG14" s="522"/>
      <c r="AH14" s="522"/>
      <c r="AI14" s="522"/>
      <c r="AJ14" s="523"/>
      <c r="AK14" s="522"/>
      <c r="AL14" s="507"/>
      <c r="AM14" s="522">
        <f t="shared" si="1"/>
        <v>53</v>
      </c>
      <c r="AN14" s="522">
        <f t="shared" si="2"/>
        <v>53</v>
      </c>
      <c r="AO14" s="522">
        <f t="shared" si="3"/>
        <v>100</v>
      </c>
      <c r="AP14" s="507">
        <f t="shared" si="4"/>
        <v>50</v>
      </c>
      <c r="AQ14" s="524"/>
      <c r="AR14" s="524"/>
      <c r="AS14" s="524"/>
    </row>
    <row r="15" spans="1:45" ht="18" customHeight="1">
      <c r="A15" s="506" t="s">
        <v>974</v>
      </c>
      <c r="B15" s="522">
        <v>21</v>
      </c>
      <c r="C15" s="522">
        <v>19</v>
      </c>
      <c r="D15" s="522">
        <v>33</v>
      </c>
      <c r="E15" s="507">
        <v>1</v>
      </c>
      <c r="F15" s="522">
        <v>67</v>
      </c>
      <c r="G15" s="522">
        <v>139</v>
      </c>
      <c r="H15" s="522">
        <v>151</v>
      </c>
      <c r="I15" s="507">
        <v>71</v>
      </c>
      <c r="J15" s="523"/>
      <c r="K15" s="522"/>
      <c r="L15" s="522"/>
      <c r="M15" s="507"/>
      <c r="N15" s="522"/>
      <c r="O15" s="522"/>
      <c r="P15" s="522"/>
      <c r="Q15" s="522"/>
      <c r="R15" s="523"/>
      <c r="S15" s="353"/>
      <c r="T15" s="353"/>
      <c r="U15" s="353"/>
      <c r="V15" s="352"/>
      <c r="W15" s="353"/>
      <c r="X15" s="353"/>
      <c r="Y15" s="353"/>
      <c r="Z15" s="352"/>
      <c r="AA15" s="353"/>
      <c r="AB15" s="466"/>
      <c r="AC15" s="522"/>
      <c r="AD15" s="522"/>
      <c r="AE15" s="522"/>
      <c r="AF15" s="507"/>
      <c r="AG15" s="522"/>
      <c r="AH15" s="522"/>
      <c r="AI15" s="522"/>
      <c r="AJ15" s="523"/>
      <c r="AK15" s="522"/>
      <c r="AL15" s="507"/>
      <c r="AM15" s="522">
        <f t="shared" si="1"/>
        <v>88</v>
      </c>
      <c r="AN15" s="522">
        <f t="shared" si="2"/>
        <v>158</v>
      </c>
      <c r="AO15" s="522">
        <f t="shared" si="3"/>
        <v>184</v>
      </c>
      <c r="AP15" s="507">
        <f t="shared" si="4"/>
        <v>72</v>
      </c>
      <c r="AQ15" s="524"/>
      <c r="AR15" s="524"/>
      <c r="AS15" s="524"/>
    </row>
    <row r="16" spans="1:45" ht="18" customHeight="1">
      <c r="A16" s="506" t="s">
        <v>975</v>
      </c>
      <c r="B16" s="522">
        <v>10</v>
      </c>
      <c r="C16" s="522"/>
      <c r="D16" s="522"/>
      <c r="E16" s="507"/>
      <c r="F16" s="522"/>
      <c r="G16" s="522"/>
      <c r="H16" s="522"/>
      <c r="I16" s="507"/>
      <c r="J16" s="523"/>
      <c r="K16" s="522"/>
      <c r="L16" s="522"/>
      <c r="M16" s="507"/>
      <c r="N16" s="522"/>
      <c r="O16" s="522"/>
      <c r="P16" s="522"/>
      <c r="Q16" s="522"/>
      <c r="R16" s="523"/>
      <c r="S16" s="353"/>
      <c r="T16" s="353"/>
      <c r="U16" s="353"/>
      <c r="V16" s="352"/>
      <c r="W16" s="353"/>
      <c r="X16" s="353"/>
      <c r="Y16" s="353"/>
      <c r="Z16" s="352"/>
      <c r="AA16" s="353"/>
      <c r="AB16" s="466"/>
      <c r="AC16" s="522"/>
      <c r="AD16" s="522"/>
      <c r="AE16" s="522"/>
      <c r="AF16" s="507"/>
      <c r="AG16" s="522"/>
      <c r="AH16" s="522"/>
      <c r="AI16" s="522"/>
      <c r="AJ16" s="523"/>
      <c r="AK16" s="522"/>
      <c r="AL16" s="507"/>
      <c r="AM16" s="522">
        <f t="shared" si="1"/>
        <v>10</v>
      </c>
      <c r="AN16" s="522">
        <f t="shared" si="2"/>
        <v>0</v>
      </c>
      <c r="AO16" s="522">
        <f t="shared" si="3"/>
        <v>0</v>
      </c>
      <c r="AP16" s="507">
        <f t="shared" si="4"/>
        <v>0</v>
      </c>
      <c r="AQ16" s="524"/>
      <c r="AR16" s="524"/>
      <c r="AS16" s="524"/>
    </row>
    <row r="17" spans="1:45" ht="18" customHeight="1">
      <c r="A17" s="506" t="s">
        <v>976</v>
      </c>
      <c r="B17" s="522">
        <v>11</v>
      </c>
      <c r="C17" s="522">
        <v>8</v>
      </c>
      <c r="D17" s="522">
        <v>15</v>
      </c>
      <c r="E17" s="507">
        <v>7</v>
      </c>
      <c r="F17" s="522"/>
      <c r="G17" s="522"/>
      <c r="H17" s="522"/>
      <c r="I17" s="507"/>
      <c r="J17" s="523"/>
      <c r="K17" s="522"/>
      <c r="L17" s="522"/>
      <c r="M17" s="507"/>
      <c r="N17" s="522"/>
      <c r="O17" s="522"/>
      <c r="P17" s="522"/>
      <c r="Q17" s="522"/>
      <c r="R17" s="523"/>
      <c r="S17" s="353"/>
      <c r="T17" s="353"/>
      <c r="U17" s="353"/>
      <c r="V17" s="352"/>
      <c r="W17" s="353"/>
      <c r="X17" s="353"/>
      <c r="Y17" s="353"/>
      <c r="Z17" s="352"/>
      <c r="AA17" s="353"/>
      <c r="AB17" s="466"/>
      <c r="AC17" s="522"/>
      <c r="AD17" s="522"/>
      <c r="AE17" s="522"/>
      <c r="AF17" s="507"/>
      <c r="AG17" s="522"/>
      <c r="AH17" s="522"/>
      <c r="AI17" s="522"/>
      <c r="AJ17" s="523"/>
      <c r="AK17" s="522"/>
      <c r="AL17" s="507"/>
      <c r="AM17" s="522">
        <f t="shared" si="1"/>
        <v>11</v>
      </c>
      <c r="AN17" s="522">
        <f t="shared" si="2"/>
        <v>8</v>
      </c>
      <c r="AO17" s="522">
        <f t="shared" si="3"/>
        <v>15</v>
      </c>
      <c r="AP17" s="507">
        <f t="shared" si="4"/>
        <v>7</v>
      </c>
      <c r="AQ17" s="524"/>
      <c r="AR17" s="524"/>
      <c r="AS17" s="524"/>
    </row>
    <row r="18" spans="1:45" ht="18" customHeight="1">
      <c r="A18" s="506" t="s">
        <v>977</v>
      </c>
      <c r="B18" s="522"/>
      <c r="C18" s="522"/>
      <c r="D18" s="522"/>
      <c r="E18" s="507"/>
      <c r="F18" s="522">
        <v>31</v>
      </c>
      <c r="G18" s="522">
        <v>34</v>
      </c>
      <c r="H18" s="522">
        <v>53</v>
      </c>
      <c r="I18" s="507">
        <v>22</v>
      </c>
      <c r="J18" s="523"/>
      <c r="K18" s="522"/>
      <c r="L18" s="522"/>
      <c r="M18" s="507"/>
      <c r="N18" s="522"/>
      <c r="O18" s="522"/>
      <c r="P18" s="522"/>
      <c r="Q18" s="522"/>
      <c r="R18" s="523"/>
      <c r="S18" s="353"/>
      <c r="T18" s="353"/>
      <c r="U18" s="353"/>
      <c r="V18" s="352"/>
      <c r="W18" s="353"/>
      <c r="X18" s="353"/>
      <c r="Y18" s="353"/>
      <c r="Z18" s="352"/>
      <c r="AA18" s="353"/>
      <c r="AB18" s="466"/>
      <c r="AC18" s="522"/>
      <c r="AD18" s="522"/>
      <c r="AE18" s="522"/>
      <c r="AF18" s="507"/>
      <c r="AG18" s="522"/>
      <c r="AH18" s="522"/>
      <c r="AI18" s="522"/>
      <c r="AJ18" s="523"/>
      <c r="AK18" s="522"/>
      <c r="AL18" s="507"/>
      <c r="AM18" s="522">
        <f t="shared" si="1"/>
        <v>31</v>
      </c>
      <c r="AN18" s="522">
        <f t="shared" si="2"/>
        <v>34</v>
      </c>
      <c r="AO18" s="522">
        <f t="shared" si="3"/>
        <v>53</v>
      </c>
      <c r="AP18" s="507">
        <f t="shared" si="4"/>
        <v>22</v>
      </c>
      <c r="AQ18" s="524"/>
      <c r="AR18" s="524"/>
      <c r="AS18" s="524"/>
    </row>
    <row r="19" spans="1:45" ht="18" customHeight="1">
      <c r="A19" s="521" t="s">
        <v>978</v>
      </c>
      <c r="B19" s="522"/>
      <c r="C19" s="522"/>
      <c r="D19" s="522"/>
      <c r="E19" s="507"/>
      <c r="F19" s="522">
        <v>333</v>
      </c>
      <c r="G19" s="522">
        <v>303</v>
      </c>
      <c r="H19" s="522">
        <v>393</v>
      </c>
      <c r="I19" s="507">
        <v>89</v>
      </c>
      <c r="J19" s="523"/>
      <c r="K19" s="522"/>
      <c r="L19" s="522"/>
      <c r="M19" s="507"/>
      <c r="N19" s="522"/>
      <c r="O19" s="522"/>
      <c r="P19" s="522"/>
      <c r="Q19" s="522"/>
      <c r="R19" s="523"/>
      <c r="S19" s="353"/>
      <c r="T19" s="353"/>
      <c r="U19" s="353"/>
      <c r="V19" s="352"/>
      <c r="W19" s="353"/>
      <c r="X19" s="353"/>
      <c r="Y19" s="353"/>
      <c r="Z19" s="352"/>
      <c r="AA19" s="353"/>
      <c r="AB19" s="466"/>
      <c r="AC19" s="522"/>
      <c r="AD19" s="522"/>
      <c r="AE19" s="522"/>
      <c r="AF19" s="507"/>
      <c r="AG19" s="522"/>
      <c r="AH19" s="522"/>
      <c r="AI19" s="522"/>
      <c r="AJ19" s="523"/>
      <c r="AK19" s="522"/>
      <c r="AL19" s="507"/>
      <c r="AM19" s="522">
        <f t="shared" si="1"/>
        <v>333</v>
      </c>
      <c r="AN19" s="522">
        <f t="shared" si="2"/>
        <v>303</v>
      </c>
      <c r="AO19" s="522">
        <f t="shared" si="3"/>
        <v>393</v>
      </c>
      <c r="AP19" s="507">
        <f t="shared" si="4"/>
        <v>89</v>
      </c>
      <c r="AQ19" s="524"/>
      <c r="AR19" s="524"/>
      <c r="AS19" s="524"/>
    </row>
    <row r="20" spans="1:45" ht="18" customHeight="1">
      <c r="A20" s="521" t="s">
        <v>979</v>
      </c>
      <c r="B20" s="522"/>
      <c r="C20" s="522"/>
      <c r="D20" s="522"/>
      <c r="E20" s="507"/>
      <c r="F20" s="522">
        <v>78</v>
      </c>
      <c r="G20" s="522">
        <v>75</v>
      </c>
      <c r="H20" s="522">
        <v>63</v>
      </c>
      <c r="I20" s="507">
        <v>10</v>
      </c>
      <c r="J20" s="523"/>
      <c r="K20" s="522"/>
      <c r="L20" s="522"/>
      <c r="M20" s="507"/>
      <c r="N20" s="522"/>
      <c r="O20" s="522"/>
      <c r="P20" s="522"/>
      <c r="Q20" s="522"/>
      <c r="R20" s="523"/>
      <c r="S20" s="353"/>
      <c r="T20" s="353"/>
      <c r="U20" s="353"/>
      <c r="V20" s="352"/>
      <c r="W20" s="353"/>
      <c r="X20" s="353"/>
      <c r="Y20" s="353"/>
      <c r="Z20" s="352"/>
      <c r="AA20" s="353"/>
      <c r="AB20" s="466"/>
      <c r="AC20" s="522"/>
      <c r="AD20" s="522"/>
      <c r="AE20" s="522"/>
      <c r="AF20" s="507"/>
      <c r="AG20" s="522"/>
      <c r="AH20" s="522"/>
      <c r="AI20" s="522"/>
      <c r="AJ20" s="523"/>
      <c r="AK20" s="522"/>
      <c r="AL20" s="507"/>
      <c r="AM20" s="522">
        <f t="shared" si="1"/>
        <v>78</v>
      </c>
      <c r="AN20" s="522">
        <f t="shared" si="2"/>
        <v>75</v>
      </c>
      <c r="AO20" s="522">
        <f t="shared" si="3"/>
        <v>63</v>
      </c>
      <c r="AP20" s="507">
        <f t="shared" si="4"/>
        <v>10</v>
      </c>
      <c r="AQ20" s="524"/>
      <c r="AR20" s="524"/>
      <c r="AS20" s="524"/>
    </row>
    <row r="21" spans="1:45" ht="18" customHeight="1">
      <c r="A21" s="961" t="s">
        <v>784</v>
      </c>
      <c r="B21" s="522"/>
      <c r="C21" s="522"/>
      <c r="D21" s="522"/>
      <c r="E21" s="507"/>
      <c r="F21" s="522"/>
      <c r="G21" s="522"/>
      <c r="H21" s="522"/>
      <c r="I21" s="507"/>
      <c r="J21" s="523"/>
      <c r="K21" s="522"/>
      <c r="L21" s="522"/>
      <c r="M21" s="507"/>
      <c r="N21" s="522"/>
      <c r="O21" s="522"/>
      <c r="P21" s="522"/>
      <c r="Q21" s="522"/>
      <c r="R21" s="523"/>
      <c r="S21" s="353"/>
      <c r="T21" s="353"/>
      <c r="U21" s="353"/>
      <c r="V21" s="352"/>
      <c r="W21" s="353"/>
      <c r="X21" s="353"/>
      <c r="Y21" s="353"/>
      <c r="Z21" s="352"/>
      <c r="AA21" s="353"/>
      <c r="AB21" s="466"/>
      <c r="AC21" s="522"/>
      <c r="AD21" s="522"/>
      <c r="AE21" s="522"/>
      <c r="AF21" s="507"/>
      <c r="AG21" s="522"/>
      <c r="AH21" s="522"/>
      <c r="AI21" s="522"/>
      <c r="AJ21" s="523"/>
      <c r="AK21" s="522"/>
      <c r="AL21" s="507"/>
      <c r="AM21" s="522">
        <f t="shared" si="1"/>
        <v>0</v>
      </c>
      <c r="AN21" s="522">
        <f t="shared" si="2"/>
        <v>0</v>
      </c>
      <c r="AO21" s="522">
        <f t="shared" si="3"/>
        <v>0</v>
      </c>
      <c r="AP21" s="507">
        <f t="shared" si="4"/>
        <v>0</v>
      </c>
      <c r="AQ21" s="524"/>
      <c r="AR21" s="524"/>
      <c r="AS21" s="524"/>
    </row>
    <row r="22" spans="1:45" ht="18" customHeight="1">
      <c r="A22" s="521" t="s">
        <v>980</v>
      </c>
      <c r="B22" s="522">
        <v>1127</v>
      </c>
      <c r="C22" s="522">
        <v>1170</v>
      </c>
      <c r="D22" s="522">
        <v>1458</v>
      </c>
      <c r="E22" s="507">
        <v>620</v>
      </c>
      <c r="F22" s="522">
        <v>248</v>
      </c>
      <c r="G22" s="522">
        <v>302</v>
      </c>
      <c r="H22" s="522">
        <v>258</v>
      </c>
      <c r="I22" s="507">
        <v>43</v>
      </c>
      <c r="J22" s="523"/>
      <c r="K22" s="522"/>
      <c r="L22" s="522"/>
      <c r="M22" s="507"/>
      <c r="N22" s="522"/>
      <c r="O22" s="522"/>
      <c r="P22" s="522"/>
      <c r="Q22" s="522"/>
      <c r="R22" s="523"/>
      <c r="S22" s="353"/>
      <c r="T22" s="353"/>
      <c r="U22" s="466"/>
      <c r="V22" s="353"/>
      <c r="W22" s="353"/>
      <c r="X22" s="353"/>
      <c r="Y22" s="353"/>
      <c r="Z22" s="352"/>
      <c r="AA22" s="353"/>
      <c r="AB22" s="466"/>
      <c r="AC22" s="522"/>
      <c r="AD22" s="522"/>
      <c r="AE22" s="522"/>
      <c r="AF22" s="507"/>
      <c r="AG22" s="522"/>
      <c r="AH22" s="522"/>
      <c r="AI22" s="522"/>
      <c r="AJ22" s="523"/>
      <c r="AK22" s="522"/>
      <c r="AL22" s="507"/>
      <c r="AM22" s="522">
        <f t="shared" si="1"/>
        <v>1375</v>
      </c>
      <c r="AN22" s="522">
        <f t="shared" si="2"/>
        <v>1472</v>
      </c>
      <c r="AO22" s="522">
        <f t="shared" si="3"/>
        <v>1716</v>
      </c>
      <c r="AP22" s="507">
        <f t="shared" si="4"/>
        <v>663</v>
      </c>
      <c r="AQ22" s="524"/>
      <c r="AR22" s="524"/>
      <c r="AS22" s="524"/>
    </row>
    <row r="23" spans="1:45" ht="18" customHeight="1">
      <c r="A23" s="521" t="s">
        <v>981</v>
      </c>
      <c r="B23" s="522"/>
      <c r="C23" s="522"/>
      <c r="D23" s="522"/>
      <c r="E23" s="507"/>
      <c r="F23" s="522"/>
      <c r="G23" s="522"/>
      <c r="H23" s="522"/>
      <c r="I23" s="507"/>
      <c r="J23" s="522"/>
      <c r="K23" s="522"/>
      <c r="L23" s="522">
        <v>88</v>
      </c>
      <c r="M23" s="507">
        <v>115</v>
      </c>
      <c r="N23" s="522">
        <v>539</v>
      </c>
      <c r="O23" s="522"/>
      <c r="P23" s="522"/>
      <c r="Q23" s="507"/>
      <c r="R23" s="353"/>
      <c r="S23" s="353"/>
      <c r="T23" s="353"/>
      <c r="U23" s="466"/>
      <c r="V23" s="353">
        <v>633</v>
      </c>
      <c r="W23" s="353">
        <v>964</v>
      </c>
      <c r="X23" s="353">
        <v>775</v>
      </c>
      <c r="Y23" s="353">
        <v>382</v>
      </c>
      <c r="Z23" s="352">
        <v>496</v>
      </c>
      <c r="AA23" s="353">
        <v>585</v>
      </c>
      <c r="AB23" s="466">
        <v>507</v>
      </c>
      <c r="AC23" s="522"/>
      <c r="AD23" s="522"/>
      <c r="AE23" s="522"/>
      <c r="AF23" s="507"/>
      <c r="AG23" s="522"/>
      <c r="AH23" s="522"/>
      <c r="AI23" s="522"/>
      <c r="AJ23" s="523"/>
      <c r="AK23" s="522"/>
      <c r="AL23" s="507"/>
      <c r="AM23" s="522">
        <f>+N23+J23+F23+B23+AC23+R23+V23</f>
        <v>1172</v>
      </c>
      <c r="AN23" s="522">
        <f>+O23+K23+G23+C23+S23+AD23+AH23+W23+Z23</f>
        <v>1460</v>
      </c>
      <c r="AO23" s="522">
        <f>+P23+L23+H23+D23+T23+AE23+AI23+X23+AA23</f>
        <v>1448</v>
      </c>
      <c r="AP23" s="507">
        <f>+Q23+M23+I23+E23+U23+Y23+AB23+AF23+AL23</f>
        <v>1004</v>
      </c>
      <c r="AQ23" s="524"/>
      <c r="AR23" s="524"/>
      <c r="AS23" s="524"/>
    </row>
    <row r="24" spans="1:45" ht="18" customHeight="1">
      <c r="A24" s="521" t="s">
        <v>982</v>
      </c>
      <c r="B24" s="522">
        <v>823</v>
      </c>
      <c r="C24" s="522">
        <v>923</v>
      </c>
      <c r="D24" s="522">
        <v>901</v>
      </c>
      <c r="E24" s="507">
        <v>481</v>
      </c>
      <c r="F24" s="522">
        <v>139</v>
      </c>
      <c r="G24" s="522">
        <v>159</v>
      </c>
      <c r="H24" s="522">
        <v>126</v>
      </c>
      <c r="I24" s="507">
        <v>35</v>
      </c>
      <c r="J24" s="522"/>
      <c r="K24" s="522"/>
      <c r="L24" s="522"/>
      <c r="M24" s="507"/>
      <c r="N24" s="522"/>
      <c r="O24" s="522"/>
      <c r="P24" s="522"/>
      <c r="Q24" s="522"/>
      <c r="R24" s="523"/>
      <c r="S24" s="353"/>
      <c r="T24" s="353"/>
      <c r="U24" s="466"/>
      <c r="V24" s="353"/>
      <c r="W24" s="353"/>
      <c r="X24" s="353"/>
      <c r="Y24" s="353"/>
      <c r="Z24" s="352"/>
      <c r="AA24" s="353"/>
      <c r="AB24" s="466"/>
      <c r="AC24" s="522"/>
      <c r="AD24" s="522"/>
      <c r="AE24" s="522"/>
      <c r="AF24" s="507"/>
      <c r="AG24" s="522"/>
      <c r="AH24" s="522"/>
      <c r="AI24" s="522"/>
      <c r="AJ24" s="523"/>
      <c r="AK24" s="522"/>
      <c r="AL24" s="507"/>
      <c r="AM24" s="522">
        <f t="shared" ref="AM24:AM31" si="5">+N24+J24+F24+B24+AC24</f>
        <v>962</v>
      </c>
      <c r="AN24" s="522">
        <f t="shared" ref="AN24:AN35" si="6">+O24+K24+G24+C24+AD24+AH24</f>
        <v>1082</v>
      </c>
      <c r="AO24" s="522">
        <f t="shared" ref="AO24:AO35" si="7">+P24+L24+H24+D24+AE24+AI24</f>
        <v>1027</v>
      </c>
      <c r="AP24" s="507">
        <f t="shared" ref="AP24:AP37" si="8">+Q24+M24+I24+E24+AF24+AL24</f>
        <v>516</v>
      </c>
      <c r="AQ24" s="524"/>
      <c r="AR24" s="524"/>
      <c r="AS24" s="524"/>
    </row>
    <row r="25" spans="1:45" ht="18" customHeight="1">
      <c r="A25" s="92" t="s">
        <v>983</v>
      </c>
      <c r="B25" s="522"/>
      <c r="C25" s="522"/>
      <c r="D25" s="522"/>
      <c r="E25" s="507"/>
      <c r="F25" s="522">
        <v>5</v>
      </c>
      <c r="G25" s="522"/>
      <c r="H25" s="522"/>
      <c r="I25" s="507"/>
      <c r="J25" s="522"/>
      <c r="K25" s="522"/>
      <c r="L25" s="522"/>
      <c r="M25" s="507"/>
      <c r="N25" s="522"/>
      <c r="O25" s="522"/>
      <c r="P25" s="522"/>
      <c r="Q25" s="522"/>
      <c r="R25" s="523"/>
      <c r="S25" s="353"/>
      <c r="T25" s="353"/>
      <c r="U25" s="353"/>
      <c r="V25" s="352"/>
      <c r="W25" s="353"/>
      <c r="X25" s="353"/>
      <c r="Y25" s="353"/>
      <c r="Z25" s="352"/>
      <c r="AA25" s="353"/>
      <c r="AB25" s="466"/>
      <c r="AC25" s="522"/>
      <c r="AD25" s="522"/>
      <c r="AE25" s="522"/>
      <c r="AF25" s="507"/>
      <c r="AG25" s="522"/>
      <c r="AH25" s="522"/>
      <c r="AI25" s="522"/>
      <c r="AJ25" s="523"/>
      <c r="AK25" s="522"/>
      <c r="AL25" s="507"/>
      <c r="AM25" s="522">
        <f t="shared" si="5"/>
        <v>5</v>
      </c>
      <c r="AN25" s="522">
        <f t="shared" si="6"/>
        <v>0</v>
      </c>
      <c r="AO25" s="522">
        <f t="shared" si="7"/>
        <v>0</v>
      </c>
      <c r="AP25" s="507">
        <f t="shared" si="8"/>
        <v>0</v>
      </c>
      <c r="AQ25" s="524"/>
      <c r="AR25" s="524"/>
      <c r="AS25" s="524"/>
    </row>
    <row r="26" spans="1:45" ht="18" customHeight="1">
      <c r="A26" s="961" t="s">
        <v>1450</v>
      </c>
      <c r="B26" s="522">
        <v>1</v>
      </c>
      <c r="C26" s="522">
        <v>1</v>
      </c>
      <c r="D26" s="522">
        <v>5</v>
      </c>
      <c r="E26" s="507">
        <v>2</v>
      </c>
      <c r="F26" s="522"/>
      <c r="G26" s="522"/>
      <c r="H26" s="522"/>
      <c r="I26" s="507"/>
      <c r="J26" s="522"/>
      <c r="K26" s="522"/>
      <c r="L26" s="522"/>
      <c r="M26" s="507"/>
      <c r="N26" s="522"/>
      <c r="O26" s="522"/>
      <c r="P26" s="522"/>
      <c r="Q26" s="522"/>
      <c r="R26" s="523"/>
      <c r="S26" s="353"/>
      <c r="T26" s="353"/>
      <c r="U26" s="353"/>
      <c r="V26" s="352"/>
      <c r="W26" s="353"/>
      <c r="X26" s="353"/>
      <c r="Y26" s="353"/>
      <c r="Z26" s="352"/>
      <c r="AA26" s="353"/>
      <c r="AB26" s="466"/>
      <c r="AC26" s="522"/>
      <c r="AD26" s="522"/>
      <c r="AE26" s="522"/>
      <c r="AF26" s="507"/>
      <c r="AG26" s="522"/>
      <c r="AH26" s="522"/>
      <c r="AI26" s="522"/>
      <c r="AJ26" s="523"/>
      <c r="AK26" s="522"/>
      <c r="AL26" s="507"/>
      <c r="AM26" s="522">
        <f t="shared" si="5"/>
        <v>1</v>
      </c>
      <c r="AN26" s="522">
        <f t="shared" si="6"/>
        <v>1</v>
      </c>
      <c r="AO26" s="522">
        <f t="shared" si="7"/>
        <v>5</v>
      </c>
      <c r="AP26" s="507">
        <f t="shared" si="8"/>
        <v>2</v>
      </c>
      <c r="AQ26" s="524"/>
      <c r="AR26" s="524"/>
      <c r="AS26" s="524"/>
    </row>
    <row r="27" spans="1:45" ht="18" customHeight="1">
      <c r="A27" s="92" t="s">
        <v>984</v>
      </c>
      <c r="B27" s="522"/>
      <c r="C27" s="522"/>
      <c r="D27" s="522"/>
      <c r="E27" s="507"/>
      <c r="F27" s="522">
        <v>71</v>
      </c>
      <c r="G27" s="522">
        <v>30</v>
      </c>
      <c r="H27" s="522">
        <v>66</v>
      </c>
      <c r="I27" s="507">
        <v>12</v>
      </c>
      <c r="J27" s="522"/>
      <c r="K27" s="522"/>
      <c r="L27" s="522"/>
      <c r="M27" s="507"/>
      <c r="N27" s="522"/>
      <c r="O27" s="522"/>
      <c r="P27" s="522"/>
      <c r="Q27" s="522"/>
      <c r="R27" s="523"/>
      <c r="S27" s="353"/>
      <c r="T27" s="353"/>
      <c r="U27" s="353"/>
      <c r="V27" s="352"/>
      <c r="W27" s="353"/>
      <c r="X27" s="353"/>
      <c r="Y27" s="353"/>
      <c r="Z27" s="352"/>
      <c r="AA27" s="353"/>
      <c r="AB27" s="466"/>
      <c r="AC27" s="522"/>
      <c r="AD27" s="522"/>
      <c r="AE27" s="522"/>
      <c r="AF27" s="507"/>
      <c r="AG27" s="522"/>
      <c r="AH27" s="522"/>
      <c r="AI27" s="522"/>
      <c r="AJ27" s="523"/>
      <c r="AK27" s="522"/>
      <c r="AL27" s="507"/>
      <c r="AM27" s="522">
        <f t="shared" si="5"/>
        <v>71</v>
      </c>
      <c r="AN27" s="522">
        <f t="shared" si="6"/>
        <v>30</v>
      </c>
      <c r="AO27" s="522">
        <f t="shared" si="7"/>
        <v>66</v>
      </c>
      <c r="AP27" s="507">
        <f t="shared" si="8"/>
        <v>12</v>
      </c>
      <c r="AQ27" s="524"/>
      <c r="AR27" s="524"/>
      <c r="AS27" s="524"/>
    </row>
    <row r="28" spans="1:45" ht="18" customHeight="1">
      <c r="A28" s="92" t="s">
        <v>1449</v>
      </c>
      <c r="B28" s="522"/>
      <c r="C28" s="522"/>
      <c r="D28" s="522"/>
      <c r="E28" s="507"/>
      <c r="F28" s="522">
        <v>11</v>
      </c>
      <c r="G28" s="522">
        <v>4</v>
      </c>
      <c r="H28" s="522">
        <v>4</v>
      </c>
      <c r="I28" s="507"/>
      <c r="J28" s="522"/>
      <c r="K28" s="522"/>
      <c r="L28" s="522"/>
      <c r="M28" s="507"/>
      <c r="N28" s="522"/>
      <c r="O28" s="522"/>
      <c r="P28" s="522"/>
      <c r="Q28" s="522"/>
      <c r="R28" s="523"/>
      <c r="S28" s="353"/>
      <c r="T28" s="353"/>
      <c r="U28" s="353"/>
      <c r="V28" s="352"/>
      <c r="W28" s="353"/>
      <c r="X28" s="353"/>
      <c r="Y28" s="353"/>
      <c r="Z28" s="352"/>
      <c r="AA28" s="353"/>
      <c r="AB28" s="466"/>
      <c r="AC28" s="522"/>
      <c r="AD28" s="522"/>
      <c r="AE28" s="522"/>
      <c r="AF28" s="507"/>
      <c r="AG28" s="522"/>
      <c r="AH28" s="522"/>
      <c r="AI28" s="522"/>
      <c r="AJ28" s="523"/>
      <c r="AK28" s="522"/>
      <c r="AL28" s="507"/>
      <c r="AM28" s="522">
        <f t="shared" si="5"/>
        <v>11</v>
      </c>
      <c r="AN28" s="522">
        <f t="shared" si="6"/>
        <v>4</v>
      </c>
      <c r="AO28" s="522">
        <f t="shared" si="7"/>
        <v>4</v>
      </c>
      <c r="AP28" s="507">
        <f t="shared" si="8"/>
        <v>0</v>
      </c>
      <c r="AQ28" s="524"/>
      <c r="AR28" s="524"/>
      <c r="AS28" s="524"/>
    </row>
    <row r="29" spans="1:45" ht="18" customHeight="1">
      <c r="A29" s="521" t="s">
        <v>985</v>
      </c>
      <c r="B29" s="522">
        <v>110</v>
      </c>
      <c r="C29" s="522">
        <v>106</v>
      </c>
      <c r="D29" s="522">
        <v>106</v>
      </c>
      <c r="E29" s="507">
        <v>53</v>
      </c>
      <c r="F29" s="522"/>
      <c r="G29" s="522"/>
      <c r="H29" s="522"/>
      <c r="I29" s="507"/>
      <c r="J29" s="522"/>
      <c r="K29" s="522"/>
      <c r="L29" s="522"/>
      <c r="M29" s="507"/>
      <c r="N29" s="522"/>
      <c r="O29" s="522"/>
      <c r="P29" s="522"/>
      <c r="Q29" s="522"/>
      <c r="R29" s="523"/>
      <c r="S29" s="353"/>
      <c r="T29" s="353"/>
      <c r="U29" s="353"/>
      <c r="V29" s="352"/>
      <c r="W29" s="353"/>
      <c r="X29" s="353"/>
      <c r="Y29" s="353"/>
      <c r="Z29" s="352"/>
      <c r="AA29" s="353"/>
      <c r="AB29" s="466"/>
      <c r="AC29" s="522"/>
      <c r="AD29" s="522"/>
      <c r="AE29" s="522"/>
      <c r="AF29" s="507"/>
      <c r="AG29" s="522"/>
      <c r="AH29" s="522"/>
      <c r="AI29" s="522"/>
      <c r="AJ29" s="523"/>
      <c r="AK29" s="522"/>
      <c r="AL29" s="507"/>
      <c r="AM29" s="522">
        <f t="shared" si="5"/>
        <v>110</v>
      </c>
      <c r="AN29" s="522">
        <f t="shared" si="6"/>
        <v>106</v>
      </c>
      <c r="AO29" s="522">
        <f t="shared" si="7"/>
        <v>106</v>
      </c>
      <c r="AP29" s="507">
        <f t="shared" si="8"/>
        <v>53</v>
      </c>
      <c r="AQ29" s="524"/>
      <c r="AR29" s="524"/>
      <c r="AS29" s="524"/>
    </row>
    <row r="30" spans="1:45" ht="18" customHeight="1">
      <c r="A30" s="521" t="s">
        <v>986</v>
      </c>
      <c r="B30" s="522">
        <v>190</v>
      </c>
      <c r="C30" s="522">
        <v>145</v>
      </c>
      <c r="D30" s="522">
        <v>181</v>
      </c>
      <c r="E30" s="507">
        <v>138</v>
      </c>
      <c r="F30" s="522">
        <v>322</v>
      </c>
      <c r="G30" s="522">
        <v>271</v>
      </c>
      <c r="H30" s="522">
        <v>162</v>
      </c>
      <c r="I30" s="507">
        <v>123</v>
      </c>
      <c r="J30" s="522">
        <v>92</v>
      </c>
      <c r="K30" s="522">
        <v>39</v>
      </c>
      <c r="L30" s="522">
        <v>39</v>
      </c>
      <c r="M30" s="507">
        <v>43</v>
      </c>
      <c r="N30" s="522"/>
      <c r="O30" s="522"/>
      <c r="P30" s="522"/>
      <c r="Q30" s="522"/>
      <c r="R30" s="523"/>
      <c r="S30" s="353"/>
      <c r="T30" s="353"/>
      <c r="U30" s="353"/>
      <c r="V30" s="352"/>
      <c r="W30" s="353"/>
      <c r="X30" s="353"/>
      <c r="Y30" s="353"/>
      <c r="Z30" s="352"/>
      <c r="AA30" s="353"/>
      <c r="AB30" s="466"/>
      <c r="AC30" s="522"/>
      <c r="AD30" s="522"/>
      <c r="AE30" s="522"/>
      <c r="AF30" s="507"/>
      <c r="AG30" s="522"/>
      <c r="AH30" s="522"/>
      <c r="AI30" s="522"/>
      <c r="AJ30" s="523"/>
      <c r="AK30" s="522"/>
      <c r="AL30" s="507"/>
      <c r="AM30" s="522">
        <f t="shared" si="5"/>
        <v>604</v>
      </c>
      <c r="AN30" s="522">
        <f t="shared" si="6"/>
        <v>455</v>
      </c>
      <c r="AO30" s="522">
        <f t="shared" si="7"/>
        <v>382</v>
      </c>
      <c r="AP30" s="507">
        <f t="shared" si="8"/>
        <v>304</v>
      </c>
      <c r="AQ30" s="524"/>
      <c r="AR30" s="524"/>
      <c r="AS30" s="524"/>
    </row>
    <row r="31" spans="1:45" ht="18" customHeight="1">
      <c r="A31" s="521" t="s">
        <v>987</v>
      </c>
      <c r="B31" s="522">
        <v>181</v>
      </c>
      <c r="C31" s="522">
        <v>123</v>
      </c>
      <c r="D31" s="522">
        <v>90</v>
      </c>
      <c r="E31" s="507">
        <v>39</v>
      </c>
      <c r="F31" s="522">
        <v>82</v>
      </c>
      <c r="G31" s="522">
        <v>94</v>
      </c>
      <c r="H31" s="522">
        <v>105</v>
      </c>
      <c r="I31" s="507">
        <v>34</v>
      </c>
      <c r="J31" s="522"/>
      <c r="K31" s="522"/>
      <c r="L31" s="522"/>
      <c r="M31" s="507"/>
      <c r="N31" s="522"/>
      <c r="O31" s="522"/>
      <c r="P31" s="522"/>
      <c r="Q31" s="522"/>
      <c r="R31" s="523"/>
      <c r="S31" s="353"/>
      <c r="T31" s="353"/>
      <c r="U31" s="353"/>
      <c r="V31" s="352"/>
      <c r="W31" s="353"/>
      <c r="X31" s="353"/>
      <c r="Y31" s="353"/>
      <c r="Z31" s="352"/>
      <c r="AA31" s="353"/>
      <c r="AB31" s="466"/>
      <c r="AC31" s="522"/>
      <c r="AD31" s="522"/>
      <c r="AE31" s="522"/>
      <c r="AF31" s="507"/>
      <c r="AG31" s="522"/>
      <c r="AH31" s="522"/>
      <c r="AI31" s="522"/>
      <c r="AJ31" s="523"/>
      <c r="AK31" s="522"/>
      <c r="AL31" s="507"/>
      <c r="AM31" s="522">
        <f t="shared" si="5"/>
        <v>263</v>
      </c>
      <c r="AN31" s="522">
        <f t="shared" si="6"/>
        <v>217</v>
      </c>
      <c r="AO31" s="522">
        <f t="shared" si="7"/>
        <v>195</v>
      </c>
      <c r="AP31" s="507">
        <f t="shared" si="8"/>
        <v>73</v>
      </c>
      <c r="AQ31" s="524"/>
      <c r="AR31" s="524"/>
      <c r="AS31" s="524"/>
    </row>
    <row r="32" spans="1:45" ht="18" customHeight="1">
      <c r="A32" s="521" t="s">
        <v>988</v>
      </c>
      <c r="B32" s="522">
        <v>335</v>
      </c>
      <c r="C32" s="522">
        <v>238</v>
      </c>
      <c r="D32" s="522">
        <v>276</v>
      </c>
      <c r="E32" s="507">
        <v>186</v>
      </c>
      <c r="F32" s="522"/>
      <c r="G32" s="522"/>
      <c r="H32" s="522"/>
      <c r="I32" s="507"/>
      <c r="J32" s="523"/>
      <c r="K32" s="522"/>
      <c r="L32" s="522"/>
      <c r="M32" s="507"/>
      <c r="N32" s="522"/>
      <c r="O32" s="522"/>
      <c r="P32" s="522"/>
      <c r="Q32" s="522"/>
      <c r="R32" s="523"/>
      <c r="S32" s="353"/>
      <c r="T32" s="353"/>
      <c r="U32" s="353"/>
      <c r="V32" s="352"/>
      <c r="W32" s="353"/>
      <c r="X32" s="353"/>
      <c r="Y32" s="353"/>
      <c r="Z32" s="352"/>
      <c r="AA32" s="353"/>
      <c r="AB32" s="466"/>
      <c r="AC32" s="522"/>
      <c r="AD32" s="522"/>
      <c r="AE32" s="522"/>
      <c r="AF32" s="507"/>
      <c r="AG32" s="522"/>
      <c r="AH32" s="522"/>
      <c r="AI32" s="522"/>
      <c r="AJ32" s="523"/>
      <c r="AK32" s="522"/>
      <c r="AL32" s="507"/>
      <c r="AM32" s="522">
        <f>+N32+J32+F32+B32+AC32+AG32</f>
        <v>335</v>
      </c>
      <c r="AN32" s="522">
        <f t="shared" si="6"/>
        <v>238</v>
      </c>
      <c r="AO32" s="522">
        <f t="shared" si="7"/>
        <v>276</v>
      </c>
      <c r="AP32" s="507">
        <f t="shared" si="8"/>
        <v>186</v>
      </c>
      <c r="AQ32" s="524"/>
      <c r="AR32" s="524"/>
      <c r="AS32" s="524"/>
    </row>
    <row r="33" spans="1:45" ht="18" customHeight="1">
      <c r="A33" s="521" t="s">
        <v>989</v>
      </c>
      <c r="B33" s="522">
        <v>596</v>
      </c>
      <c r="C33" s="522">
        <v>521</v>
      </c>
      <c r="D33" s="522">
        <v>908</v>
      </c>
      <c r="E33" s="507">
        <v>450</v>
      </c>
      <c r="F33" s="522"/>
      <c r="G33" s="522"/>
      <c r="H33" s="522"/>
      <c r="I33" s="507"/>
      <c r="J33" s="523"/>
      <c r="K33" s="522"/>
      <c r="L33" s="522"/>
      <c r="M33" s="507"/>
      <c r="N33" s="522"/>
      <c r="O33" s="522"/>
      <c r="P33" s="522"/>
      <c r="Q33" s="522"/>
      <c r="R33" s="523"/>
      <c r="S33" s="353"/>
      <c r="T33" s="353"/>
      <c r="U33" s="353"/>
      <c r="V33" s="352"/>
      <c r="W33" s="353"/>
      <c r="X33" s="353"/>
      <c r="Y33" s="353"/>
      <c r="Z33" s="352"/>
      <c r="AA33" s="353"/>
      <c r="AB33" s="466"/>
      <c r="AC33" s="522"/>
      <c r="AD33" s="522"/>
      <c r="AE33" s="522"/>
      <c r="AF33" s="507"/>
      <c r="AG33" s="522"/>
      <c r="AH33" s="522"/>
      <c r="AI33" s="522"/>
      <c r="AJ33" s="523"/>
      <c r="AK33" s="522"/>
      <c r="AL33" s="507"/>
      <c r="AM33" s="522">
        <f>+N33+J33+F33+B33+AC33</f>
        <v>596</v>
      </c>
      <c r="AN33" s="522">
        <f t="shared" si="6"/>
        <v>521</v>
      </c>
      <c r="AO33" s="522">
        <f t="shared" si="7"/>
        <v>908</v>
      </c>
      <c r="AP33" s="507">
        <f t="shared" si="8"/>
        <v>450</v>
      </c>
      <c r="AQ33" s="524"/>
      <c r="AR33" s="524"/>
      <c r="AS33" s="524"/>
    </row>
    <row r="34" spans="1:45" ht="18" customHeight="1">
      <c r="A34" s="521" t="s">
        <v>990</v>
      </c>
      <c r="B34" s="522"/>
      <c r="C34" s="522"/>
      <c r="D34" s="522"/>
      <c r="E34" s="507"/>
      <c r="F34" s="522">
        <v>1599</v>
      </c>
      <c r="G34" s="522">
        <v>1678</v>
      </c>
      <c r="H34" s="522">
        <v>1815</v>
      </c>
      <c r="I34" s="507">
        <v>626</v>
      </c>
      <c r="J34" s="523"/>
      <c r="K34" s="522"/>
      <c r="L34" s="522"/>
      <c r="M34" s="507"/>
      <c r="N34" s="522"/>
      <c r="O34" s="522"/>
      <c r="P34" s="522"/>
      <c r="Q34" s="522"/>
      <c r="R34" s="523"/>
      <c r="S34" s="353"/>
      <c r="T34" s="353"/>
      <c r="U34" s="353"/>
      <c r="V34" s="352"/>
      <c r="W34" s="353"/>
      <c r="X34" s="353"/>
      <c r="Y34" s="353"/>
      <c r="Z34" s="352"/>
      <c r="AA34" s="353"/>
      <c r="AB34" s="466"/>
      <c r="AC34" s="522"/>
      <c r="AD34" s="522"/>
      <c r="AE34" s="522"/>
      <c r="AF34" s="507"/>
      <c r="AG34" s="522"/>
      <c r="AH34" s="522"/>
      <c r="AI34" s="522"/>
      <c r="AJ34" s="523"/>
      <c r="AK34" s="522"/>
      <c r="AL34" s="507"/>
      <c r="AM34" s="522">
        <f>+N34+J34+F34+B34+AC34</f>
        <v>1599</v>
      </c>
      <c r="AN34" s="522">
        <f t="shared" si="6"/>
        <v>1678</v>
      </c>
      <c r="AO34" s="522">
        <f t="shared" si="7"/>
        <v>1815</v>
      </c>
      <c r="AP34" s="507">
        <f t="shared" si="8"/>
        <v>626</v>
      </c>
      <c r="AQ34" s="524"/>
      <c r="AR34" s="524"/>
      <c r="AS34" s="524"/>
    </row>
    <row r="35" spans="1:45" ht="18" customHeight="1">
      <c r="A35" s="521" t="s">
        <v>991</v>
      </c>
      <c r="B35" s="522"/>
      <c r="C35" s="522"/>
      <c r="D35" s="522"/>
      <c r="E35" s="507"/>
      <c r="F35" s="522">
        <v>54</v>
      </c>
      <c r="G35" s="522">
        <v>36</v>
      </c>
      <c r="H35" s="522">
        <v>21</v>
      </c>
      <c r="I35" s="507">
        <v>11</v>
      </c>
      <c r="J35" s="523"/>
      <c r="K35" s="522"/>
      <c r="L35" s="522"/>
      <c r="M35" s="507"/>
      <c r="N35" s="522"/>
      <c r="O35" s="522"/>
      <c r="P35" s="522"/>
      <c r="Q35" s="522"/>
      <c r="R35" s="523"/>
      <c r="S35" s="353"/>
      <c r="T35" s="353"/>
      <c r="U35" s="353"/>
      <c r="V35" s="352"/>
      <c r="W35" s="353"/>
      <c r="X35" s="353"/>
      <c r="Y35" s="353"/>
      <c r="Z35" s="352"/>
      <c r="AA35" s="353"/>
      <c r="AB35" s="466"/>
      <c r="AC35" s="522"/>
      <c r="AD35" s="522"/>
      <c r="AE35" s="522"/>
      <c r="AF35" s="507"/>
      <c r="AG35" s="522"/>
      <c r="AH35" s="522"/>
      <c r="AI35" s="522"/>
      <c r="AJ35" s="523"/>
      <c r="AK35" s="522"/>
      <c r="AL35" s="507"/>
      <c r="AM35" s="522">
        <f>+N35+J35+F35+B35+AC35</f>
        <v>54</v>
      </c>
      <c r="AN35" s="522">
        <f t="shared" si="6"/>
        <v>36</v>
      </c>
      <c r="AO35" s="522">
        <f t="shared" si="7"/>
        <v>21</v>
      </c>
      <c r="AP35" s="507">
        <f t="shared" si="8"/>
        <v>11</v>
      </c>
      <c r="AQ35" s="524"/>
      <c r="AR35" s="524"/>
      <c r="AS35" s="524"/>
    </row>
    <row r="36" spans="1:45" ht="18" customHeight="1">
      <c r="A36" s="92" t="s">
        <v>1574</v>
      </c>
      <c r="B36" s="522"/>
      <c r="C36" s="522"/>
      <c r="D36" s="522"/>
      <c r="E36" s="507"/>
      <c r="F36" s="522"/>
      <c r="G36" s="522"/>
      <c r="H36" s="522"/>
      <c r="I36" s="507"/>
      <c r="J36" s="523"/>
      <c r="K36" s="522"/>
      <c r="L36" s="522"/>
      <c r="M36" s="507"/>
      <c r="N36" s="522"/>
      <c r="O36" s="522"/>
      <c r="P36" s="522"/>
      <c r="Q36" s="522"/>
      <c r="R36" s="523"/>
      <c r="S36" s="353"/>
      <c r="T36" s="353"/>
      <c r="U36" s="353"/>
      <c r="V36" s="352"/>
      <c r="W36" s="353"/>
      <c r="X36" s="353"/>
      <c r="Y36" s="353"/>
      <c r="Z36" s="352"/>
      <c r="AA36" s="353"/>
      <c r="AB36" s="466"/>
      <c r="AC36" s="522"/>
      <c r="AD36" s="522"/>
      <c r="AE36" s="522"/>
      <c r="AF36" s="507"/>
      <c r="AG36" s="522"/>
      <c r="AH36" s="522"/>
      <c r="AI36" s="522"/>
      <c r="AJ36" s="523">
        <v>5</v>
      </c>
      <c r="AK36" s="522">
        <v>5</v>
      </c>
      <c r="AL36" s="507"/>
      <c r="AM36" s="522">
        <f>+N36+J36+F36+B36+AC36</f>
        <v>0</v>
      </c>
      <c r="AN36" s="522">
        <f>+O36+K36+G36+C36+AD36+AH36+AJ36</f>
        <v>5</v>
      </c>
      <c r="AO36" s="522">
        <f>+P36+L36+H36+D36+AE36+AI36+AJ36</f>
        <v>5</v>
      </c>
      <c r="AP36" s="507">
        <f t="shared" si="8"/>
        <v>0</v>
      </c>
      <c r="AQ36" s="524"/>
      <c r="AR36" s="524"/>
      <c r="AS36" s="524"/>
    </row>
    <row r="37" spans="1:45" ht="18" customHeight="1">
      <c r="A37" s="521" t="s">
        <v>992</v>
      </c>
      <c r="B37" s="522">
        <v>87</v>
      </c>
      <c r="C37" s="522">
        <v>83</v>
      </c>
      <c r="D37" s="522">
        <v>110</v>
      </c>
      <c r="E37" s="507">
        <v>58</v>
      </c>
      <c r="F37" s="522"/>
      <c r="G37" s="522"/>
      <c r="H37" s="522"/>
      <c r="I37" s="507"/>
      <c r="J37" s="523"/>
      <c r="K37" s="522"/>
      <c r="L37" s="522"/>
      <c r="M37" s="507"/>
      <c r="N37" s="522"/>
      <c r="O37" s="522"/>
      <c r="P37" s="522"/>
      <c r="Q37" s="522"/>
      <c r="R37" s="523"/>
      <c r="S37" s="353"/>
      <c r="T37" s="353"/>
      <c r="U37" s="353"/>
      <c r="V37" s="352"/>
      <c r="W37" s="353"/>
      <c r="X37" s="353"/>
      <c r="Y37" s="353"/>
      <c r="Z37" s="352"/>
      <c r="AA37" s="353"/>
      <c r="AB37" s="466"/>
      <c r="AC37" s="522"/>
      <c r="AD37" s="522"/>
      <c r="AE37" s="522"/>
      <c r="AF37" s="507"/>
      <c r="AG37" s="522"/>
      <c r="AH37" s="522"/>
      <c r="AI37" s="522"/>
      <c r="AJ37" s="523"/>
      <c r="AK37" s="522"/>
      <c r="AL37" s="507"/>
      <c r="AM37" s="522">
        <f>+N37+J37+F37+B37+AC37</f>
        <v>87</v>
      </c>
      <c r="AN37" s="522">
        <f>+O37+K37+G37+C37+AD37+AH37</f>
        <v>83</v>
      </c>
      <c r="AO37" s="522">
        <f>+P37+L37+H37+D37+AE37+AI37</f>
        <v>110</v>
      </c>
      <c r="AP37" s="507">
        <f t="shared" si="8"/>
        <v>58</v>
      </c>
      <c r="AQ37" s="524"/>
      <c r="AR37" s="524"/>
      <c r="AS37" s="524"/>
    </row>
    <row r="38" spans="1:45" ht="18" customHeight="1">
      <c r="A38" s="166" t="s">
        <v>832</v>
      </c>
      <c r="B38" s="357">
        <v>4920</v>
      </c>
      <c r="C38" s="357">
        <v>4899</v>
      </c>
      <c r="D38" s="525">
        <f t="shared" ref="D38:E38" si="9">SUM(D9:D37)</f>
        <v>5803</v>
      </c>
      <c r="E38" s="526">
        <f t="shared" si="9"/>
        <v>3240</v>
      </c>
      <c r="F38" s="357">
        <v>3729</v>
      </c>
      <c r="G38" s="357">
        <v>3798</v>
      </c>
      <c r="H38" s="525">
        <f t="shared" ref="H38" si="10">SUM(H9:H37)</f>
        <v>3988</v>
      </c>
      <c r="I38" s="526">
        <f t="shared" ref="I38:AP38" si="11">SUM(I9:I37)</f>
        <v>1395</v>
      </c>
      <c r="J38" s="356">
        <f t="shared" si="11"/>
        <v>92</v>
      </c>
      <c r="K38" s="357">
        <f t="shared" si="11"/>
        <v>39</v>
      </c>
      <c r="L38" s="357">
        <f t="shared" si="11"/>
        <v>127</v>
      </c>
      <c r="M38" s="526">
        <f t="shared" si="11"/>
        <v>158</v>
      </c>
      <c r="N38" s="357">
        <v>539</v>
      </c>
      <c r="O38" s="357">
        <v>0</v>
      </c>
      <c r="P38" s="357">
        <v>0</v>
      </c>
      <c r="Q38" s="526">
        <f t="shared" si="11"/>
        <v>0</v>
      </c>
      <c r="R38" s="356">
        <v>7</v>
      </c>
      <c r="S38" s="357">
        <v>0</v>
      </c>
      <c r="T38" s="357">
        <v>0</v>
      </c>
      <c r="U38" s="525">
        <f t="shared" si="11"/>
        <v>0</v>
      </c>
      <c r="V38" s="527">
        <v>633</v>
      </c>
      <c r="W38" s="525"/>
      <c r="X38" s="525">
        <v>964</v>
      </c>
      <c r="Y38" s="357">
        <f>SUM(Y12:Y37)</f>
        <v>382</v>
      </c>
      <c r="Z38" s="356">
        <f>SUM(Z9:Z37)</f>
        <v>496</v>
      </c>
      <c r="AA38" s="522">
        <f t="shared" ref="AA38" si="12">SUM(AA9:AA37)</f>
        <v>585</v>
      </c>
      <c r="AB38" s="526">
        <f t="shared" si="11"/>
        <v>507</v>
      </c>
      <c r="AC38" s="525">
        <f t="shared" si="11"/>
        <v>0</v>
      </c>
      <c r="AD38" s="525">
        <f t="shared" si="11"/>
        <v>0</v>
      </c>
      <c r="AE38" s="525">
        <f t="shared" si="11"/>
        <v>0</v>
      </c>
      <c r="AF38" s="526">
        <f t="shared" si="11"/>
        <v>0</v>
      </c>
      <c r="AG38" s="525">
        <v>0</v>
      </c>
      <c r="AH38" s="525">
        <v>0</v>
      </c>
      <c r="AI38" s="525">
        <v>0</v>
      </c>
      <c r="AJ38" s="527">
        <v>5</v>
      </c>
      <c r="AK38" s="525">
        <v>5</v>
      </c>
      <c r="AL38" s="526">
        <f t="shared" si="11"/>
        <v>0</v>
      </c>
      <c r="AM38" s="525">
        <f t="shared" si="11"/>
        <v>9913</v>
      </c>
      <c r="AN38" s="525">
        <f t="shared" si="11"/>
        <v>10201</v>
      </c>
      <c r="AO38" s="525">
        <f t="shared" si="11"/>
        <v>11283</v>
      </c>
      <c r="AP38" s="526">
        <f t="shared" si="11"/>
        <v>5682</v>
      </c>
      <c r="AQ38" s="524"/>
      <c r="AR38" s="524"/>
      <c r="AS38" s="524"/>
    </row>
    <row r="39" spans="1:45" ht="18" customHeight="1">
      <c r="B39" s="528"/>
      <c r="C39" s="528"/>
      <c r="D39" s="528"/>
      <c r="E39" s="528"/>
      <c r="F39" s="528"/>
      <c r="G39" s="528"/>
      <c r="H39" s="528"/>
      <c r="I39" s="528"/>
      <c r="J39" s="528"/>
      <c r="K39" s="528"/>
      <c r="L39" s="528"/>
      <c r="M39" s="528"/>
      <c r="N39" s="528"/>
      <c r="O39" s="528"/>
      <c r="P39" s="528"/>
      <c r="Q39" s="528"/>
      <c r="R39" s="522"/>
      <c r="S39" s="528"/>
      <c r="T39" s="528"/>
      <c r="U39" s="528"/>
      <c r="V39" s="528"/>
      <c r="W39" s="528"/>
      <c r="X39" s="528"/>
      <c r="Y39" s="528"/>
      <c r="Z39" s="522"/>
      <c r="AA39" s="522"/>
      <c r="AB39" s="522"/>
      <c r="AC39" s="528"/>
      <c r="AD39" s="528"/>
      <c r="AE39" s="528"/>
      <c r="AF39" s="528"/>
      <c r="AG39" s="528"/>
      <c r="AH39" s="528"/>
      <c r="AI39" s="528"/>
      <c r="AJ39" s="522"/>
      <c r="AK39" s="522"/>
      <c r="AL39" s="522"/>
      <c r="AM39" s="528"/>
      <c r="AN39" s="528"/>
      <c r="AO39" s="528"/>
      <c r="AP39" s="528"/>
      <c r="AQ39" s="524"/>
      <c r="AR39" s="524"/>
      <c r="AS39" s="524"/>
    </row>
    <row r="40" spans="1:45" ht="18" customHeight="1">
      <c r="A40" s="485" t="s">
        <v>993</v>
      </c>
      <c r="B40" s="528"/>
      <c r="C40" s="525"/>
      <c r="D40" s="525"/>
      <c r="E40" s="528"/>
      <c r="F40" s="528"/>
      <c r="G40" s="528"/>
      <c r="H40" s="528"/>
      <c r="I40" s="528"/>
      <c r="J40" s="528"/>
      <c r="K40" s="528"/>
      <c r="L40" s="528"/>
      <c r="M40" s="528"/>
      <c r="N40" s="528"/>
      <c r="O40" s="528"/>
      <c r="P40" s="528"/>
      <c r="Q40" s="528"/>
      <c r="R40" s="522"/>
      <c r="S40" s="528"/>
      <c r="T40" s="528"/>
      <c r="U40" s="528"/>
      <c r="V40" s="528"/>
      <c r="W40" s="528"/>
      <c r="X40" s="528"/>
      <c r="Y40" s="528"/>
      <c r="Z40" s="522"/>
      <c r="AA40" s="525"/>
      <c r="AB40" s="522"/>
      <c r="AC40" s="528"/>
      <c r="AD40" s="528"/>
      <c r="AE40" s="528"/>
      <c r="AF40" s="528"/>
      <c r="AG40" s="528"/>
      <c r="AH40" s="528"/>
      <c r="AI40" s="528"/>
      <c r="AJ40" s="522"/>
      <c r="AK40" s="522"/>
      <c r="AL40" s="522"/>
      <c r="AM40" s="528"/>
      <c r="AN40" s="528"/>
      <c r="AO40" s="528"/>
      <c r="AP40" s="528"/>
      <c r="AQ40" s="524"/>
      <c r="AR40" s="524"/>
      <c r="AS40" s="524"/>
    </row>
    <row r="41" spans="1:45" ht="18" customHeight="1">
      <c r="A41" s="504" t="s">
        <v>994</v>
      </c>
      <c r="B41" s="530">
        <v>40</v>
      </c>
      <c r="C41" s="522">
        <v>51</v>
      </c>
      <c r="D41" s="522">
        <v>79</v>
      </c>
      <c r="E41" s="531">
        <v>82</v>
      </c>
      <c r="F41" s="530">
        <v>213</v>
      </c>
      <c r="G41" s="530">
        <v>80</v>
      </c>
      <c r="H41" s="530">
        <v>70</v>
      </c>
      <c r="I41" s="530">
        <v>92</v>
      </c>
      <c r="J41" s="529"/>
      <c r="K41" s="530"/>
      <c r="L41" s="530"/>
      <c r="M41" s="531"/>
      <c r="N41" s="530"/>
      <c r="O41" s="530"/>
      <c r="P41" s="530"/>
      <c r="Q41" s="530"/>
      <c r="R41" s="529"/>
      <c r="S41" s="530"/>
      <c r="T41" s="530"/>
      <c r="U41" s="531"/>
      <c r="V41" s="530"/>
      <c r="W41" s="530"/>
      <c r="X41" s="530"/>
      <c r="Y41" s="530"/>
      <c r="Z41" s="529">
        <v>486</v>
      </c>
      <c r="AA41" s="522"/>
      <c r="AB41" s="531"/>
      <c r="AC41" s="530"/>
      <c r="AD41" s="530"/>
      <c r="AE41" s="530"/>
      <c r="AF41" s="531"/>
      <c r="AG41" s="530"/>
      <c r="AH41" s="530"/>
      <c r="AI41" s="530"/>
      <c r="AJ41" s="529"/>
      <c r="AK41" s="530"/>
      <c r="AL41" s="531"/>
      <c r="AM41" s="530">
        <f t="shared" ref="AM41:AO42" si="13">+N41+J41+F41+B41</f>
        <v>253</v>
      </c>
      <c r="AN41" s="530">
        <f t="shared" si="13"/>
        <v>131</v>
      </c>
      <c r="AO41" s="530">
        <f t="shared" si="13"/>
        <v>149</v>
      </c>
      <c r="AP41" s="531">
        <f t="shared" ref="AP41:AP49" si="14">+Q41+M41+I41+E41+AB41</f>
        <v>174</v>
      </c>
      <c r="AQ41" s="524"/>
      <c r="AR41" s="524"/>
      <c r="AS41" s="524"/>
    </row>
    <row r="42" spans="1:45" ht="18" customHeight="1">
      <c r="A42" s="506" t="s">
        <v>995</v>
      </c>
      <c r="B42" s="522"/>
      <c r="C42" s="522"/>
      <c r="D42" s="522">
        <v>3</v>
      </c>
      <c r="E42" s="507">
        <v>3</v>
      </c>
      <c r="F42" s="522">
        <v>39</v>
      </c>
      <c r="G42" s="522">
        <v>27</v>
      </c>
      <c r="H42" s="522">
        <v>100</v>
      </c>
      <c r="I42" s="522">
        <v>8</v>
      </c>
      <c r="J42" s="523"/>
      <c r="K42" s="522"/>
      <c r="L42" s="522"/>
      <c r="M42" s="507"/>
      <c r="N42" s="522"/>
      <c r="O42" s="522"/>
      <c r="P42" s="522"/>
      <c r="Q42" s="522"/>
      <c r="R42" s="523"/>
      <c r="S42" s="522"/>
      <c r="T42" s="522"/>
      <c r="U42" s="507"/>
      <c r="V42" s="522"/>
      <c r="W42" s="522"/>
      <c r="X42" s="522"/>
      <c r="Y42" s="522"/>
      <c r="Z42" s="523"/>
      <c r="AA42" s="522"/>
      <c r="AB42" s="507"/>
      <c r="AC42" s="522"/>
      <c r="AD42" s="522"/>
      <c r="AE42" s="522"/>
      <c r="AF42" s="507"/>
      <c r="AG42" s="522"/>
      <c r="AH42" s="522"/>
      <c r="AI42" s="522"/>
      <c r="AJ42" s="523"/>
      <c r="AK42" s="522"/>
      <c r="AL42" s="507"/>
      <c r="AM42" s="522">
        <f t="shared" si="13"/>
        <v>39</v>
      </c>
      <c r="AN42" s="522">
        <f t="shared" si="13"/>
        <v>27</v>
      </c>
      <c r="AO42" s="522">
        <f t="shared" si="13"/>
        <v>103</v>
      </c>
      <c r="AP42" s="507">
        <f t="shared" si="14"/>
        <v>11</v>
      </c>
      <c r="AQ42" s="524"/>
      <c r="AR42" s="524"/>
      <c r="AS42" s="524"/>
    </row>
    <row r="43" spans="1:45" ht="18" customHeight="1">
      <c r="A43" s="506" t="s">
        <v>996</v>
      </c>
      <c r="B43" s="522">
        <v>177</v>
      </c>
      <c r="C43" s="522">
        <v>190</v>
      </c>
      <c r="D43" s="522">
        <v>146</v>
      </c>
      <c r="E43" s="507">
        <v>87</v>
      </c>
      <c r="F43" s="522">
        <v>203</v>
      </c>
      <c r="G43" s="522">
        <v>236</v>
      </c>
      <c r="H43" s="522">
        <v>210</v>
      </c>
      <c r="I43" s="522">
        <v>83</v>
      </c>
      <c r="J43" s="523"/>
      <c r="K43" s="522"/>
      <c r="L43" s="522"/>
      <c r="M43" s="507"/>
      <c r="N43" s="522"/>
      <c r="O43" s="522"/>
      <c r="P43" s="522"/>
      <c r="Q43" s="522"/>
      <c r="R43" s="523"/>
      <c r="S43" s="522"/>
      <c r="T43" s="522"/>
      <c r="U43" s="507"/>
      <c r="V43" s="522"/>
      <c r="W43" s="522"/>
      <c r="X43" s="522"/>
      <c r="Y43" s="522"/>
      <c r="Z43" s="523"/>
      <c r="AA43" s="522"/>
      <c r="AB43" s="507"/>
      <c r="AC43" s="522"/>
      <c r="AD43" s="522"/>
      <c r="AE43" s="522"/>
      <c r="AF43" s="507"/>
      <c r="AG43" s="522"/>
      <c r="AH43" s="522"/>
      <c r="AI43" s="522"/>
      <c r="AJ43" s="523"/>
      <c r="AK43" s="522"/>
      <c r="AL43" s="507"/>
      <c r="AM43" s="522">
        <f t="shared" ref="AM43:AO45" si="15">+N43+J43+F43+B43</f>
        <v>380</v>
      </c>
      <c r="AN43" s="522">
        <f t="shared" si="15"/>
        <v>426</v>
      </c>
      <c r="AO43" s="522">
        <f t="shared" si="15"/>
        <v>356</v>
      </c>
      <c r="AP43" s="507">
        <f t="shared" si="14"/>
        <v>170</v>
      </c>
      <c r="AQ43" s="524"/>
      <c r="AR43" s="524"/>
      <c r="AS43" s="524"/>
    </row>
    <row r="44" spans="1:45" ht="18" customHeight="1">
      <c r="A44" s="506" t="s">
        <v>997</v>
      </c>
      <c r="B44" s="522">
        <v>76</v>
      </c>
      <c r="C44" s="522">
        <v>115</v>
      </c>
      <c r="D44" s="522">
        <v>108</v>
      </c>
      <c r="E44" s="507">
        <v>32</v>
      </c>
      <c r="F44" s="522">
        <v>604</v>
      </c>
      <c r="G44" s="522">
        <v>490</v>
      </c>
      <c r="H44" s="522">
        <v>142</v>
      </c>
      <c r="I44" s="522">
        <v>47</v>
      </c>
      <c r="J44" s="523"/>
      <c r="K44" s="522"/>
      <c r="L44" s="522"/>
      <c r="M44" s="507"/>
      <c r="N44" s="522"/>
      <c r="O44" s="522"/>
      <c r="P44" s="522"/>
      <c r="Q44" s="522"/>
      <c r="R44" s="523"/>
      <c r="S44" s="522"/>
      <c r="T44" s="522"/>
      <c r="U44" s="507"/>
      <c r="V44" s="522"/>
      <c r="W44" s="522"/>
      <c r="X44" s="522"/>
      <c r="Y44" s="522"/>
      <c r="Z44" s="523">
        <v>371</v>
      </c>
      <c r="AA44" s="522"/>
      <c r="AB44" s="507"/>
      <c r="AC44" s="522"/>
      <c r="AD44" s="522"/>
      <c r="AE44" s="522"/>
      <c r="AF44" s="507"/>
      <c r="AG44" s="522"/>
      <c r="AH44" s="522"/>
      <c r="AI44" s="522"/>
      <c r="AJ44" s="523"/>
      <c r="AK44" s="522"/>
      <c r="AL44" s="507"/>
      <c r="AM44" s="522">
        <f t="shared" si="15"/>
        <v>680</v>
      </c>
      <c r="AN44" s="522">
        <f t="shared" si="15"/>
        <v>605</v>
      </c>
      <c r="AO44" s="522">
        <f t="shared" si="15"/>
        <v>250</v>
      </c>
      <c r="AP44" s="507">
        <f t="shared" si="14"/>
        <v>79</v>
      </c>
      <c r="AQ44" s="524"/>
      <c r="AR44" s="524"/>
      <c r="AS44" s="524"/>
    </row>
    <row r="45" spans="1:45" ht="18" customHeight="1">
      <c r="A45" s="506" t="s">
        <v>998</v>
      </c>
      <c r="B45" s="522">
        <v>364</v>
      </c>
      <c r="C45" s="522">
        <v>325</v>
      </c>
      <c r="D45" s="522">
        <v>294</v>
      </c>
      <c r="E45" s="507">
        <v>62</v>
      </c>
      <c r="F45" s="522"/>
      <c r="G45" s="522"/>
      <c r="H45" s="522"/>
      <c r="I45" s="522">
        <v>66</v>
      </c>
      <c r="J45" s="523"/>
      <c r="K45" s="522"/>
      <c r="L45" s="522"/>
      <c r="M45" s="507"/>
      <c r="N45" s="522"/>
      <c r="O45" s="522"/>
      <c r="P45" s="522"/>
      <c r="Q45" s="522"/>
      <c r="R45" s="523"/>
      <c r="S45" s="522"/>
      <c r="T45" s="522"/>
      <c r="U45" s="507"/>
      <c r="V45" s="522"/>
      <c r="W45" s="522"/>
      <c r="X45" s="522"/>
      <c r="Y45" s="522"/>
      <c r="Z45" s="523"/>
      <c r="AA45" s="522"/>
      <c r="AB45" s="507"/>
      <c r="AC45" s="522"/>
      <c r="AD45" s="522"/>
      <c r="AE45" s="522"/>
      <c r="AF45" s="507"/>
      <c r="AG45" s="522"/>
      <c r="AH45" s="522"/>
      <c r="AI45" s="522"/>
      <c r="AJ45" s="523"/>
      <c r="AK45" s="522"/>
      <c r="AL45" s="507"/>
      <c r="AM45" s="522">
        <f t="shared" si="15"/>
        <v>364</v>
      </c>
      <c r="AN45" s="522">
        <f t="shared" si="15"/>
        <v>325</v>
      </c>
      <c r="AO45" s="522">
        <f t="shared" si="15"/>
        <v>294</v>
      </c>
      <c r="AP45" s="507">
        <f t="shared" si="14"/>
        <v>128</v>
      </c>
      <c r="AQ45" s="524"/>
      <c r="AR45" s="524"/>
      <c r="AS45" s="524"/>
    </row>
    <row r="46" spans="1:45" ht="18" customHeight="1">
      <c r="A46" s="506" t="s">
        <v>999</v>
      </c>
      <c r="B46" s="522">
        <v>1262</v>
      </c>
      <c r="C46" s="522">
        <v>1230</v>
      </c>
      <c r="D46" s="522">
        <v>1273</v>
      </c>
      <c r="E46" s="507"/>
      <c r="F46" s="522">
        <v>885</v>
      </c>
      <c r="G46" s="522">
        <v>794</v>
      </c>
      <c r="H46" s="522">
        <v>688</v>
      </c>
      <c r="I46" s="522"/>
      <c r="J46" s="523"/>
      <c r="K46" s="522"/>
      <c r="L46" s="522"/>
      <c r="M46" s="507"/>
      <c r="N46" s="522"/>
      <c r="O46" s="522"/>
      <c r="P46" s="522"/>
      <c r="Q46" s="522"/>
      <c r="R46" s="523"/>
      <c r="S46" s="522"/>
      <c r="T46" s="522"/>
      <c r="U46" s="507"/>
      <c r="V46" s="522"/>
      <c r="W46" s="522"/>
      <c r="X46" s="522"/>
      <c r="Y46" s="522"/>
      <c r="Z46" s="523"/>
      <c r="AA46" s="522"/>
      <c r="AB46" s="507"/>
      <c r="AC46" s="522"/>
      <c r="AD46" s="522"/>
      <c r="AE46" s="522"/>
      <c r="AF46" s="507"/>
      <c r="AG46" s="522"/>
      <c r="AH46" s="522"/>
      <c r="AI46" s="522"/>
      <c r="AJ46" s="523"/>
      <c r="AK46" s="522"/>
      <c r="AL46" s="507"/>
      <c r="AM46" s="522">
        <f>+N46+J46+F46+B46</f>
        <v>2147</v>
      </c>
      <c r="AN46" s="522">
        <f>+O46+K46+G46+C46</f>
        <v>2024</v>
      </c>
      <c r="AO46" s="522">
        <f t="shared" ref="AO46:AO48" si="16">+P46+L46+H46+D46</f>
        <v>1961</v>
      </c>
      <c r="AP46" s="507">
        <f t="shared" si="14"/>
        <v>0</v>
      </c>
      <c r="AQ46" s="524"/>
      <c r="AR46" s="524"/>
      <c r="AS46" s="524"/>
    </row>
    <row r="47" spans="1:45" ht="18" customHeight="1">
      <c r="A47" s="506" t="s">
        <v>1000</v>
      </c>
      <c r="B47" s="353">
        <v>63</v>
      </c>
      <c r="C47" s="353">
        <v>59</v>
      </c>
      <c r="D47" s="353">
        <v>119</v>
      </c>
      <c r="E47" s="466"/>
      <c r="F47" s="353"/>
      <c r="G47" s="353"/>
      <c r="H47" s="353"/>
      <c r="I47" s="353"/>
      <c r="J47" s="352"/>
      <c r="K47" s="353"/>
      <c r="L47" s="353"/>
      <c r="M47" s="466"/>
      <c r="N47" s="353"/>
      <c r="O47" s="353"/>
      <c r="P47" s="353"/>
      <c r="Q47" s="353"/>
      <c r="R47" s="352"/>
      <c r="S47" s="353"/>
      <c r="T47" s="353"/>
      <c r="U47" s="466"/>
      <c r="V47" s="353"/>
      <c r="W47" s="353"/>
      <c r="X47" s="353"/>
      <c r="Y47" s="353"/>
      <c r="Z47" s="352">
        <v>329</v>
      </c>
      <c r="AA47" s="353"/>
      <c r="AB47" s="466"/>
      <c r="AC47" s="353"/>
      <c r="AD47" s="353"/>
      <c r="AE47" s="353"/>
      <c r="AF47" s="466"/>
      <c r="AG47" s="353"/>
      <c r="AH47" s="353"/>
      <c r="AI47" s="353"/>
      <c r="AJ47" s="352"/>
      <c r="AK47" s="353"/>
      <c r="AL47" s="466"/>
      <c r="AM47" s="353">
        <f t="shared" ref="AM47:AN49" si="17">+N47+J47+F47+B47</f>
        <v>63</v>
      </c>
      <c r="AN47" s="353">
        <f t="shared" si="17"/>
        <v>59</v>
      </c>
      <c r="AO47" s="353">
        <f t="shared" si="16"/>
        <v>119</v>
      </c>
      <c r="AP47" s="466">
        <f t="shared" si="14"/>
        <v>0</v>
      </c>
      <c r="AQ47" s="524"/>
      <c r="AR47" s="524"/>
      <c r="AS47" s="524"/>
    </row>
    <row r="48" spans="1:45" ht="18" customHeight="1">
      <c r="A48" s="506" t="s">
        <v>1001</v>
      </c>
      <c r="B48" s="522">
        <v>576</v>
      </c>
      <c r="C48" s="522">
        <v>324</v>
      </c>
      <c r="D48" s="522">
        <v>450</v>
      </c>
      <c r="E48" s="507">
        <v>226</v>
      </c>
      <c r="F48" s="522"/>
      <c r="G48" s="522"/>
      <c r="H48" s="522"/>
      <c r="I48" s="522"/>
      <c r="J48" s="523"/>
      <c r="K48" s="522"/>
      <c r="L48" s="522"/>
      <c r="M48" s="507"/>
      <c r="N48" s="522"/>
      <c r="O48" s="522"/>
      <c r="P48" s="522"/>
      <c r="Q48" s="522"/>
      <c r="R48" s="523"/>
      <c r="S48" s="522"/>
      <c r="T48" s="522"/>
      <c r="U48" s="507"/>
      <c r="V48" s="522"/>
      <c r="W48" s="522"/>
      <c r="X48" s="522"/>
      <c r="Y48" s="522"/>
      <c r="Z48" s="523"/>
      <c r="AA48" s="522"/>
      <c r="AB48" s="507"/>
      <c r="AC48" s="522"/>
      <c r="AD48" s="522"/>
      <c r="AE48" s="522"/>
      <c r="AF48" s="507"/>
      <c r="AG48" s="522"/>
      <c r="AH48" s="522"/>
      <c r="AI48" s="522"/>
      <c r="AJ48" s="523"/>
      <c r="AK48" s="522"/>
      <c r="AL48" s="507"/>
      <c r="AM48" s="353">
        <f t="shared" si="17"/>
        <v>576</v>
      </c>
      <c r="AN48" s="353">
        <f t="shared" si="17"/>
        <v>324</v>
      </c>
      <c r="AO48" s="353">
        <f t="shared" si="16"/>
        <v>450</v>
      </c>
      <c r="AP48" s="466">
        <f t="shared" si="14"/>
        <v>226</v>
      </c>
      <c r="AQ48" s="524"/>
      <c r="AR48" s="524"/>
      <c r="AS48" s="524"/>
    </row>
    <row r="49" spans="1:45" ht="18" customHeight="1">
      <c r="A49" s="508" t="s">
        <v>1002</v>
      </c>
      <c r="B49" s="525">
        <v>550</v>
      </c>
      <c r="C49" s="525">
        <v>567</v>
      </c>
      <c r="D49" s="525">
        <v>607</v>
      </c>
      <c r="E49" s="526">
        <v>177</v>
      </c>
      <c r="F49" s="525">
        <v>246</v>
      </c>
      <c r="G49" s="525">
        <v>371</v>
      </c>
      <c r="H49" s="525">
        <v>271</v>
      </c>
      <c r="I49" s="525">
        <v>63</v>
      </c>
      <c r="J49" s="527"/>
      <c r="K49" s="525"/>
      <c r="L49" s="525"/>
      <c r="M49" s="526"/>
      <c r="N49" s="525"/>
      <c r="O49" s="525"/>
      <c r="P49" s="525"/>
      <c r="Q49" s="526"/>
      <c r="R49" s="525"/>
      <c r="S49" s="525"/>
      <c r="T49" s="525"/>
      <c r="U49" s="526"/>
      <c r="V49" s="525"/>
      <c r="W49" s="525"/>
      <c r="X49" s="525"/>
      <c r="Y49" s="525"/>
      <c r="Z49" s="527">
        <v>397</v>
      </c>
      <c r="AA49" s="525"/>
      <c r="AB49" s="526"/>
      <c r="AC49" s="525"/>
      <c r="AD49" s="525"/>
      <c r="AE49" s="525"/>
      <c r="AF49" s="526"/>
      <c r="AG49" s="525"/>
      <c r="AH49" s="525"/>
      <c r="AI49" s="525"/>
      <c r="AJ49" s="527"/>
      <c r="AK49" s="525"/>
      <c r="AL49" s="526"/>
      <c r="AM49" s="525">
        <f t="shared" si="17"/>
        <v>796</v>
      </c>
      <c r="AN49" s="525">
        <f t="shared" si="17"/>
        <v>938</v>
      </c>
      <c r="AO49" s="525">
        <f>+P49+L49+H49+D49+T49</f>
        <v>878</v>
      </c>
      <c r="AP49" s="526">
        <f t="shared" si="14"/>
        <v>240</v>
      </c>
      <c r="AQ49" s="524"/>
      <c r="AR49" s="524"/>
      <c r="AS49" s="524"/>
    </row>
    <row r="50" spans="1:45">
      <c r="B50" s="524"/>
      <c r="C50" s="524"/>
      <c r="D50" s="524"/>
      <c r="E50" s="524"/>
      <c r="F50" s="524"/>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c r="AQ50" s="524"/>
      <c r="AR50" s="524"/>
      <c r="AS50" s="524"/>
    </row>
    <row r="51" spans="1:45">
      <c r="B51" s="524"/>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row>
    <row r="52" spans="1:45">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row>
    <row r="53" spans="1:45">
      <c r="B53" s="524"/>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c r="AQ53" s="524"/>
      <c r="AR53" s="524"/>
      <c r="AS53" s="524"/>
    </row>
    <row r="54" spans="1:45">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row>
    <row r="55" spans="1:45">
      <c r="B55" s="524"/>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row>
    <row r="56" spans="1:45">
      <c r="B56" s="524"/>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c r="AQ56" s="524"/>
      <c r="AR56" s="524"/>
      <c r="AS56" s="524"/>
    </row>
    <row r="57" spans="1:45">
      <c r="B57" s="524"/>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row>
    <row r="58" spans="1:45">
      <c r="B58" s="524"/>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c r="AP58" s="524"/>
      <c r="AQ58" s="524"/>
      <c r="AR58" s="524"/>
      <c r="AS58" s="524"/>
    </row>
    <row r="59" spans="1:45">
      <c r="B59" s="524"/>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c r="AQ59" s="524"/>
      <c r="AR59" s="524"/>
      <c r="AS59" s="524"/>
    </row>
    <row r="60" spans="1:45">
      <c r="B60" s="524"/>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row>
    <row r="61" spans="1:45">
      <c r="B61" s="524"/>
      <c r="C61" s="524"/>
      <c r="D61" s="524"/>
      <c r="E61" s="524"/>
      <c r="F61" s="524"/>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row>
    <row r="62" spans="1:45">
      <c r="B62" s="524"/>
      <c r="C62" s="524"/>
      <c r="D62" s="524"/>
      <c r="E62" s="524"/>
      <c r="F62" s="524"/>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row>
    <row r="63" spans="1:45">
      <c r="B63" s="524"/>
      <c r="C63" s="524"/>
      <c r="D63" s="524"/>
      <c r="E63" s="524"/>
      <c r="F63" s="524"/>
      <c r="G63" s="524"/>
      <c r="H63" s="524"/>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row>
    <row r="64" spans="1:45">
      <c r="B64" s="524"/>
      <c r="C64" s="524"/>
      <c r="D64" s="524"/>
      <c r="E64" s="524"/>
      <c r="F64" s="524"/>
      <c r="G64" s="524"/>
      <c r="H64" s="524"/>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c r="AQ64" s="524"/>
      <c r="AR64" s="524"/>
      <c r="AS64" s="524"/>
    </row>
    <row r="65" spans="2:45">
      <c r="B65" s="524"/>
      <c r="C65" s="524"/>
      <c r="D65" s="524"/>
      <c r="E65" s="524"/>
      <c r="F65" s="524"/>
      <c r="G65" s="524"/>
      <c r="H65" s="524"/>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c r="AQ65" s="524"/>
      <c r="AR65" s="524"/>
      <c r="AS65" s="524"/>
    </row>
    <row r="66" spans="2:45">
      <c r="B66" s="524"/>
      <c r="C66" s="524"/>
      <c r="D66" s="524"/>
      <c r="E66" s="524"/>
      <c r="F66" s="524"/>
      <c r="G66" s="524"/>
      <c r="H66" s="524"/>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c r="AQ66" s="524"/>
      <c r="AR66" s="524"/>
      <c r="AS66" s="524"/>
    </row>
    <row r="67" spans="2:45">
      <c r="B67" s="524"/>
      <c r="C67" s="524"/>
      <c r="D67" s="524"/>
      <c r="E67" s="524"/>
      <c r="F67" s="524"/>
      <c r="G67" s="524"/>
      <c r="H67" s="524"/>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c r="AQ67" s="524"/>
      <c r="AR67" s="524"/>
      <c r="AS67" s="524"/>
    </row>
    <row r="68" spans="2:45">
      <c r="B68" s="524"/>
      <c r="C68" s="524"/>
      <c r="D68" s="524"/>
      <c r="E68" s="524"/>
      <c r="F68" s="524"/>
      <c r="G68" s="524"/>
      <c r="H68" s="524"/>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c r="AP68" s="524"/>
      <c r="AQ68" s="524"/>
      <c r="AR68" s="524"/>
      <c r="AS68" s="524"/>
    </row>
    <row r="69" spans="2:45">
      <c r="B69" s="524"/>
      <c r="C69" s="524"/>
      <c r="D69" s="524"/>
      <c r="E69" s="524"/>
      <c r="F69" s="524"/>
      <c r="G69" s="524"/>
      <c r="H69" s="524"/>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c r="AP69" s="524"/>
      <c r="AQ69" s="524"/>
      <c r="AR69" s="524"/>
      <c r="AS69" s="524"/>
    </row>
    <row r="70" spans="2:45">
      <c r="B70" s="524"/>
      <c r="C70" s="524"/>
      <c r="D70" s="524"/>
      <c r="E70" s="524"/>
      <c r="F70" s="524"/>
      <c r="G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c r="AQ70" s="524"/>
      <c r="AR70" s="524"/>
      <c r="AS70" s="524"/>
    </row>
    <row r="71" spans="2:45">
      <c r="B71" s="524"/>
      <c r="C71" s="524"/>
      <c r="D71" s="52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row>
    <row r="72" spans="2:45">
      <c r="B72" s="524"/>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row>
    <row r="73" spans="2:45">
      <c r="B73" s="524"/>
      <c r="C73" s="524"/>
      <c r="D73" s="52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row>
    <row r="74" spans="2:45">
      <c r="B74" s="524"/>
      <c r="C74" s="524"/>
      <c r="D74" s="52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row>
    <row r="75" spans="2:45">
      <c r="B75" s="524"/>
      <c r="C75" s="524"/>
      <c r="D75" s="524"/>
      <c r="E75" s="524"/>
      <c r="F75" s="524"/>
      <c r="G75" s="524"/>
      <c r="H75" s="524"/>
      <c r="I75" s="524"/>
      <c r="J75" s="524"/>
      <c r="K75" s="524"/>
      <c r="L75" s="524"/>
      <c r="M75" s="524"/>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c r="AQ75" s="524"/>
      <c r="AR75" s="524"/>
      <c r="AS75" s="524"/>
    </row>
    <row r="76" spans="2:45">
      <c r="B76" s="524"/>
      <c r="C76" s="524"/>
      <c r="D76" s="524"/>
      <c r="E76" s="524"/>
      <c r="F76" s="524"/>
      <c r="G76" s="524"/>
      <c r="H76" s="524"/>
      <c r="I76" s="524"/>
      <c r="J76" s="524"/>
      <c r="K76" s="524"/>
      <c r="L76" s="524"/>
      <c r="M76" s="524"/>
      <c r="N76" s="524"/>
      <c r="O76" s="524"/>
      <c r="P76" s="524"/>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c r="AP76" s="524"/>
      <c r="AQ76" s="524"/>
      <c r="AR76" s="524"/>
      <c r="AS76" s="524"/>
    </row>
    <row r="77" spans="2:45">
      <c r="B77" s="524"/>
      <c r="C77" s="524"/>
      <c r="D77" s="524"/>
      <c r="E77" s="524"/>
      <c r="F77" s="524"/>
      <c r="G77" s="524"/>
      <c r="H77" s="524"/>
      <c r="I77" s="524"/>
      <c r="J77" s="524"/>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row>
    <row r="78" spans="2:45">
      <c r="B78" s="524"/>
      <c r="C78" s="524"/>
      <c r="D78" s="524"/>
      <c r="E78" s="524"/>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row>
    <row r="79" spans="2:45">
      <c r="B79" s="524"/>
      <c r="C79" s="524"/>
      <c r="D79" s="524"/>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row>
    <row r="80" spans="2:45">
      <c r="B80" s="524"/>
      <c r="C80" s="524"/>
      <c r="D80" s="524"/>
      <c r="E80" s="524"/>
      <c r="F80" s="524"/>
      <c r="G80" s="524"/>
      <c r="H80" s="524"/>
      <c r="I80" s="524"/>
      <c r="J80" s="524"/>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row>
    <row r="81" spans="2:45">
      <c r="B81" s="524"/>
      <c r="C81" s="524"/>
      <c r="D81" s="524"/>
      <c r="E81" s="524"/>
      <c r="F81" s="524"/>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row>
    <row r="82" spans="2:45">
      <c r="B82" s="524"/>
      <c r="C82" s="524"/>
      <c r="D82" s="524"/>
      <c r="E82" s="524"/>
      <c r="F82" s="524"/>
      <c r="G82" s="524"/>
      <c r="H82" s="524"/>
      <c r="I82" s="524"/>
      <c r="J82" s="524"/>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row>
    <row r="83" spans="2:45">
      <c r="B83" s="524"/>
      <c r="C83" s="524"/>
      <c r="D83" s="524"/>
      <c r="E83" s="524"/>
      <c r="F83" s="524"/>
      <c r="G83" s="524"/>
      <c r="H83" s="524"/>
      <c r="I83" s="524"/>
      <c r="J83" s="524"/>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row>
    <row r="84" spans="2:45">
      <c r="B84" s="524"/>
      <c r="C84" s="524"/>
      <c r="D84" s="524"/>
      <c r="E84" s="524"/>
      <c r="F84" s="524"/>
      <c r="G84" s="524"/>
      <c r="H84" s="524"/>
      <c r="I84" s="524"/>
      <c r="J84" s="524"/>
      <c r="K84" s="524"/>
      <c r="L84" s="524"/>
      <c r="M84" s="524"/>
      <c r="N84" s="524"/>
      <c r="O84" s="524"/>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524"/>
      <c r="AP84" s="524"/>
      <c r="AQ84" s="524"/>
      <c r="AR84" s="524"/>
      <c r="AS84" s="524"/>
    </row>
    <row r="85" spans="2:45">
      <c r="B85" s="524"/>
      <c r="C85" s="524"/>
      <c r="D85" s="524"/>
      <c r="E85" s="524"/>
      <c r="F85" s="524"/>
      <c r="G85" s="524"/>
      <c r="H85" s="524"/>
      <c r="I85" s="524"/>
      <c r="J85" s="524"/>
      <c r="K85" s="524"/>
      <c r="L85" s="524"/>
      <c r="M85" s="524"/>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c r="AP85" s="524"/>
      <c r="AQ85" s="524"/>
      <c r="AR85" s="524"/>
      <c r="AS85" s="524"/>
    </row>
    <row r="86" spans="2:45">
      <c r="B86" s="524"/>
      <c r="C86" s="524"/>
      <c r="D86" s="524"/>
      <c r="E86" s="524"/>
      <c r="F86" s="524"/>
      <c r="G86" s="524"/>
      <c r="H86" s="524"/>
      <c r="I86" s="524"/>
      <c r="J86" s="524"/>
      <c r="K86" s="524"/>
      <c r="L86" s="524"/>
      <c r="M86" s="524"/>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c r="AP86" s="524"/>
      <c r="AQ86" s="524"/>
      <c r="AR86" s="524"/>
      <c r="AS86" s="524"/>
    </row>
    <row r="87" spans="2:45">
      <c r="B87" s="524"/>
      <c r="C87" s="524"/>
      <c r="D87" s="524"/>
      <c r="E87" s="524"/>
      <c r="F87" s="524"/>
      <c r="G87" s="524"/>
      <c r="H87" s="524"/>
      <c r="I87" s="524"/>
      <c r="J87" s="524"/>
      <c r="K87" s="524"/>
      <c r="L87" s="524"/>
      <c r="M87" s="524"/>
      <c r="N87" s="524"/>
      <c r="O87" s="524"/>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c r="AP87" s="524"/>
      <c r="AQ87" s="524"/>
      <c r="AR87" s="524"/>
      <c r="AS87" s="524"/>
    </row>
    <row r="88" spans="2:45">
      <c r="B88" s="524"/>
      <c r="C88" s="524"/>
      <c r="D88" s="524"/>
      <c r="E88" s="524"/>
      <c r="F88" s="524"/>
      <c r="G88" s="524"/>
      <c r="H88" s="524"/>
      <c r="I88" s="524"/>
      <c r="J88" s="524"/>
      <c r="K88" s="524"/>
      <c r="L88" s="524"/>
      <c r="M88" s="524"/>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c r="AQ88" s="524"/>
      <c r="AR88" s="524"/>
      <c r="AS88" s="524"/>
    </row>
    <row r="89" spans="2:45">
      <c r="B89" s="524"/>
      <c r="C89" s="524"/>
      <c r="D89" s="524"/>
      <c r="E89" s="524"/>
      <c r="F89" s="524"/>
      <c r="G89" s="524"/>
      <c r="H89" s="524"/>
      <c r="I89" s="524"/>
      <c r="J89" s="524"/>
      <c r="K89" s="524"/>
      <c r="L89" s="524"/>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row>
    <row r="90" spans="2:45">
      <c r="B90" s="524"/>
      <c r="C90" s="524"/>
      <c r="D90" s="524"/>
      <c r="E90" s="524"/>
      <c r="F90" s="524"/>
      <c r="G90" s="524"/>
      <c r="H90" s="524"/>
      <c r="I90" s="524"/>
      <c r="J90" s="524"/>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c r="AQ90" s="524"/>
      <c r="AR90" s="524"/>
      <c r="AS90" s="524"/>
    </row>
    <row r="91" spans="2:45">
      <c r="B91" s="524"/>
      <c r="C91" s="524"/>
      <c r="D91" s="524"/>
      <c r="E91" s="524"/>
      <c r="F91" s="524"/>
      <c r="G91" s="524"/>
      <c r="H91" s="524"/>
      <c r="I91" s="524"/>
      <c r="J91" s="524"/>
      <c r="K91" s="524"/>
      <c r="L91" s="524"/>
      <c r="M91" s="524"/>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c r="AP91" s="524"/>
      <c r="AQ91" s="524"/>
      <c r="AR91" s="524"/>
      <c r="AS91" s="524"/>
    </row>
    <row r="92" spans="2:45">
      <c r="B92" s="524"/>
      <c r="C92" s="524"/>
      <c r="D92" s="524"/>
      <c r="E92" s="524"/>
      <c r="F92" s="524"/>
      <c r="G92" s="524"/>
      <c r="H92" s="524"/>
      <c r="I92" s="524"/>
      <c r="J92" s="524"/>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c r="AQ92" s="524"/>
      <c r="AR92" s="524"/>
      <c r="AS92" s="524"/>
    </row>
    <row r="93" spans="2:45">
      <c r="B93" s="524"/>
      <c r="C93" s="524"/>
      <c r="D93" s="524"/>
      <c r="E93" s="524"/>
      <c r="F93" s="524"/>
      <c r="G93" s="524"/>
      <c r="H93" s="524"/>
      <c r="I93" s="524"/>
      <c r="J93" s="524"/>
      <c r="K93" s="524"/>
      <c r="L93" s="524"/>
      <c r="M93" s="524"/>
      <c r="N93" s="524"/>
      <c r="O93" s="524"/>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c r="AP93" s="524"/>
      <c r="AQ93" s="524"/>
      <c r="AR93" s="524"/>
      <c r="AS93" s="524"/>
    </row>
    <row r="94" spans="2:45">
      <c r="B94" s="524"/>
      <c r="C94" s="524"/>
      <c r="D94" s="524"/>
      <c r="E94" s="524"/>
      <c r="F94" s="524"/>
      <c r="G94" s="524"/>
      <c r="H94" s="524"/>
      <c r="I94" s="524"/>
      <c r="J94" s="524"/>
      <c r="K94" s="524"/>
      <c r="L94" s="524"/>
      <c r="M94" s="524"/>
      <c r="N94" s="524"/>
      <c r="O94" s="524"/>
      <c r="P94" s="524"/>
      <c r="Q94" s="524"/>
      <c r="R94" s="524"/>
      <c r="S94" s="524"/>
      <c r="T94" s="524"/>
      <c r="U94" s="524"/>
      <c r="V94" s="524"/>
      <c r="W94" s="524"/>
      <c r="X94" s="524"/>
      <c r="Y94" s="524"/>
      <c r="Z94" s="524"/>
      <c r="AA94" s="524"/>
      <c r="AB94" s="524"/>
      <c r="AC94" s="524"/>
      <c r="AD94" s="524"/>
      <c r="AE94" s="524"/>
      <c r="AF94" s="524"/>
      <c r="AG94" s="524"/>
      <c r="AH94" s="524"/>
      <c r="AI94" s="524"/>
      <c r="AJ94" s="524"/>
      <c r="AK94" s="524"/>
      <c r="AL94" s="524"/>
      <c r="AM94" s="524"/>
      <c r="AN94" s="524"/>
      <c r="AO94" s="524"/>
      <c r="AP94" s="524"/>
      <c r="AQ94" s="524"/>
      <c r="AR94" s="524"/>
      <c r="AS94" s="524"/>
    </row>
    <row r="95" spans="2:45">
      <c r="B95" s="524"/>
      <c r="C95" s="524"/>
      <c r="D95" s="524"/>
      <c r="E95" s="524"/>
      <c r="F95" s="524"/>
      <c r="G95" s="524"/>
      <c r="H95" s="524"/>
      <c r="I95" s="524"/>
      <c r="J95" s="524"/>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c r="AQ95" s="524"/>
      <c r="AR95" s="524"/>
      <c r="AS95" s="524"/>
    </row>
    <row r="96" spans="2:45">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c r="AQ96" s="524"/>
      <c r="AR96" s="524"/>
      <c r="AS96" s="524"/>
    </row>
    <row r="97" spans="2:45">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c r="AQ97" s="524"/>
      <c r="AR97" s="524"/>
      <c r="AS97" s="524"/>
    </row>
    <row r="98" spans="2:45">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c r="AQ98" s="524"/>
      <c r="AR98" s="524"/>
      <c r="AS98" s="524"/>
    </row>
    <row r="99" spans="2:45">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c r="AQ99" s="524"/>
      <c r="AR99" s="524"/>
      <c r="AS99" s="524"/>
    </row>
    <row r="100" spans="2:45">
      <c r="B100" s="524"/>
      <c r="C100" s="524"/>
      <c r="D100" s="524"/>
      <c r="E100" s="524"/>
      <c r="F100" s="524"/>
      <c r="G100" s="524"/>
      <c r="H100" s="524"/>
      <c r="I100" s="524"/>
      <c r="J100" s="524"/>
      <c r="K100" s="524"/>
      <c r="L100" s="524"/>
      <c r="M100" s="524"/>
      <c r="N100" s="524"/>
      <c r="O100" s="524"/>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4"/>
      <c r="AK100" s="524"/>
      <c r="AL100" s="524"/>
      <c r="AM100" s="524"/>
      <c r="AN100" s="524"/>
      <c r="AO100" s="524"/>
      <c r="AP100" s="524"/>
      <c r="AQ100" s="524"/>
      <c r="AR100" s="524"/>
      <c r="AS100" s="524"/>
    </row>
    <row r="101" spans="2:45">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c r="AQ101" s="524"/>
      <c r="AR101" s="524"/>
      <c r="AS101" s="524"/>
    </row>
    <row r="102" spans="2:45">
      <c r="B102" s="524"/>
      <c r="C102" s="524"/>
      <c r="D102" s="524"/>
      <c r="E102" s="524"/>
      <c r="F102" s="524"/>
      <c r="G102" s="524"/>
      <c r="H102" s="524"/>
      <c r="I102" s="524"/>
      <c r="J102" s="524"/>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c r="AQ102" s="524"/>
      <c r="AR102" s="524"/>
      <c r="AS102" s="524"/>
    </row>
    <row r="103" spans="2:45">
      <c r="B103" s="524"/>
      <c r="C103" s="524"/>
      <c r="D103" s="524"/>
      <c r="E103" s="524"/>
      <c r="F103" s="524"/>
      <c r="G103" s="524"/>
      <c r="H103" s="524"/>
      <c r="I103" s="524"/>
      <c r="J103" s="524"/>
      <c r="K103" s="524"/>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c r="AS103" s="524"/>
    </row>
    <row r="104" spans="2:45">
      <c r="B104" s="524"/>
      <c r="C104" s="524"/>
      <c r="D104" s="524"/>
      <c r="E104" s="524"/>
      <c r="F104" s="524"/>
      <c r="G104" s="524"/>
      <c r="H104" s="524"/>
      <c r="I104" s="524"/>
      <c r="J104" s="524"/>
      <c r="K104" s="524"/>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c r="AQ104" s="524"/>
      <c r="AR104" s="524"/>
      <c r="AS104" s="524"/>
    </row>
    <row r="105" spans="2:45">
      <c r="B105" s="524"/>
      <c r="C105" s="524"/>
      <c r="D105" s="524"/>
      <c r="E105" s="524"/>
      <c r="F105" s="524"/>
      <c r="G105" s="524"/>
      <c r="H105" s="524"/>
      <c r="I105" s="524"/>
      <c r="J105" s="524"/>
      <c r="K105" s="524"/>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c r="AQ105" s="524"/>
      <c r="AR105" s="524"/>
      <c r="AS105" s="524"/>
    </row>
    <row r="106" spans="2:45">
      <c r="B106" s="524"/>
      <c r="C106" s="524"/>
      <c r="D106" s="524"/>
      <c r="E106" s="524"/>
      <c r="F106" s="524"/>
      <c r="G106" s="524"/>
      <c r="H106" s="524"/>
      <c r="I106" s="524"/>
      <c r="J106" s="524"/>
      <c r="K106" s="524"/>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row>
    <row r="107" spans="2:45">
      <c r="B107" s="524"/>
      <c r="C107" s="524"/>
      <c r="D107" s="524"/>
      <c r="E107" s="524"/>
      <c r="F107" s="524"/>
      <c r="G107" s="524"/>
      <c r="H107" s="524"/>
      <c r="I107" s="524"/>
      <c r="J107" s="524"/>
      <c r="K107" s="524"/>
      <c r="L107" s="524"/>
      <c r="M107" s="524"/>
      <c r="N107" s="524"/>
      <c r="O107" s="524"/>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c r="AQ107" s="524"/>
      <c r="AR107" s="524"/>
      <c r="AS107" s="524"/>
    </row>
    <row r="108" spans="2:45">
      <c r="B108" s="524"/>
      <c r="C108" s="524"/>
      <c r="D108" s="524"/>
      <c r="E108" s="524"/>
      <c r="F108" s="524"/>
      <c r="G108" s="524"/>
      <c r="H108" s="524"/>
      <c r="I108" s="524"/>
      <c r="J108" s="524"/>
      <c r="K108" s="524"/>
      <c r="L108" s="524"/>
      <c r="M108" s="524"/>
      <c r="N108" s="524"/>
      <c r="O108" s="524"/>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c r="AQ108" s="524"/>
      <c r="AR108" s="524"/>
      <c r="AS108" s="524"/>
    </row>
    <row r="109" spans="2:45">
      <c r="B109" s="524"/>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row>
    <row r="110" spans="2:45">
      <c r="B110" s="524"/>
      <c r="C110" s="524"/>
      <c r="D110" s="524"/>
      <c r="E110" s="524"/>
      <c r="F110" s="524"/>
      <c r="G110" s="524"/>
      <c r="H110" s="524"/>
      <c r="I110" s="524"/>
      <c r="J110" s="524"/>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row>
    <row r="111" spans="2:45">
      <c r="B111" s="524"/>
      <c r="C111" s="524"/>
      <c r="D111" s="524"/>
      <c r="E111" s="524"/>
      <c r="F111" s="524"/>
      <c r="G111" s="524"/>
      <c r="H111" s="524"/>
      <c r="I111" s="524"/>
      <c r="J111" s="524"/>
      <c r="K111" s="524"/>
      <c r="L111" s="524"/>
      <c r="M111" s="524"/>
      <c r="N111" s="524"/>
      <c r="O111" s="524"/>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c r="AP111" s="524"/>
      <c r="AQ111" s="524"/>
      <c r="AR111" s="524"/>
      <c r="AS111" s="524"/>
    </row>
    <row r="112" spans="2:45">
      <c r="B112" s="524"/>
      <c r="C112" s="524"/>
      <c r="D112" s="524"/>
      <c r="E112" s="524"/>
      <c r="F112" s="524"/>
      <c r="G112" s="524"/>
      <c r="H112" s="524"/>
      <c r="I112" s="524"/>
      <c r="J112" s="524"/>
      <c r="K112" s="524"/>
      <c r="L112" s="524"/>
      <c r="M112" s="524"/>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c r="AP112" s="524"/>
      <c r="AQ112" s="524"/>
      <c r="AR112" s="524"/>
      <c r="AS112" s="524"/>
    </row>
    <row r="113" spans="2:45">
      <c r="B113" s="524"/>
      <c r="C113" s="524"/>
      <c r="D113" s="524"/>
      <c r="E113" s="524"/>
      <c r="F113" s="524"/>
      <c r="G113" s="524"/>
      <c r="H113" s="524"/>
      <c r="I113" s="524"/>
      <c r="J113" s="524"/>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c r="AQ113" s="524"/>
      <c r="AR113" s="524"/>
      <c r="AS113" s="524"/>
    </row>
    <row r="114" spans="2:45">
      <c r="B114" s="524"/>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c r="AQ114" s="524"/>
      <c r="AR114" s="524"/>
      <c r="AS114" s="524"/>
    </row>
    <row r="115" spans="2:45">
      <c r="B115" s="524"/>
      <c r="C115" s="524"/>
      <c r="D115" s="524"/>
      <c r="E115" s="524"/>
      <c r="F115" s="524"/>
      <c r="G115" s="524"/>
      <c r="H115" s="524"/>
      <c r="I115" s="524"/>
      <c r="J115" s="524"/>
      <c r="K115" s="524"/>
      <c r="L115" s="524"/>
      <c r="M115" s="524"/>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c r="AQ115" s="524"/>
      <c r="AR115" s="524"/>
      <c r="AS115" s="524"/>
    </row>
    <row r="116" spans="2:45">
      <c r="B116" s="524"/>
      <c r="C116" s="524"/>
      <c r="D116" s="524"/>
      <c r="E116" s="524"/>
      <c r="F116" s="524"/>
      <c r="G116" s="524"/>
      <c r="H116" s="524"/>
      <c r="I116" s="524"/>
      <c r="J116" s="524"/>
      <c r="K116" s="524"/>
      <c r="L116" s="524"/>
      <c r="M116" s="524"/>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c r="AP116" s="524"/>
      <c r="AQ116" s="524"/>
      <c r="AR116" s="524"/>
      <c r="AS116" s="524"/>
    </row>
    <row r="117" spans="2:45">
      <c r="B117" s="524"/>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c r="AP117" s="524"/>
      <c r="AQ117" s="524"/>
      <c r="AR117" s="524"/>
      <c r="AS117" s="524"/>
    </row>
    <row r="118" spans="2:45">
      <c r="B118" s="524"/>
      <c r="C118" s="524"/>
      <c r="D118" s="524"/>
      <c r="E118" s="524"/>
      <c r="F118" s="524"/>
      <c r="G118" s="524"/>
      <c r="H118" s="524"/>
      <c r="I118" s="524"/>
      <c r="J118" s="524"/>
      <c r="K118" s="524"/>
      <c r="L118" s="524"/>
      <c r="M118" s="524"/>
      <c r="N118" s="524"/>
      <c r="O118" s="524"/>
      <c r="P118" s="524"/>
      <c r="Q118" s="524"/>
      <c r="R118" s="524"/>
      <c r="S118" s="524"/>
      <c r="T118" s="524"/>
      <c r="U118" s="524"/>
      <c r="V118" s="524"/>
      <c r="W118" s="524"/>
      <c r="X118" s="524"/>
      <c r="Y118" s="524"/>
      <c r="Z118" s="524"/>
      <c r="AA118" s="524"/>
      <c r="AB118" s="524"/>
      <c r="AC118" s="524"/>
      <c r="AD118" s="524"/>
      <c r="AE118" s="524"/>
      <c r="AF118" s="524"/>
      <c r="AG118" s="524"/>
      <c r="AH118" s="524"/>
      <c r="AI118" s="524"/>
      <c r="AJ118" s="524"/>
      <c r="AK118" s="524"/>
      <c r="AL118" s="524"/>
      <c r="AM118" s="524"/>
      <c r="AN118" s="524"/>
      <c r="AO118" s="524"/>
      <c r="AP118" s="524"/>
      <c r="AQ118" s="524"/>
      <c r="AR118" s="524"/>
      <c r="AS118" s="524"/>
    </row>
    <row r="119" spans="2:45">
      <c r="B119" s="524"/>
      <c r="C119" s="524"/>
      <c r="D119" s="524"/>
      <c r="E119" s="524"/>
      <c r="F119" s="524"/>
      <c r="G119" s="524"/>
      <c r="H119" s="524"/>
      <c r="I119" s="524"/>
      <c r="J119" s="524"/>
      <c r="K119" s="524"/>
      <c r="L119" s="524"/>
      <c r="M119" s="524"/>
      <c r="N119" s="524"/>
      <c r="O119" s="524"/>
      <c r="P119" s="524"/>
      <c r="Q119" s="524"/>
      <c r="R119" s="524"/>
      <c r="S119" s="524"/>
      <c r="T119" s="524"/>
      <c r="U119" s="524"/>
      <c r="V119" s="524"/>
      <c r="W119" s="524"/>
      <c r="X119" s="524"/>
      <c r="Y119" s="524"/>
      <c r="Z119" s="524"/>
      <c r="AA119" s="524"/>
      <c r="AB119" s="524"/>
      <c r="AC119" s="524"/>
      <c r="AD119" s="524"/>
      <c r="AE119" s="524"/>
      <c r="AF119" s="524"/>
      <c r="AG119" s="524"/>
      <c r="AH119" s="524"/>
      <c r="AI119" s="524"/>
      <c r="AJ119" s="524"/>
      <c r="AK119" s="524"/>
      <c r="AL119" s="524"/>
      <c r="AM119" s="524"/>
      <c r="AN119" s="524"/>
      <c r="AO119" s="524"/>
      <c r="AP119" s="524"/>
      <c r="AQ119" s="524"/>
      <c r="AR119" s="524"/>
      <c r="AS119" s="524"/>
    </row>
    <row r="120" spans="2:45">
      <c r="B120" s="524"/>
      <c r="C120" s="524"/>
      <c r="D120" s="524"/>
      <c r="E120" s="524"/>
      <c r="F120" s="524"/>
      <c r="G120" s="524"/>
      <c r="H120" s="524"/>
      <c r="I120" s="524"/>
      <c r="J120" s="524"/>
      <c r="K120" s="524"/>
      <c r="L120" s="524"/>
      <c r="M120" s="524"/>
      <c r="N120" s="524"/>
      <c r="O120" s="524"/>
      <c r="P120" s="524"/>
      <c r="Q120" s="524"/>
      <c r="R120" s="524"/>
      <c r="S120" s="524"/>
      <c r="T120" s="524"/>
      <c r="U120" s="524"/>
      <c r="V120" s="524"/>
      <c r="W120" s="524"/>
      <c r="X120" s="524"/>
      <c r="Y120" s="524"/>
      <c r="Z120" s="524"/>
      <c r="AA120" s="524"/>
      <c r="AB120" s="524"/>
      <c r="AC120" s="524"/>
      <c r="AD120" s="524"/>
      <c r="AE120" s="524"/>
      <c r="AF120" s="524"/>
      <c r="AG120" s="524"/>
      <c r="AH120" s="524"/>
      <c r="AI120" s="524"/>
      <c r="AJ120" s="524"/>
      <c r="AK120" s="524"/>
      <c r="AL120" s="524"/>
      <c r="AM120" s="524"/>
      <c r="AN120" s="524"/>
      <c r="AO120" s="524"/>
      <c r="AP120" s="524"/>
      <c r="AQ120" s="524"/>
      <c r="AR120" s="524"/>
      <c r="AS120" s="524"/>
    </row>
    <row r="121" spans="2:45">
      <c r="B121" s="524"/>
      <c r="C121" s="524"/>
      <c r="D121" s="524"/>
      <c r="E121" s="524"/>
      <c r="F121" s="524"/>
      <c r="G121" s="524"/>
      <c r="H121" s="524"/>
      <c r="I121" s="524"/>
      <c r="J121" s="524"/>
      <c r="K121" s="524"/>
      <c r="L121" s="524"/>
      <c r="M121" s="524"/>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c r="AP121" s="524"/>
      <c r="AQ121" s="524"/>
      <c r="AR121" s="524"/>
      <c r="AS121" s="524"/>
    </row>
    <row r="122" spans="2:45">
      <c r="B122" s="524"/>
      <c r="C122" s="524"/>
      <c r="D122" s="524"/>
      <c r="E122" s="524"/>
      <c r="F122" s="524"/>
      <c r="G122" s="524"/>
      <c r="H122" s="524"/>
      <c r="I122" s="524"/>
      <c r="J122" s="524"/>
      <c r="K122" s="524"/>
      <c r="L122" s="524"/>
      <c r="M122" s="524"/>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c r="AP122" s="524"/>
      <c r="AQ122" s="524"/>
      <c r="AR122" s="524"/>
      <c r="AS122" s="524"/>
    </row>
    <row r="123" spans="2:45">
      <c r="B123" s="524"/>
      <c r="C123" s="524"/>
      <c r="D123" s="524"/>
      <c r="E123" s="524"/>
      <c r="F123" s="524"/>
      <c r="G123" s="524"/>
      <c r="H123" s="524"/>
      <c r="I123" s="524"/>
      <c r="J123" s="524"/>
      <c r="K123" s="524"/>
      <c r="L123" s="524"/>
      <c r="M123" s="524"/>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c r="AP123" s="524"/>
      <c r="AQ123" s="524"/>
      <c r="AR123" s="524"/>
      <c r="AS123" s="524"/>
    </row>
    <row r="124" spans="2:45">
      <c r="B124" s="524"/>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row>
    <row r="125" spans="2:45">
      <c r="B125" s="524"/>
      <c r="C125" s="524"/>
      <c r="D125" s="524"/>
      <c r="E125" s="524"/>
      <c r="F125" s="524"/>
      <c r="G125" s="524"/>
      <c r="H125" s="524"/>
      <c r="I125" s="524"/>
      <c r="J125" s="524"/>
      <c r="K125" s="524"/>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c r="AQ125" s="524"/>
      <c r="AR125" s="524"/>
      <c r="AS125" s="524"/>
    </row>
    <row r="126" spans="2:45">
      <c r="B126" s="524"/>
      <c r="C126" s="524"/>
      <c r="D126" s="524"/>
      <c r="E126" s="524"/>
      <c r="F126" s="524"/>
      <c r="G126" s="524"/>
      <c r="H126" s="524"/>
      <c r="I126" s="524"/>
      <c r="J126" s="524"/>
      <c r="K126" s="524"/>
      <c r="L126" s="524"/>
      <c r="M126" s="524"/>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c r="AP126" s="524"/>
      <c r="AQ126" s="524"/>
      <c r="AR126" s="524"/>
      <c r="AS126" s="524"/>
    </row>
    <row r="127" spans="2:45">
      <c r="B127" s="524"/>
      <c r="C127" s="524"/>
      <c r="D127" s="524"/>
      <c r="E127" s="524"/>
      <c r="F127" s="524"/>
      <c r="G127" s="524"/>
      <c r="H127" s="524"/>
      <c r="I127" s="524"/>
      <c r="J127" s="524"/>
      <c r="K127" s="524"/>
      <c r="L127" s="524"/>
      <c r="M127" s="524"/>
      <c r="N127" s="524"/>
      <c r="O127" s="524"/>
      <c r="P127" s="524"/>
      <c r="Q127" s="524"/>
      <c r="R127" s="524"/>
      <c r="S127" s="524"/>
      <c r="T127" s="524"/>
      <c r="U127" s="524"/>
      <c r="V127" s="524"/>
      <c r="W127" s="524"/>
      <c r="X127" s="524"/>
      <c r="Y127" s="524"/>
      <c r="Z127" s="524"/>
      <c r="AA127" s="524"/>
      <c r="AB127" s="524"/>
      <c r="AC127" s="524"/>
      <c r="AD127" s="524"/>
      <c r="AE127" s="524"/>
      <c r="AF127" s="524"/>
      <c r="AG127" s="524"/>
      <c r="AH127" s="524"/>
      <c r="AI127" s="524"/>
      <c r="AJ127" s="524"/>
      <c r="AK127" s="524"/>
      <c r="AL127" s="524"/>
      <c r="AM127" s="524"/>
      <c r="AN127" s="524"/>
      <c r="AO127" s="524"/>
      <c r="AP127" s="524"/>
      <c r="AQ127" s="524"/>
      <c r="AR127" s="524"/>
      <c r="AS127" s="524"/>
    </row>
    <row r="128" spans="2:45">
      <c r="B128" s="524"/>
      <c r="C128" s="524"/>
      <c r="D128" s="524"/>
      <c r="E128" s="524"/>
      <c r="F128" s="524"/>
      <c r="G128" s="524"/>
      <c r="H128" s="524"/>
      <c r="I128" s="524"/>
      <c r="J128" s="524"/>
      <c r="K128" s="524"/>
      <c r="L128" s="524"/>
      <c r="M128" s="524"/>
      <c r="N128" s="524"/>
      <c r="O128" s="524"/>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c r="AP128" s="524"/>
      <c r="AQ128" s="524"/>
      <c r="AR128" s="524"/>
      <c r="AS128" s="524"/>
    </row>
    <row r="129" spans="2:45">
      <c r="B129" s="524"/>
      <c r="C129" s="524"/>
      <c r="D129" s="524"/>
      <c r="E129" s="524"/>
      <c r="F129" s="524"/>
      <c r="G129" s="524"/>
      <c r="H129" s="524"/>
      <c r="I129" s="524"/>
      <c r="J129" s="524"/>
      <c r="K129" s="524"/>
      <c r="L129" s="524"/>
      <c r="M129" s="524"/>
      <c r="N129" s="524"/>
      <c r="O129" s="524"/>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c r="AP129" s="524"/>
      <c r="AQ129" s="524"/>
      <c r="AR129" s="524"/>
      <c r="AS129" s="524"/>
    </row>
    <row r="130" spans="2:45">
      <c r="B130" s="524"/>
      <c r="C130" s="524"/>
      <c r="D130" s="524"/>
      <c r="E130" s="524"/>
      <c r="F130" s="524"/>
      <c r="G130" s="524"/>
      <c r="H130" s="524"/>
      <c r="I130" s="524"/>
      <c r="J130" s="524"/>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c r="AQ130" s="524"/>
      <c r="AR130" s="524"/>
      <c r="AS130" s="524"/>
    </row>
    <row r="131" spans="2:45">
      <c r="B131" s="524"/>
      <c r="C131" s="524"/>
      <c r="D131" s="524"/>
      <c r="E131" s="524"/>
      <c r="F131" s="524"/>
      <c r="G131" s="524"/>
      <c r="H131" s="524"/>
      <c r="I131" s="524"/>
      <c r="J131" s="524"/>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row>
    <row r="132" spans="2:45">
      <c r="B132" s="524"/>
      <c r="C132" s="524"/>
      <c r="D132" s="524"/>
      <c r="E132" s="524"/>
      <c r="F132" s="524"/>
      <c r="G132" s="524"/>
      <c r="H132" s="524"/>
      <c r="I132" s="524"/>
      <c r="J132" s="524"/>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c r="AQ132" s="524"/>
      <c r="AR132" s="524"/>
      <c r="AS132" s="524"/>
    </row>
    <row r="133" spans="2:45">
      <c r="B133" s="524"/>
      <c r="C133" s="524"/>
      <c r="D133" s="524"/>
      <c r="E133" s="524"/>
      <c r="F133" s="524"/>
      <c r="G133" s="524"/>
      <c r="H133" s="524"/>
      <c r="I133" s="524"/>
      <c r="J133" s="524"/>
      <c r="K133" s="524"/>
      <c r="L133" s="524"/>
      <c r="M133" s="524"/>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c r="AP133" s="524"/>
      <c r="AQ133" s="524"/>
      <c r="AR133" s="524"/>
      <c r="AS133" s="524"/>
    </row>
    <row r="134" spans="2:45">
      <c r="B134" s="524"/>
      <c r="C134" s="524"/>
      <c r="D134" s="524"/>
      <c r="E134" s="524"/>
      <c r="F134" s="524"/>
      <c r="G134" s="524"/>
      <c r="H134" s="524"/>
      <c r="I134" s="524"/>
      <c r="J134" s="524"/>
      <c r="K134" s="524"/>
      <c r="L134" s="524"/>
      <c r="M134" s="524"/>
      <c r="N134" s="524"/>
      <c r="O134" s="524"/>
      <c r="P134" s="524"/>
      <c r="Q134" s="524"/>
      <c r="R134" s="524"/>
      <c r="S134" s="524"/>
      <c r="T134" s="524"/>
      <c r="U134" s="524"/>
      <c r="V134" s="524"/>
      <c r="W134" s="524"/>
      <c r="X134" s="524"/>
      <c r="Y134" s="524"/>
      <c r="Z134" s="524"/>
      <c r="AA134" s="524"/>
      <c r="AB134" s="524"/>
      <c r="AC134" s="524"/>
      <c r="AD134" s="524"/>
      <c r="AE134" s="524"/>
      <c r="AF134" s="524"/>
      <c r="AG134" s="524"/>
      <c r="AH134" s="524"/>
      <c r="AI134" s="524"/>
      <c r="AJ134" s="524"/>
      <c r="AK134" s="524"/>
      <c r="AL134" s="524"/>
      <c r="AM134" s="524"/>
      <c r="AN134" s="524"/>
      <c r="AO134" s="524"/>
      <c r="AP134" s="524"/>
      <c r="AQ134" s="524"/>
      <c r="AR134" s="524"/>
      <c r="AS134" s="524"/>
    </row>
    <row r="135" spans="2:45">
      <c r="B135" s="524"/>
      <c r="C135" s="524"/>
      <c r="D135" s="524"/>
      <c r="E135" s="524"/>
      <c r="F135" s="524"/>
      <c r="G135" s="524"/>
      <c r="H135" s="524"/>
      <c r="I135" s="524"/>
      <c r="J135" s="524"/>
      <c r="K135" s="524"/>
      <c r="L135" s="524"/>
      <c r="M135" s="524"/>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c r="AP135" s="524"/>
      <c r="AQ135" s="524"/>
      <c r="AR135" s="524"/>
      <c r="AS135" s="524"/>
    </row>
    <row r="136" spans="2:45">
      <c r="B136" s="524"/>
      <c r="C136" s="524"/>
      <c r="D136" s="524"/>
      <c r="E136" s="524"/>
      <c r="F136" s="524"/>
      <c r="G136" s="524"/>
      <c r="H136" s="524"/>
      <c r="I136" s="524"/>
      <c r="J136" s="524"/>
      <c r="K136" s="524"/>
      <c r="L136" s="524"/>
      <c r="M136" s="524"/>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c r="AP136" s="524"/>
      <c r="AQ136" s="524"/>
      <c r="AR136" s="524"/>
      <c r="AS136" s="524"/>
    </row>
    <row r="137" spans="2:45">
      <c r="B137" s="524"/>
      <c r="C137" s="524"/>
      <c r="D137" s="524"/>
      <c r="E137" s="524"/>
      <c r="F137" s="524"/>
      <c r="G137" s="524"/>
      <c r="H137" s="524"/>
      <c r="I137" s="524"/>
      <c r="J137" s="524"/>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c r="AQ137" s="524"/>
      <c r="AR137" s="524"/>
      <c r="AS137" s="524"/>
    </row>
    <row r="138" spans="2:45">
      <c r="B138" s="524"/>
      <c r="C138" s="524"/>
      <c r="D138" s="524"/>
      <c r="E138" s="524"/>
      <c r="F138" s="524"/>
      <c r="G138" s="524"/>
      <c r="H138" s="524"/>
      <c r="I138" s="524"/>
      <c r="J138" s="524"/>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c r="AQ138" s="524"/>
      <c r="AR138" s="524"/>
      <c r="AS138" s="524"/>
    </row>
    <row r="139" spans="2:45">
      <c r="B139" s="524"/>
      <c r="C139" s="524"/>
      <c r="D139" s="524"/>
      <c r="E139" s="524"/>
      <c r="F139" s="524"/>
      <c r="G139" s="524"/>
      <c r="H139" s="524"/>
      <c r="I139" s="524"/>
      <c r="J139" s="524"/>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c r="AQ139" s="524"/>
      <c r="AR139" s="524"/>
      <c r="AS139" s="524"/>
    </row>
    <row r="140" spans="2:45">
      <c r="B140" s="524"/>
      <c r="C140" s="524"/>
      <c r="D140" s="524"/>
      <c r="E140" s="524"/>
      <c r="F140" s="524"/>
      <c r="G140" s="524"/>
      <c r="H140" s="524"/>
      <c r="I140" s="524"/>
      <c r="J140" s="524"/>
      <c r="K140" s="524"/>
      <c r="L140" s="524"/>
      <c r="M140" s="524"/>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c r="AQ140" s="524"/>
      <c r="AR140" s="524"/>
      <c r="AS140" s="524"/>
    </row>
    <row r="141" spans="2:45">
      <c r="B141" s="524"/>
      <c r="C141" s="524"/>
      <c r="D141" s="524"/>
      <c r="E141" s="524"/>
      <c r="F141" s="524"/>
      <c r="G141" s="524"/>
      <c r="H141" s="524"/>
      <c r="I141" s="524"/>
      <c r="J141" s="524"/>
      <c r="K141" s="524"/>
      <c r="L141" s="524"/>
      <c r="M141" s="524"/>
      <c r="N141" s="524"/>
      <c r="O141" s="524"/>
      <c r="P141" s="524"/>
      <c r="Q141" s="524"/>
      <c r="R141" s="524"/>
      <c r="S141" s="524"/>
      <c r="T141" s="524"/>
      <c r="U141" s="524"/>
      <c r="V141" s="524"/>
      <c r="W141" s="524"/>
      <c r="X141" s="524"/>
      <c r="Y141" s="524"/>
      <c r="Z141" s="524"/>
      <c r="AA141" s="524"/>
      <c r="AB141" s="524"/>
      <c r="AC141" s="524"/>
      <c r="AD141" s="524"/>
      <c r="AE141" s="524"/>
      <c r="AF141" s="524"/>
      <c r="AG141" s="524"/>
      <c r="AH141" s="524"/>
      <c r="AI141" s="524"/>
      <c r="AJ141" s="524"/>
      <c r="AK141" s="524"/>
      <c r="AL141" s="524"/>
      <c r="AM141" s="524"/>
      <c r="AN141" s="524"/>
      <c r="AO141" s="524"/>
      <c r="AP141" s="524"/>
      <c r="AQ141" s="524"/>
      <c r="AR141" s="524"/>
      <c r="AS141" s="524"/>
    </row>
    <row r="142" spans="2:45">
      <c r="B142" s="524"/>
      <c r="C142" s="524"/>
      <c r="D142" s="524"/>
      <c r="E142" s="524"/>
      <c r="F142" s="524"/>
      <c r="G142" s="524"/>
      <c r="H142" s="524"/>
      <c r="I142" s="524"/>
      <c r="J142" s="52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c r="AP142" s="524"/>
      <c r="AQ142" s="524"/>
      <c r="AR142" s="524"/>
      <c r="AS142" s="524"/>
    </row>
    <row r="143" spans="2:45">
      <c r="B143" s="524"/>
      <c r="C143" s="524"/>
      <c r="D143" s="524"/>
      <c r="E143" s="524"/>
      <c r="F143" s="524"/>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c r="AJ143" s="524"/>
      <c r="AK143" s="524"/>
      <c r="AL143" s="524"/>
      <c r="AM143" s="524"/>
      <c r="AN143" s="524"/>
      <c r="AO143" s="524"/>
      <c r="AP143" s="524"/>
      <c r="AQ143" s="524"/>
      <c r="AR143" s="524"/>
      <c r="AS143" s="524"/>
    </row>
    <row r="144" spans="2:45">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c r="AJ144" s="524"/>
      <c r="AK144" s="524"/>
      <c r="AL144" s="524"/>
      <c r="AM144" s="524"/>
      <c r="AN144" s="524"/>
      <c r="AO144" s="524"/>
      <c r="AP144" s="524"/>
      <c r="AQ144" s="524"/>
      <c r="AR144" s="524"/>
      <c r="AS144" s="524"/>
    </row>
    <row r="145" spans="2:45">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c r="AJ145" s="524"/>
      <c r="AK145" s="524"/>
      <c r="AL145" s="524"/>
      <c r="AM145" s="524"/>
      <c r="AN145" s="524"/>
      <c r="AO145" s="524"/>
      <c r="AP145" s="524"/>
      <c r="AQ145" s="524"/>
      <c r="AR145" s="524"/>
      <c r="AS145" s="524"/>
    </row>
    <row r="146" spans="2:45">
      <c r="B146" s="524"/>
      <c r="C146" s="524"/>
      <c r="D146" s="524"/>
      <c r="E146" s="524"/>
      <c r="F146" s="524"/>
      <c r="G146" s="524"/>
      <c r="H146" s="524"/>
      <c r="I146" s="524"/>
      <c r="J146" s="524"/>
      <c r="K146" s="524"/>
      <c r="L146" s="524"/>
      <c r="M146" s="524"/>
      <c r="N146" s="524"/>
      <c r="O146" s="524"/>
      <c r="P146" s="524"/>
      <c r="Q146" s="524"/>
      <c r="R146" s="524"/>
      <c r="S146" s="524"/>
      <c r="T146" s="524"/>
      <c r="U146" s="524"/>
      <c r="V146" s="524"/>
      <c r="W146" s="524"/>
      <c r="X146" s="524"/>
      <c r="Y146" s="524"/>
      <c r="Z146" s="524"/>
      <c r="AA146" s="524"/>
      <c r="AB146" s="524"/>
      <c r="AC146" s="524"/>
      <c r="AD146" s="524"/>
      <c r="AE146" s="524"/>
      <c r="AF146" s="524"/>
      <c r="AG146" s="524"/>
      <c r="AH146" s="524"/>
      <c r="AI146" s="524"/>
      <c r="AJ146" s="524"/>
      <c r="AK146" s="524"/>
      <c r="AL146" s="524"/>
      <c r="AM146" s="524"/>
      <c r="AN146" s="524"/>
      <c r="AO146" s="524"/>
      <c r="AP146" s="524"/>
      <c r="AQ146" s="524"/>
      <c r="AR146" s="524"/>
      <c r="AS146" s="524"/>
    </row>
    <row r="147" spans="2:45">
      <c r="B147" s="524"/>
      <c r="C147" s="524"/>
      <c r="D147" s="524"/>
      <c r="E147" s="524"/>
      <c r="F147" s="524"/>
      <c r="G147" s="524"/>
      <c r="H147" s="524"/>
      <c r="I147" s="524"/>
      <c r="J147" s="524"/>
      <c r="K147" s="524"/>
      <c r="L147" s="524"/>
      <c r="M147" s="524"/>
      <c r="N147" s="524"/>
      <c r="O147" s="524"/>
      <c r="P147" s="524"/>
      <c r="Q147" s="524"/>
      <c r="R147" s="524"/>
      <c r="S147" s="524"/>
      <c r="T147" s="524"/>
      <c r="U147" s="524"/>
      <c r="V147" s="524"/>
      <c r="W147" s="524"/>
      <c r="X147" s="524"/>
      <c r="Y147" s="524"/>
      <c r="Z147" s="524"/>
      <c r="AA147" s="524"/>
      <c r="AB147" s="524"/>
      <c r="AC147" s="524"/>
      <c r="AD147" s="524"/>
      <c r="AE147" s="524"/>
      <c r="AF147" s="524"/>
      <c r="AG147" s="524"/>
      <c r="AH147" s="524"/>
      <c r="AI147" s="524"/>
      <c r="AJ147" s="524"/>
      <c r="AK147" s="524"/>
      <c r="AL147" s="524"/>
      <c r="AM147" s="524"/>
      <c r="AN147" s="524"/>
      <c r="AO147" s="524"/>
      <c r="AP147" s="524"/>
      <c r="AQ147" s="524"/>
      <c r="AR147" s="524"/>
      <c r="AS147" s="524"/>
    </row>
    <row r="148" spans="2:45">
      <c r="B148" s="524"/>
      <c r="C148" s="524"/>
      <c r="D148" s="524"/>
      <c r="E148" s="524"/>
      <c r="F148" s="524"/>
      <c r="G148" s="524"/>
      <c r="H148" s="524"/>
      <c r="I148" s="524"/>
      <c r="J148" s="524"/>
      <c r="K148" s="524"/>
      <c r="L148" s="524"/>
      <c r="M148" s="524"/>
      <c r="N148" s="524"/>
      <c r="O148" s="524"/>
      <c r="P148" s="524"/>
      <c r="Q148" s="524"/>
      <c r="R148" s="524"/>
      <c r="S148" s="524"/>
      <c r="T148" s="524"/>
      <c r="U148" s="524"/>
      <c r="V148" s="524"/>
      <c r="W148" s="524"/>
      <c r="X148" s="524"/>
      <c r="Y148" s="524"/>
      <c r="Z148" s="524"/>
      <c r="AA148" s="524"/>
      <c r="AB148" s="524"/>
      <c r="AC148" s="524"/>
      <c r="AD148" s="524"/>
      <c r="AE148" s="524"/>
      <c r="AF148" s="524"/>
      <c r="AG148" s="524"/>
      <c r="AH148" s="524"/>
      <c r="AI148" s="524"/>
      <c r="AJ148" s="524"/>
      <c r="AK148" s="524"/>
      <c r="AL148" s="524"/>
      <c r="AM148" s="524"/>
      <c r="AN148" s="524"/>
      <c r="AO148" s="524"/>
      <c r="AP148" s="524"/>
      <c r="AQ148" s="524"/>
      <c r="AR148" s="524"/>
      <c r="AS148" s="524"/>
    </row>
    <row r="149" spans="2:45">
      <c r="B149" s="524"/>
      <c r="C149" s="524"/>
      <c r="D149" s="524"/>
      <c r="E149" s="524"/>
      <c r="F149" s="524"/>
      <c r="G149" s="524"/>
      <c r="H149" s="524"/>
      <c r="I149" s="524"/>
      <c r="J149" s="524"/>
      <c r="K149" s="524"/>
      <c r="L149" s="524"/>
      <c r="M149" s="524"/>
      <c r="N149" s="524"/>
      <c r="O149" s="524"/>
      <c r="P149" s="524"/>
      <c r="Q149" s="524"/>
      <c r="R149" s="524"/>
      <c r="S149" s="524"/>
      <c r="T149" s="524"/>
      <c r="U149" s="524"/>
      <c r="V149" s="524"/>
      <c r="W149" s="524"/>
      <c r="X149" s="524"/>
      <c r="Y149" s="524"/>
      <c r="Z149" s="524"/>
      <c r="AA149" s="524"/>
      <c r="AB149" s="524"/>
      <c r="AC149" s="524"/>
      <c r="AD149" s="524"/>
      <c r="AE149" s="524"/>
      <c r="AF149" s="524"/>
      <c r="AG149" s="524"/>
      <c r="AH149" s="524"/>
      <c r="AI149" s="524"/>
      <c r="AJ149" s="524"/>
      <c r="AK149" s="524"/>
      <c r="AL149" s="524"/>
      <c r="AM149" s="524"/>
      <c r="AN149" s="524"/>
      <c r="AO149" s="524"/>
      <c r="AP149" s="524"/>
      <c r="AQ149" s="524"/>
      <c r="AR149" s="524"/>
      <c r="AS149" s="524"/>
    </row>
    <row r="150" spans="2:45">
      <c r="B150" s="524"/>
      <c r="C150" s="524"/>
      <c r="D150" s="524"/>
      <c r="E150" s="524"/>
      <c r="F150" s="524"/>
      <c r="G150" s="524"/>
      <c r="H150" s="524"/>
      <c r="I150" s="524"/>
      <c r="J150" s="524"/>
      <c r="K150" s="524"/>
      <c r="L150" s="524"/>
      <c r="M150" s="524"/>
      <c r="N150" s="524"/>
      <c r="O150" s="524"/>
      <c r="P150" s="524"/>
      <c r="Q150" s="524"/>
      <c r="R150" s="524"/>
      <c r="S150" s="524"/>
      <c r="T150" s="524"/>
      <c r="U150" s="524"/>
      <c r="V150" s="524"/>
      <c r="W150" s="524"/>
      <c r="X150" s="524"/>
      <c r="Y150" s="524"/>
      <c r="Z150" s="524"/>
      <c r="AA150" s="524"/>
      <c r="AB150" s="524"/>
      <c r="AC150" s="524"/>
      <c r="AD150" s="524"/>
      <c r="AE150" s="524"/>
      <c r="AF150" s="524"/>
      <c r="AG150" s="524"/>
      <c r="AH150" s="524"/>
      <c r="AI150" s="524"/>
      <c r="AJ150" s="524"/>
      <c r="AK150" s="524"/>
      <c r="AL150" s="524"/>
      <c r="AM150" s="524"/>
      <c r="AN150" s="524"/>
      <c r="AO150" s="524"/>
      <c r="AP150" s="524"/>
      <c r="AQ150" s="524"/>
      <c r="AR150" s="524"/>
      <c r="AS150" s="524"/>
    </row>
    <row r="151" spans="2:45">
      <c r="B151" s="524"/>
      <c r="C151" s="524"/>
      <c r="D151" s="524"/>
      <c r="E151" s="524"/>
      <c r="F151" s="524"/>
      <c r="G151" s="524"/>
      <c r="H151" s="524"/>
      <c r="I151" s="524"/>
      <c r="J151" s="524"/>
      <c r="K151" s="524"/>
      <c r="L151" s="524"/>
      <c r="M151" s="524"/>
      <c r="N151" s="524"/>
      <c r="O151" s="524"/>
      <c r="P151" s="524"/>
      <c r="Q151" s="524"/>
      <c r="R151" s="524"/>
      <c r="S151" s="524"/>
      <c r="T151" s="524"/>
      <c r="U151" s="524"/>
      <c r="V151" s="524"/>
      <c r="W151" s="524"/>
      <c r="X151" s="524"/>
      <c r="Y151" s="524"/>
      <c r="Z151" s="524"/>
      <c r="AA151" s="524"/>
      <c r="AB151" s="524"/>
      <c r="AC151" s="524"/>
      <c r="AD151" s="524"/>
      <c r="AE151" s="524"/>
      <c r="AF151" s="524"/>
      <c r="AG151" s="524"/>
      <c r="AH151" s="524"/>
      <c r="AI151" s="524"/>
      <c r="AJ151" s="524"/>
      <c r="AK151" s="524"/>
      <c r="AL151" s="524"/>
      <c r="AM151" s="524"/>
      <c r="AN151" s="524"/>
      <c r="AO151" s="524"/>
      <c r="AP151" s="524"/>
      <c r="AQ151" s="524"/>
      <c r="AR151" s="524"/>
      <c r="AS151" s="524"/>
    </row>
    <row r="152" spans="2:45">
      <c r="B152" s="524"/>
      <c r="C152" s="524"/>
      <c r="D152" s="524"/>
      <c r="E152" s="524"/>
      <c r="F152" s="524"/>
      <c r="G152" s="524"/>
      <c r="H152" s="524"/>
      <c r="I152" s="524"/>
      <c r="J152" s="524"/>
      <c r="K152" s="524"/>
      <c r="L152" s="524"/>
      <c r="M152" s="524"/>
      <c r="N152" s="524"/>
      <c r="O152" s="524"/>
      <c r="P152" s="524"/>
      <c r="Q152" s="524"/>
      <c r="R152" s="524"/>
      <c r="S152" s="524"/>
      <c r="T152" s="524"/>
      <c r="U152" s="524"/>
      <c r="V152" s="524"/>
      <c r="W152" s="524"/>
      <c r="X152" s="524"/>
      <c r="Y152" s="524"/>
      <c r="Z152" s="524"/>
      <c r="AA152" s="524"/>
      <c r="AB152" s="524"/>
      <c r="AC152" s="524"/>
      <c r="AD152" s="524"/>
      <c r="AE152" s="524"/>
      <c r="AF152" s="524"/>
      <c r="AG152" s="524"/>
      <c r="AH152" s="524"/>
      <c r="AI152" s="524"/>
      <c r="AJ152" s="524"/>
      <c r="AK152" s="524"/>
      <c r="AL152" s="524"/>
      <c r="AM152" s="524"/>
      <c r="AN152" s="524"/>
      <c r="AO152" s="524"/>
      <c r="AP152" s="524"/>
      <c r="AQ152" s="524"/>
      <c r="AR152" s="524"/>
      <c r="AS152" s="524"/>
    </row>
    <row r="153" spans="2:45">
      <c r="B153" s="524"/>
      <c r="C153" s="524"/>
      <c r="D153" s="524"/>
      <c r="E153" s="524"/>
      <c r="F153" s="524"/>
      <c r="G153" s="524"/>
      <c r="H153" s="524"/>
      <c r="I153" s="524"/>
      <c r="J153" s="524"/>
      <c r="K153" s="524"/>
      <c r="L153" s="524"/>
      <c r="M153" s="524"/>
      <c r="N153" s="524"/>
      <c r="O153" s="524"/>
      <c r="P153" s="524"/>
      <c r="Q153" s="524"/>
      <c r="R153" s="524"/>
      <c r="S153" s="524"/>
      <c r="T153" s="524"/>
      <c r="U153" s="524"/>
      <c r="V153" s="524"/>
      <c r="W153" s="524"/>
      <c r="X153" s="524"/>
      <c r="Y153" s="524"/>
      <c r="Z153" s="524"/>
      <c r="AA153" s="524"/>
      <c r="AB153" s="524"/>
      <c r="AC153" s="524"/>
      <c r="AD153" s="524"/>
      <c r="AE153" s="524"/>
      <c r="AF153" s="524"/>
      <c r="AG153" s="524"/>
      <c r="AH153" s="524"/>
      <c r="AI153" s="524"/>
      <c r="AJ153" s="524"/>
      <c r="AK153" s="524"/>
      <c r="AL153" s="524"/>
      <c r="AM153" s="524"/>
      <c r="AN153" s="524"/>
      <c r="AO153" s="524"/>
      <c r="AP153" s="524"/>
      <c r="AQ153" s="524"/>
      <c r="AR153" s="524"/>
      <c r="AS153" s="524"/>
    </row>
    <row r="154" spans="2:45">
      <c r="B154" s="524"/>
      <c r="C154" s="524"/>
      <c r="D154" s="524"/>
      <c r="E154" s="524"/>
      <c r="F154" s="524"/>
      <c r="G154" s="524"/>
      <c r="H154" s="524"/>
      <c r="I154" s="524"/>
      <c r="J154" s="524"/>
      <c r="K154" s="524"/>
      <c r="L154" s="524"/>
      <c r="M154" s="524"/>
      <c r="N154" s="524"/>
      <c r="O154" s="524"/>
      <c r="P154" s="524"/>
      <c r="Q154" s="524"/>
      <c r="R154" s="524"/>
      <c r="S154" s="524"/>
      <c r="T154" s="524"/>
      <c r="U154" s="524"/>
      <c r="V154" s="524"/>
      <c r="W154" s="524"/>
      <c r="X154" s="524"/>
      <c r="Y154" s="524"/>
      <c r="Z154" s="524"/>
      <c r="AA154" s="524"/>
      <c r="AB154" s="524"/>
      <c r="AC154" s="524"/>
      <c r="AD154" s="524"/>
      <c r="AE154" s="524"/>
      <c r="AF154" s="524"/>
      <c r="AG154" s="524"/>
      <c r="AH154" s="524"/>
      <c r="AI154" s="524"/>
      <c r="AJ154" s="524"/>
      <c r="AK154" s="524"/>
      <c r="AL154" s="524"/>
      <c r="AM154" s="524"/>
      <c r="AN154" s="524"/>
      <c r="AO154" s="524"/>
      <c r="AP154" s="524"/>
      <c r="AQ154" s="524"/>
      <c r="AR154" s="524"/>
      <c r="AS154" s="524"/>
    </row>
    <row r="155" spans="2:45">
      <c r="B155" s="524"/>
      <c r="C155" s="524"/>
      <c r="D155" s="524"/>
      <c r="E155" s="524"/>
      <c r="F155" s="524"/>
      <c r="G155" s="524"/>
      <c r="H155" s="524"/>
      <c r="I155" s="524"/>
      <c r="J155" s="524"/>
      <c r="K155" s="524"/>
      <c r="L155" s="524"/>
      <c r="M155" s="524"/>
      <c r="N155" s="524"/>
      <c r="O155" s="524"/>
      <c r="P155" s="524"/>
      <c r="Q155" s="524"/>
      <c r="R155" s="524"/>
      <c r="S155" s="524"/>
      <c r="T155" s="524"/>
      <c r="U155" s="524"/>
      <c r="V155" s="524"/>
      <c r="W155" s="524"/>
      <c r="X155" s="524"/>
      <c r="Y155" s="524"/>
      <c r="Z155" s="524"/>
      <c r="AA155" s="524"/>
      <c r="AB155" s="524"/>
      <c r="AC155" s="524"/>
      <c r="AD155" s="524"/>
      <c r="AE155" s="524"/>
      <c r="AF155" s="524"/>
      <c r="AG155" s="524"/>
      <c r="AH155" s="524"/>
      <c r="AI155" s="524"/>
      <c r="AJ155" s="524"/>
      <c r="AK155" s="524"/>
      <c r="AL155" s="524"/>
      <c r="AM155" s="524"/>
      <c r="AN155" s="524"/>
      <c r="AO155" s="524"/>
      <c r="AP155" s="524"/>
      <c r="AQ155" s="524"/>
      <c r="AR155" s="524"/>
      <c r="AS155" s="524"/>
    </row>
    <row r="156" spans="2:45">
      <c r="B156" s="524"/>
      <c r="C156" s="524"/>
      <c r="D156" s="524"/>
      <c r="E156" s="524"/>
      <c r="F156" s="524"/>
      <c r="G156" s="524"/>
      <c r="H156" s="524"/>
      <c r="I156" s="524"/>
      <c r="J156" s="524"/>
      <c r="K156" s="524"/>
      <c r="L156" s="524"/>
      <c r="M156" s="524"/>
      <c r="N156" s="524"/>
      <c r="O156" s="524"/>
      <c r="P156" s="524"/>
      <c r="Q156" s="524"/>
      <c r="R156" s="524"/>
      <c r="S156" s="524"/>
      <c r="T156" s="524"/>
      <c r="U156" s="524"/>
      <c r="V156" s="524"/>
      <c r="W156" s="524"/>
      <c r="X156" s="524"/>
      <c r="Y156" s="524"/>
      <c r="Z156" s="524"/>
      <c r="AA156" s="524"/>
      <c r="AB156" s="524"/>
      <c r="AC156" s="524"/>
      <c r="AD156" s="524"/>
      <c r="AE156" s="524"/>
      <c r="AF156" s="524"/>
      <c r="AG156" s="524"/>
      <c r="AH156" s="524"/>
      <c r="AI156" s="524"/>
      <c r="AJ156" s="524"/>
      <c r="AK156" s="524"/>
      <c r="AL156" s="524"/>
      <c r="AM156" s="524"/>
      <c r="AN156" s="524"/>
      <c r="AO156" s="524"/>
      <c r="AP156" s="524"/>
      <c r="AQ156" s="524"/>
      <c r="AR156" s="524"/>
      <c r="AS156" s="524"/>
    </row>
    <row r="157" spans="2:45">
      <c r="B157" s="524"/>
      <c r="C157" s="524"/>
      <c r="D157" s="524"/>
      <c r="E157" s="524"/>
      <c r="F157" s="524"/>
      <c r="G157" s="524"/>
      <c r="H157" s="524"/>
      <c r="I157" s="524"/>
      <c r="J157" s="524"/>
      <c r="K157" s="524"/>
      <c r="L157" s="524"/>
      <c r="M157" s="524"/>
      <c r="N157" s="524"/>
      <c r="O157" s="524"/>
      <c r="P157" s="524"/>
      <c r="Q157" s="524"/>
      <c r="R157" s="524"/>
      <c r="S157" s="524"/>
      <c r="T157" s="524"/>
      <c r="U157" s="524"/>
      <c r="V157" s="524"/>
      <c r="W157" s="524"/>
      <c r="X157" s="524"/>
      <c r="Y157" s="524"/>
      <c r="Z157" s="524"/>
      <c r="AA157" s="524"/>
      <c r="AB157" s="524"/>
      <c r="AC157" s="524"/>
      <c r="AD157" s="524"/>
      <c r="AE157" s="524"/>
      <c r="AF157" s="524"/>
      <c r="AG157" s="524"/>
      <c r="AH157" s="524"/>
      <c r="AI157" s="524"/>
      <c r="AJ157" s="524"/>
      <c r="AK157" s="524"/>
      <c r="AL157" s="524"/>
      <c r="AM157" s="524"/>
      <c r="AN157" s="524"/>
      <c r="AO157" s="524"/>
      <c r="AP157" s="524"/>
      <c r="AQ157" s="524"/>
      <c r="AR157" s="524"/>
      <c r="AS157" s="524"/>
    </row>
    <row r="158" spans="2:45">
      <c r="B158" s="524"/>
      <c r="C158" s="524"/>
      <c r="D158" s="524"/>
      <c r="E158" s="524"/>
      <c r="F158" s="524"/>
      <c r="G158" s="524"/>
      <c r="H158" s="524"/>
      <c r="I158" s="524"/>
      <c r="J158" s="524"/>
      <c r="K158" s="524"/>
      <c r="L158" s="524"/>
      <c r="M158" s="524"/>
      <c r="N158" s="524"/>
      <c r="O158" s="524"/>
      <c r="P158" s="524"/>
      <c r="Q158" s="524"/>
      <c r="R158" s="524"/>
      <c r="S158" s="524"/>
      <c r="T158" s="524"/>
      <c r="U158" s="524"/>
      <c r="V158" s="524"/>
      <c r="W158" s="524"/>
      <c r="X158" s="524"/>
      <c r="Y158" s="524"/>
      <c r="Z158" s="524"/>
      <c r="AA158" s="524"/>
      <c r="AB158" s="524"/>
      <c r="AC158" s="524"/>
      <c r="AD158" s="524"/>
      <c r="AE158" s="524"/>
      <c r="AF158" s="524"/>
      <c r="AG158" s="524"/>
      <c r="AH158" s="524"/>
      <c r="AI158" s="524"/>
      <c r="AJ158" s="524"/>
      <c r="AK158" s="524"/>
      <c r="AL158" s="524"/>
      <c r="AM158" s="524"/>
      <c r="AN158" s="524"/>
      <c r="AO158" s="524"/>
      <c r="AP158" s="524"/>
      <c r="AQ158" s="524"/>
      <c r="AR158" s="524"/>
      <c r="AS158" s="524"/>
    </row>
    <row r="159" spans="2:45">
      <c r="B159" s="524"/>
      <c r="C159" s="524"/>
      <c r="D159" s="524"/>
      <c r="E159" s="524"/>
      <c r="F159" s="524"/>
      <c r="G159" s="524"/>
      <c r="H159" s="524"/>
      <c r="I159" s="524"/>
      <c r="J159" s="524"/>
      <c r="K159" s="524"/>
      <c r="L159" s="524"/>
      <c r="M159" s="524"/>
      <c r="N159" s="524"/>
      <c r="O159" s="524"/>
      <c r="P159" s="524"/>
      <c r="Q159" s="524"/>
      <c r="R159" s="524"/>
      <c r="S159" s="524"/>
      <c r="T159" s="524"/>
      <c r="U159" s="524"/>
      <c r="V159" s="524"/>
      <c r="W159" s="524"/>
      <c r="X159" s="524"/>
      <c r="Y159" s="524"/>
      <c r="Z159" s="524"/>
      <c r="AA159" s="524"/>
      <c r="AB159" s="524"/>
      <c r="AC159" s="524"/>
      <c r="AD159" s="524"/>
      <c r="AE159" s="524"/>
      <c r="AF159" s="524"/>
      <c r="AG159" s="524"/>
      <c r="AH159" s="524"/>
      <c r="AI159" s="524"/>
      <c r="AJ159" s="524"/>
      <c r="AK159" s="524"/>
      <c r="AL159" s="524"/>
      <c r="AM159" s="524"/>
      <c r="AN159" s="524"/>
      <c r="AO159" s="524"/>
      <c r="AP159" s="524"/>
      <c r="AQ159" s="524"/>
      <c r="AR159" s="524"/>
      <c r="AS159" s="524"/>
    </row>
    <row r="160" spans="2:45">
      <c r="B160" s="524"/>
      <c r="C160" s="524"/>
      <c r="D160" s="524"/>
      <c r="E160" s="524"/>
      <c r="F160" s="524"/>
      <c r="G160" s="524"/>
      <c r="H160" s="524"/>
      <c r="I160" s="524"/>
      <c r="J160" s="524"/>
      <c r="K160" s="524"/>
      <c r="L160" s="524"/>
      <c r="M160" s="524"/>
      <c r="N160" s="524"/>
      <c r="O160" s="524"/>
      <c r="P160" s="524"/>
      <c r="Q160" s="524"/>
      <c r="R160" s="524"/>
      <c r="S160" s="524"/>
      <c r="T160" s="524"/>
      <c r="U160" s="524"/>
      <c r="V160" s="524"/>
      <c r="W160" s="524"/>
      <c r="X160" s="524"/>
      <c r="Y160" s="524"/>
      <c r="Z160" s="524"/>
      <c r="AA160" s="524"/>
      <c r="AB160" s="524"/>
      <c r="AC160" s="524"/>
      <c r="AD160" s="524"/>
      <c r="AE160" s="524"/>
      <c r="AF160" s="524"/>
      <c r="AG160" s="524"/>
      <c r="AH160" s="524"/>
      <c r="AI160" s="524"/>
      <c r="AJ160" s="524"/>
      <c r="AK160" s="524"/>
      <c r="AL160" s="524"/>
      <c r="AM160" s="524"/>
      <c r="AN160" s="524"/>
      <c r="AO160" s="524"/>
      <c r="AP160" s="524"/>
      <c r="AQ160" s="524"/>
      <c r="AR160" s="524"/>
      <c r="AS160" s="524"/>
    </row>
    <row r="161" spans="2:45">
      <c r="B161" s="524"/>
      <c r="C161" s="524"/>
      <c r="D161" s="524"/>
      <c r="E161" s="524"/>
      <c r="F161" s="524"/>
      <c r="G161" s="524"/>
      <c r="H161" s="524"/>
      <c r="I161" s="524"/>
      <c r="J161" s="524"/>
      <c r="K161" s="524"/>
      <c r="L161" s="524"/>
      <c r="M161" s="524"/>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c r="AQ161" s="524"/>
      <c r="AR161" s="524"/>
      <c r="AS161" s="524"/>
    </row>
    <row r="162" spans="2:45">
      <c r="B162" s="524"/>
      <c r="C162" s="524"/>
      <c r="D162" s="524"/>
      <c r="E162" s="524"/>
      <c r="F162" s="524"/>
      <c r="G162" s="524"/>
      <c r="H162" s="524"/>
      <c r="I162" s="524"/>
      <c r="J162" s="524"/>
      <c r="K162" s="524"/>
      <c r="L162" s="524"/>
      <c r="M162" s="524"/>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c r="AQ162" s="524"/>
      <c r="AR162" s="524"/>
      <c r="AS162" s="524"/>
    </row>
    <row r="163" spans="2:45">
      <c r="B163" s="524"/>
      <c r="C163" s="524"/>
      <c r="D163" s="524"/>
      <c r="E163" s="524"/>
      <c r="F163" s="524"/>
      <c r="G163" s="524"/>
      <c r="H163" s="524"/>
      <c r="I163" s="524"/>
      <c r="J163" s="524"/>
      <c r="K163" s="524"/>
      <c r="L163" s="524"/>
      <c r="M163" s="524"/>
      <c r="N163" s="524"/>
      <c r="O163" s="524"/>
      <c r="P163" s="524"/>
      <c r="Q163" s="524"/>
      <c r="R163" s="524"/>
      <c r="S163" s="524"/>
      <c r="T163" s="524"/>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c r="AP163" s="524"/>
      <c r="AQ163" s="524"/>
      <c r="AR163" s="524"/>
      <c r="AS163" s="524"/>
    </row>
    <row r="164" spans="2:45">
      <c r="B164" s="524"/>
      <c r="C164" s="524"/>
      <c r="D164" s="524"/>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C164" s="524"/>
      <c r="AD164" s="524"/>
      <c r="AE164" s="524"/>
      <c r="AF164" s="524"/>
      <c r="AG164" s="524"/>
      <c r="AH164" s="524"/>
      <c r="AI164" s="524"/>
      <c r="AJ164" s="524"/>
      <c r="AK164" s="524"/>
      <c r="AL164" s="524"/>
      <c r="AM164" s="524"/>
      <c r="AN164" s="524"/>
      <c r="AO164" s="524"/>
      <c r="AP164" s="524"/>
      <c r="AQ164" s="524"/>
      <c r="AR164" s="524"/>
      <c r="AS164" s="524"/>
    </row>
    <row r="165" spans="2:45">
      <c r="B165" s="524"/>
      <c r="C165" s="524"/>
      <c r="D165" s="524"/>
      <c r="E165" s="524"/>
      <c r="F165" s="524"/>
      <c r="G165" s="524"/>
      <c r="H165" s="524"/>
      <c r="I165" s="524"/>
      <c r="J165" s="524"/>
      <c r="K165" s="524"/>
      <c r="L165" s="524"/>
      <c r="M165" s="524"/>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c r="AP165" s="524"/>
      <c r="AQ165" s="524"/>
      <c r="AR165" s="524"/>
      <c r="AS165" s="524"/>
    </row>
    <row r="166" spans="2:45">
      <c r="B166" s="524"/>
      <c r="C166" s="524"/>
      <c r="D166" s="524"/>
      <c r="E166" s="524"/>
      <c r="F166" s="524"/>
      <c r="G166" s="524"/>
      <c r="H166" s="524"/>
      <c r="I166" s="524"/>
      <c r="J166" s="524"/>
      <c r="K166" s="524"/>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c r="AQ166" s="524"/>
      <c r="AR166" s="524"/>
      <c r="AS166" s="524"/>
    </row>
    <row r="167" spans="2:45">
      <c r="B167" s="524"/>
      <c r="C167" s="524"/>
      <c r="D167" s="524"/>
      <c r="E167" s="524"/>
      <c r="F167" s="524"/>
      <c r="G167" s="524"/>
      <c r="H167" s="524"/>
      <c r="I167" s="524"/>
      <c r="J167" s="524"/>
      <c r="K167" s="524"/>
      <c r="L167" s="524"/>
      <c r="M167" s="524"/>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4"/>
      <c r="AI167" s="524"/>
      <c r="AJ167" s="524"/>
      <c r="AK167" s="524"/>
      <c r="AL167" s="524"/>
      <c r="AM167" s="524"/>
      <c r="AN167" s="524"/>
      <c r="AO167" s="524"/>
      <c r="AP167" s="524"/>
      <c r="AQ167" s="524"/>
      <c r="AR167" s="524"/>
      <c r="AS167" s="524"/>
    </row>
    <row r="168" spans="2:45">
      <c r="B168" s="524"/>
      <c r="C168" s="524"/>
      <c r="D168" s="524"/>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524"/>
      <c r="AD168" s="524"/>
      <c r="AE168" s="524"/>
      <c r="AF168" s="524"/>
      <c r="AG168" s="524"/>
      <c r="AH168" s="524"/>
      <c r="AI168" s="524"/>
      <c r="AJ168" s="524"/>
      <c r="AK168" s="524"/>
      <c r="AL168" s="524"/>
      <c r="AM168" s="524"/>
      <c r="AN168" s="524"/>
      <c r="AO168" s="524"/>
      <c r="AP168" s="524"/>
      <c r="AQ168" s="524"/>
      <c r="AR168" s="524"/>
      <c r="AS168" s="524"/>
    </row>
    <row r="169" spans="2:45">
      <c r="B169" s="524"/>
      <c r="C169" s="524"/>
      <c r="D169" s="524"/>
      <c r="E169" s="524"/>
      <c r="F169" s="524"/>
      <c r="G169" s="524"/>
      <c r="H169" s="524"/>
      <c r="I169" s="524"/>
      <c r="J169" s="524"/>
      <c r="K169" s="524"/>
      <c r="L169" s="524"/>
      <c r="M169" s="524"/>
      <c r="N169" s="524"/>
      <c r="O169" s="524"/>
      <c r="P169" s="524"/>
      <c r="Q169" s="524"/>
      <c r="R169" s="524"/>
      <c r="S169" s="524"/>
      <c r="T169" s="524"/>
      <c r="U169" s="524"/>
      <c r="V169" s="524"/>
      <c r="W169" s="524"/>
      <c r="X169" s="524"/>
      <c r="Y169" s="524"/>
      <c r="Z169" s="524"/>
      <c r="AA169" s="524"/>
      <c r="AB169" s="524"/>
      <c r="AC169" s="524"/>
      <c r="AD169" s="524"/>
      <c r="AE169" s="524"/>
      <c r="AF169" s="524"/>
      <c r="AG169" s="524"/>
      <c r="AH169" s="524"/>
      <c r="AI169" s="524"/>
      <c r="AJ169" s="524"/>
      <c r="AK169" s="524"/>
      <c r="AL169" s="524"/>
      <c r="AM169" s="524"/>
      <c r="AN169" s="524"/>
      <c r="AO169" s="524"/>
      <c r="AP169" s="524"/>
      <c r="AQ169" s="524"/>
      <c r="AR169" s="524"/>
      <c r="AS169" s="524"/>
    </row>
    <row r="170" spans="2:45">
      <c r="B170" s="524"/>
      <c r="C170" s="524"/>
      <c r="D170" s="524"/>
      <c r="E170" s="524"/>
      <c r="F170" s="524"/>
      <c r="G170" s="524"/>
      <c r="H170" s="524"/>
      <c r="I170" s="524"/>
      <c r="J170" s="524"/>
      <c r="K170" s="524"/>
      <c r="L170" s="524"/>
      <c r="M170" s="524"/>
      <c r="N170" s="524"/>
      <c r="O170" s="524"/>
      <c r="P170" s="524"/>
      <c r="Q170" s="524"/>
      <c r="R170" s="524"/>
      <c r="S170" s="524"/>
      <c r="T170" s="524"/>
      <c r="U170" s="524"/>
      <c r="V170" s="524"/>
      <c r="W170" s="524"/>
      <c r="X170" s="524"/>
      <c r="Y170" s="524"/>
      <c r="Z170" s="524"/>
      <c r="AA170" s="524"/>
      <c r="AB170" s="524"/>
      <c r="AC170" s="524"/>
      <c r="AD170" s="524"/>
      <c r="AE170" s="524"/>
      <c r="AF170" s="524"/>
      <c r="AG170" s="524"/>
      <c r="AH170" s="524"/>
      <c r="AI170" s="524"/>
      <c r="AJ170" s="524"/>
      <c r="AK170" s="524"/>
      <c r="AL170" s="524"/>
      <c r="AM170" s="524"/>
      <c r="AN170" s="524"/>
      <c r="AO170" s="524"/>
      <c r="AP170" s="524"/>
      <c r="AQ170" s="524"/>
      <c r="AR170" s="524"/>
      <c r="AS170" s="524"/>
    </row>
    <row r="171" spans="2:45">
      <c r="B171" s="524"/>
      <c r="C171" s="524"/>
      <c r="D171" s="524"/>
      <c r="E171" s="524"/>
      <c r="F171" s="524"/>
      <c r="G171" s="524"/>
      <c r="H171" s="524"/>
      <c r="I171" s="524"/>
      <c r="J171" s="524"/>
      <c r="K171" s="524"/>
      <c r="L171" s="524"/>
      <c r="M171" s="524"/>
      <c r="N171" s="524"/>
      <c r="O171" s="524"/>
      <c r="P171" s="524"/>
      <c r="Q171" s="524"/>
      <c r="R171" s="524"/>
      <c r="S171" s="524"/>
      <c r="T171" s="524"/>
      <c r="U171" s="524"/>
      <c r="V171" s="524"/>
      <c r="W171" s="524"/>
      <c r="X171" s="524"/>
      <c r="Y171" s="524"/>
      <c r="Z171" s="524"/>
      <c r="AA171" s="524"/>
      <c r="AB171" s="524"/>
      <c r="AC171" s="524"/>
      <c r="AD171" s="524"/>
      <c r="AE171" s="524"/>
      <c r="AF171" s="524"/>
      <c r="AG171" s="524"/>
      <c r="AH171" s="524"/>
      <c r="AI171" s="524"/>
      <c r="AJ171" s="524"/>
      <c r="AK171" s="524"/>
      <c r="AL171" s="524"/>
      <c r="AM171" s="524"/>
      <c r="AN171" s="524"/>
      <c r="AO171" s="524"/>
      <c r="AP171" s="524"/>
      <c r="AQ171" s="524"/>
      <c r="AR171" s="524"/>
      <c r="AS171" s="524"/>
    </row>
    <row r="172" spans="2:45">
      <c r="B172" s="524"/>
      <c r="C172" s="524"/>
      <c r="D172" s="524"/>
      <c r="E172" s="524"/>
      <c r="F172" s="524"/>
      <c r="G172" s="524"/>
      <c r="H172" s="524"/>
      <c r="I172" s="524"/>
      <c r="J172" s="524"/>
      <c r="K172" s="524"/>
      <c r="L172" s="524"/>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c r="AP172" s="524"/>
      <c r="AQ172" s="524"/>
      <c r="AR172" s="524"/>
      <c r="AS172" s="524"/>
    </row>
    <row r="173" spans="2:45">
      <c r="B173" s="524"/>
      <c r="C173" s="524"/>
      <c r="D173" s="524"/>
      <c r="E173" s="524"/>
      <c r="F173" s="524"/>
      <c r="G173" s="524"/>
      <c r="H173" s="524"/>
      <c r="I173" s="524"/>
      <c r="J173" s="524"/>
      <c r="K173" s="524"/>
      <c r="L173" s="524"/>
      <c r="M173" s="524"/>
      <c r="N173" s="524"/>
      <c r="O173" s="524"/>
      <c r="P173" s="524"/>
      <c r="Q173" s="524"/>
      <c r="R173" s="524"/>
      <c r="S173" s="524"/>
      <c r="T173" s="524"/>
      <c r="U173" s="524"/>
      <c r="V173" s="524"/>
      <c r="W173" s="524"/>
      <c r="X173" s="524"/>
      <c r="Y173" s="524"/>
      <c r="Z173" s="524"/>
      <c r="AA173" s="524"/>
      <c r="AB173" s="524"/>
      <c r="AC173" s="524"/>
      <c r="AD173" s="524"/>
      <c r="AE173" s="524"/>
      <c r="AF173" s="524"/>
      <c r="AG173" s="524"/>
      <c r="AH173" s="524"/>
      <c r="AI173" s="524"/>
      <c r="AJ173" s="524"/>
      <c r="AK173" s="524"/>
      <c r="AL173" s="524"/>
      <c r="AM173" s="524"/>
      <c r="AN173" s="524"/>
      <c r="AO173" s="524"/>
      <c r="AP173" s="524"/>
      <c r="AQ173" s="524"/>
      <c r="AR173" s="524"/>
      <c r="AS173" s="524"/>
    </row>
    <row r="174" spans="2:45">
      <c r="B174" s="524"/>
      <c r="C174" s="524"/>
      <c r="D174" s="524"/>
      <c r="E174" s="524"/>
      <c r="F174" s="524"/>
      <c r="G174" s="524"/>
      <c r="H174" s="524"/>
      <c r="I174" s="524"/>
      <c r="J174" s="524"/>
      <c r="K174" s="524"/>
      <c r="L174" s="524"/>
      <c r="M174" s="524"/>
      <c r="N174" s="524"/>
      <c r="O174" s="524"/>
      <c r="P174" s="524"/>
      <c r="Q174" s="524"/>
      <c r="R174" s="524"/>
      <c r="S174" s="524"/>
      <c r="T174" s="524"/>
      <c r="U174" s="524"/>
      <c r="V174" s="524"/>
      <c r="W174" s="524"/>
      <c r="X174" s="524"/>
      <c r="Y174" s="524"/>
      <c r="Z174" s="524"/>
      <c r="AA174" s="524"/>
      <c r="AB174" s="524"/>
      <c r="AC174" s="524"/>
      <c r="AD174" s="524"/>
      <c r="AE174" s="524"/>
      <c r="AF174" s="524"/>
      <c r="AG174" s="524"/>
      <c r="AH174" s="524"/>
      <c r="AI174" s="524"/>
      <c r="AJ174" s="524"/>
      <c r="AK174" s="524"/>
      <c r="AL174" s="524"/>
      <c r="AM174" s="524"/>
      <c r="AN174" s="524"/>
      <c r="AO174" s="524"/>
      <c r="AP174" s="524"/>
      <c r="AQ174" s="524"/>
      <c r="AR174" s="524"/>
      <c r="AS174" s="524"/>
    </row>
    <row r="175" spans="2:45">
      <c r="B175" s="524"/>
      <c r="C175" s="524"/>
      <c r="D175" s="524"/>
      <c r="E175" s="524"/>
      <c r="F175" s="524"/>
      <c r="G175" s="524"/>
      <c r="H175" s="524"/>
      <c r="I175" s="524"/>
      <c r="J175" s="524"/>
      <c r="K175" s="524"/>
      <c r="L175" s="524"/>
      <c r="M175" s="524"/>
      <c r="N175" s="524"/>
      <c r="O175" s="524"/>
      <c r="P175" s="524"/>
      <c r="Q175" s="524"/>
      <c r="R175" s="524"/>
      <c r="S175" s="524"/>
      <c r="T175" s="524"/>
      <c r="U175" s="524"/>
      <c r="V175" s="524"/>
      <c r="W175" s="524"/>
      <c r="X175" s="524"/>
      <c r="Y175" s="524"/>
      <c r="Z175" s="524"/>
      <c r="AA175" s="524"/>
      <c r="AB175" s="524"/>
      <c r="AC175" s="524"/>
      <c r="AD175" s="524"/>
      <c r="AE175" s="524"/>
      <c r="AF175" s="524"/>
      <c r="AG175" s="524"/>
      <c r="AH175" s="524"/>
      <c r="AI175" s="524"/>
      <c r="AJ175" s="524"/>
      <c r="AK175" s="524"/>
      <c r="AL175" s="524"/>
      <c r="AM175" s="524"/>
      <c r="AN175" s="524"/>
      <c r="AO175" s="524"/>
      <c r="AP175" s="524"/>
      <c r="AQ175" s="524"/>
      <c r="AR175" s="524"/>
      <c r="AS175" s="524"/>
    </row>
    <row r="176" spans="2:45">
      <c r="B176" s="524"/>
      <c r="C176" s="524"/>
      <c r="D176" s="524"/>
      <c r="E176" s="524"/>
      <c r="F176" s="524"/>
      <c r="G176" s="524"/>
      <c r="H176" s="524"/>
      <c r="I176" s="524"/>
      <c r="J176" s="524"/>
      <c r="K176" s="524"/>
      <c r="L176" s="524"/>
      <c r="M176" s="524"/>
      <c r="N176" s="524"/>
      <c r="O176" s="524"/>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c r="AP176" s="524"/>
      <c r="AQ176" s="524"/>
      <c r="AR176" s="524"/>
      <c r="AS176" s="524"/>
    </row>
    <row r="177" spans="2:45">
      <c r="B177" s="524"/>
      <c r="C177" s="524"/>
      <c r="D177" s="524"/>
      <c r="E177" s="524"/>
      <c r="F177" s="524"/>
      <c r="G177" s="524"/>
      <c r="H177" s="524"/>
      <c r="I177" s="524"/>
      <c r="J177" s="524"/>
      <c r="K177" s="524"/>
      <c r="L177" s="524"/>
      <c r="M177" s="524"/>
      <c r="N177" s="524"/>
      <c r="O177" s="524"/>
      <c r="P177" s="524"/>
      <c r="Q177" s="524"/>
      <c r="R177" s="524"/>
      <c r="S177" s="524"/>
      <c r="T177" s="524"/>
      <c r="U177" s="524"/>
      <c r="V177" s="524"/>
      <c r="W177" s="524"/>
      <c r="X177" s="524"/>
      <c r="Y177" s="524"/>
      <c r="Z177" s="524"/>
      <c r="AA177" s="524"/>
      <c r="AB177" s="524"/>
      <c r="AC177" s="524"/>
      <c r="AD177" s="524"/>
      <c r="AE177" s="524"/>
      <c r="AF177" s="524"/>
      <c r="AG177" s="524"/>
      <c r="AH177" s="524"/>
      <c r="AI177" s="524"/>
      <c r="AJ177" s="524"/>
      <c r="AK177" s="524"/>
      <c r="AL177" s="524"/>
      <c r="AM177" s="524"/>
      <c r="AN177" s="524"/>
      <c r="AO177" s="524"/>
      <c r="AP177" s="524"/>
      <c r="AQ177" s="524"/>
      <c r="AR177" s="524"/>
      <c r="AS177" s="524"/>
    </row>
    <row r="178" spans="2:45">
      <c r="B178" s="524"/>
      <c r="C178" s="524"/>
      <c r="D178" s="524"/>
      <c r="E178" s="524"/>
      <c r="F178" s="524"/>
      <c r="G178" s="524"/>
      <c r="H178" s="524"/>
      <c r="I178" s="524"/>
      <c r="J178" s="524"/>
      <c r="K178" s="524"/>
      <c r="L178" s="524"/>
      <c r="M178" s="524"/>
      <c r="N178" s="524"/>
      <c r="O178" s="524"/>
      <c r="P178" s="524"/>
      <c r="Q178" s="524"/>
      <c r="R178" s="524"/>
      <c r="S178" s="524"/>
      <c r="T178" s="524"/>
      <c r="U178" s="524"/>
      <c r="V178" s="524"/>
      <c r="W178" s="524"/>
      <c r="X178" s="524"/>
      <c r="Y178" s="524"/>
      <c r="Z178" s="524"/>
      <c r="AA178" s="524"/>
      <c r="AB178" s="524"/>
      <c r="AC178" s="524"/>
      <c r="AD178" s="524"/>
      <c r="AE178" s="524"/>
      <c r="AF178" s="524"/>
      <c r="AG178" s="524"/>
      <c r="AH178" s="524"/>
      <c r="AI178" s="524"/>
      <c r="AJ178" s="524"/>
      <c r="AK178" s="524"/>
      <c r="AL178" s="524"/>
      <c r="AM178" s="524"/>
      <c r="AN178" s="524"/>
      <c r="AO178" s="524"/>
      <c r="AP178" s="524"/>
      <c r="AQ178" s="524"/>
      <c r="AR178" s="524"/>
      <c r="AS178" s="524"/>
    </row>
    <row r="179" spans="2:45">
      <c r="B179" s="524"/>
      <c r="C179" s="524"/>
      <c r="D179" s="524"/>
      <c r="E179" s="524"/>
      <c r="F179" s="524"/>
      <c r="G179" s="524"/>
      <c r="H179" s="524"/>
      <c r="I179" s="524"/>
      <c r="J179" s="524"/>
      <c r="K179" s="524"/>
      <c r="L179" s="524"/>
      <c r="M179" s="524"/>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c r="AP179" s="524"/>
      <c r="AQ179" s="524"/>
      <c r="AR179" s="524"/>
      <c r="AS179" s="524"/>
    </row>
    <row r="180" spans="2:45">
      <c r="B180" s="524"/>
      <c r="C180" s="524"/>
      <c r="D180" s="524"/>
      <c r="E180" s="524"/>
      <c r="F180" s="524"/>
      <c r="G180" s="524"/>
      <c r="H180" s="524"/>
      <c r="I180" s="524"/>
      <c r="J180" s="524"/>
      <c r="K180" s="524"/>
      <c r="L180" s="524"/>
      <c r="M180" s="524"/>
      <c r="N180" s="524"/>
      <c r="O180" s="524"/>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c r="AP180" s="524"/>
      <c r="AQ180" s="524"/>
      <c r="AR180" s="524"/>
      <c r="AS180" s="524"/>
    </row>
    <row r="181" spans="2:45">
      <c r="B181" s="524"/>
      <c r="C181" s="524"/>
      <c r="D181" s="524"/>
      <c r="E181" s="524"/>
      <c r="F181" s="524"/>
      <c r="G181" s="524"/>
      <c r="H181" s="524"/>
      <c r="I181" s="524"/>
      <c r="J181" s="524"/>
      <c r="K181" s="524"/>
      <c r="L181" s="524"/>
      <c r="M181" s="524"/>
      <c r="N181" s="524"/>
      <c r="O181" s="524"/>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4"/>
      <c r="AK181" s="524"/>
      <c r="AL181" s="524"/>
      <c r="AM181" s="524"/>
      <c r="AN181" s="524"/>
      <c r="AO181" s="524"/>
      <c r="AP181" s="524"/>
      <c r="AQ181" s="524"/>
      <c r="AR181" s="524"/>
      <c r="AS181" s="524"/>
    </row>
    <row r="182" spans="2:45">
      <c r="B182" s="524"/>
      <c r="C182" s="524"/>
      <c r="D182" s="524"/>
      <c r="E182" s="524"/>
      <c r="F182" s="524"/>
      <c r="G182" s="524"/>
      <c r="H182" s="524"/>
      <c r="I182" s="524"/>
      <c r="J182" s="524"/>
      <c r="K182" s="524"/>
      <c r="L182" s="524"/>
      <c r="M182" s="524"/>
      <c r="N182" s="524"/>
      <c r="O182" s="524"/>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4"/>
      <c r="AK182" s="524"/>
      <c r="AL182" s="524"/>
      <c r="AM182" s="524"/>
      <c r="AN182" s="524"/>
      <c r="AO182" s="524"/>
      <c r="AP182" s="524"/>
      <c r="AQ182" s="524"/>
      <c r="AR182" s="524"/>
      <c r="AS182" s="524"/>
    </row>
    <row r="183" spans="2:45">
      <c r="B183" s="524"/>
      <c r="C183" s="524"/>
      <c r="D183" s="524"/>
      <c r="E183" s="524"/>
      <c r="F183" s="524"/>
      <c r="G183" s="524"/>
      <c r="H183" s="524"/>
      <c r="I183" s="524"/>
      <c r="J183" s="524"/>
      <c r="K183" s="524"/>
      <c r="L183" s="524"/>
      <c r="M183" s="524"/>
      <c r="N183" s="524"/>
      <c r="O183" s="524"/>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4"/>
      <c r="AK183" s="524"/>
      <c r="AL183" s="524"/>
      <c r="AM183" s="524"/>
      <c r="AN183" s="524"/>
      <c r="AO183" s="524"/>
      <c r="AP183" s="524"/>
      <c r="AQ183" s="524"/>
      <c r="AR183" s="524"/>
      <c r="AS183" s="524"/>
    </row>
    <row r="184" spans="2:45">
      <c r="B184" s="524"/>
      <c r="C184" s="524"/>
      <c r="D184" s="524"/>
      <c r="E184" s="524"/>
      <c r="F184" s="524"/>
      <c r="G184" s="524"/>
      <c r="H184" s="524"/>
      <c r="I184" s="524"/>
      <c r="J184" s="524"/>
      <c r="K184" s="524"/>
      <c r="L184" s="524"/>
      <c r="M184" s="524"/>
      <c r="N184" s="524"/>
      <c r="O184" s="524"/>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4"/>
      <c r="AK184" s="524"/>
      <c r="AL184" s="524"/>
      <c r="AM184" s="524"/>
      <c r="AN184" s="524"/>
      <c r="AO184" s="524"/>
      <c r="AP184" s="524"/>
      <c r="AQ184" s="524"/>
      <c r="AR184" s="524"/>
      <c r="AS184" s="524"/>
    </row>
    <row r="185" spans="2:45">
      <c r="B185" s="524"/>
      <c r="C185" s="524"/>
      <c r="D185" s="524"/>
      <c r="E185" s="524"/>
      <c r="F185" s="524"/>
      <c r="G185" s="524"/>
      <c r="H185" s="524"/>
      <c r="I185" s="524"/>
      <c r="J185" s="524"/>
      <c r="K185" s="524"/>
      <c r="L185" s="524"/>
      <c r="M185" s="524"/>
      <c r="N185" s="524"/>
      <c r="O185" s="524"/>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4"/>
      <c r="AK185" s="524"/>
      <c r="AL185" s="524"/>
      <c r="AM185" s="524"/>
      <c r="AN185" s="524"/>
      <c r="AO185" s="524"/>
      <c r="AP185" s="524"/>
      <c r="AQ185" s="524"/>
      <c r="AR185" s="524"/>
      <c r="AS185" s="524"/>
    </row>
    <row r="186" spans="2:45">
      <c r="B186" s="524"/>
      <c r="C186" s="524"/>
      <c r="D186" s="524"/>
      <c r="E186" s="524"/>
      <c r="F186" s="524"/>
      <c r="G186" s="524"/>
      <c r="H186" s="524"/>
      <c r="I186" s="524"/>
      <c r="J186" s="524"/>
      <c r="K186" s="524"/>
      <c r="L186" s="524"/>
      <c r="M186" s="524"/>
      <c r="N186" s="524"/>
      <c r="O186" s="524"/>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c r="AP186" s="524"/>
      <c r="AQ186" s="524"/>
      <c r="AR186" s="524"/>
      <c r="AS186" s="524"/>
    </row>
    <row r="187" spans="2:45">
      <c r="B187" s="524"/>
      <c r="C187" s="524"/>
      <c r="D187" s="524"/>
      <c r="E187" s="524"/>
      <c r="F187" s="524"/>
      <c r="G187" s="524"/>
      <c r="H187" s="524"/>
      <c r="I187" s="524"/>
      <c r="J187" s="524"/>
      <c r="K187" s="524"/>
      <c r="L187" s="524"/>
      <c r="M187" s="524"/>
      <c r="N187" s="524"/>
      <c r="O187" s="52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c r="AP187" s="524"/>
      <c r="AQ187" s="524"/>
      <c r="AR187" s="524"/>
      <c r="AS187" s="524"/>
    </row>
    <row r="188" spans="2:45">
      <c r="B188" s="524"/>
      <c r="C188" s="524"/>
      <c r="D188" s="524"/>
      <c r="E188" s="524"/>
      <c r="F188" s="524"/>
      <c r="G188" s="524"/>
      <c r="H188" s="524"/>
      <c r="I188" s="524"/>
      <c r="J188" s="524"/>
      <c r="K188" s="524"/>
      <c r="L188" s="524"/>
      <c r="M188" s="524"/>
      <c r="N188" s="524"/>
      <c r="O188" s="524"/>
      <c r="P188" s="524"/>
      <c r="Q188" s="524"/>
      <c r="R188" s="524"/>
      <c r="S188" s="524"/>
      <c r="T188" s="524"/>
      <c r="U188" s="524"/>
      <c r="V188" s="524"/>
      <c r="W188" s="524"/>
      <c r="X188" s="524"/>
      <c r="Y188" s="524"/>
      <c r="Z188" s="524"/>
      <c r="AA188" s="524"/>
      <c r="AB188" s="524"/>
      <c r="AC188" s="524"/>
      <c r="AD188" s="524"/>
      <c r="AE188" s="524"/>
      <c r="AF188" s="524"/>
      <c r="AG188" s="524"/>
      <c r="AH188" s="524"/>
      <c r="AI188" s="524"/>
      <c r="AJ188" s="524"/>
      <c r="AK188" s="524"/>
      <c r="AL188" s="524"/>
      <c r="AM188" s="524"/>
      <c r="AN188" s="524"/>
      <c r="AO188" s="524"/>
      <c r="AP188" s="524"/>
      <c r="AQ188" s="524"/>
      <c r="AR188" s="524"/>
      <c r="AS188" s="524"/>
    </row>
    <row r="189" spans="2:45">
      <c r="B189" s="524"/>
      <c r="C189" s="524"/>
      <c r="D189" s="524"/>
      <c r="E189" s="524"/>
      <c r="F189" s="524"/>
      <c r="G189" s="524"/>
      <c r="H189" s="524"/>
      <c r="I189" s="524"/>
      <c r="J189" s="524"/>
      <c r="K189" s="524"/>
      <c r="L189" s="524"/>
      <c r="M189" s="524"/>
      <c r="N189" s="524"/>
      <c r="O189" s="524"/>
      <c r="P189" s="524"/>
      <c r="Q189" s="524"/>
      <c r="R189" s="524"/>
      <c r="S189" s="524"/>
      <c r="T189" s="524"/>
      <c r="U189" s="524"/>
      <c r="V189" s="524"/>
      <c r="W189" s="524"/>
      <c r="X189" s="524"/>
      <c r="Y189" s="524"/>
      <c r="Z189" s="524"/>
      <c r="AA189" s="524"/>
      <c r="AB189" s="524"/>
      <c r="AC189" s="524"/>
      <c r="AD189" s="524"/>
      <c r="AE189" s="524"/>
      <c r="AF189" s="524"/>
      <c r="AG189" s="524"/>
      <c r="AH189" s="524"/>
      <c r="AI189" s="524"/>
      <c r="AJ189" s="524"/>
      <c r="AK189" s="524"/>
      <c r="AL189" s="524"/>
      <c r="AM189" s="524"/>
      <c r="AN189" s="524"/>
      <c r="AO189" s="524"/>
      <c r="AP189" s="524"/>
      <c r="AQ189" s="524"/>
      <c r="AR189" s="524"/>
      <c r="AS189" s="524"/>
    </row>
    <row r="190" spans="2:45">
      <c r="B190" s="524"/>
      <c r="C190" s="524"/>
      <c r="D190" s="524"/>
      <c r="E190" s="524"/>
      <c r="F190" s="524"/>
      <c r="G190" s="524"/>
      <c r="H190" s="524"/>
      <c r="I190" s="524"/>
      <c r="J190" s="524"/>
      <c r="K190" s="524"/>
      <c r="L190" s="524"/>
      <c r="M190" s="524"/>
      <c r="N190" s="524"/>
      <c r="O190" s="524"/>
      <c r="P190" s="524"/>
      <c r="Q190" s="524"/>
      <c r="R190" s="524"/>
      <c r="S190" s="524"/>
      <c r="T190" s="524"/>
      <c r="U190" s="524"/>
      <c r="V190" s="524"/>
      <c r="W190" s="524"/>
      <c r="X190" s="524"/>
      <c r="Y190" s="524"/>
      <c r="Z190" s="524"/>
      <c r="AA190" s="524"/>
      <c r="AB190" s="524"/>
      <c r="AC190" s="524"/>
      <c r="AD190" s="524"/>
      <c r="AE190" s="524"/>
      <c r="AF190" s="524"/>
      <c r="AG190" s="524"/>
      <c r="AH190" s="524"/>
      <c r="AI190" s="524"/>
      <c r="AJ190" s="524"/>
      <c r="AK190" s="524"/>
      <c r="AL190" s="524"/>
      <c r="AM190" s="524"/>
      <c r="AN190" s="524"/>
      <c r="AO190" s="524"/>
      <c r="AP190" s="524"/>
      <c r="AQ190" s="524"/>
      <c r="AR190" s="524"/>
      <c r="AS190" s="524"/>
    </row>
    <row r="191" spans="2:45">
      <c r="B191" s="524"/>
      <c r="C191" s="524"/>
      <c r="D191" s="524"/>
      <c r="E191" s="524"/>
      <c r="F191" s="524"/>
      <c r="G191" s="524"/>
      <c r="H191" s="524"/>
      <c r="I191" s="524"/>
      <c r="J191" s="524"/>
      <c r="K191" s="524"/>
      <c r="L191" s="524"/>
      <c r="M191" s="524"/>
      <c r="N191" s="524"/>
      <c r="O191" s="524"/>
      <c r="P191" s="524"/>
      <c r="Q191" s="524"/>
      <c r="R191" s="524"/>
      <c r="S191" s="524"/>
      <c r="T191" s="524"/>
      <c r="U191" s="524"/>
      <c r="V191" s="524"/>
      <c r="W191" s="524"/>
      <c r="X191" s="524"/>
      <c r="Y191" s="524"/>
      <c r="Z191" s="524"/>
      <c r="AA191" s="524"/>
      <c r="AB191" s="524"/>
      <c r="AC191" s="524"/>
      <c r="AD191" s="524"/>
      <c r="AE191" s="524"/>
      <c r="AF191" s="524"/>
      <c r="AG191" s="524"/>
      <c r="AH191" s="524"/>
      <c r="AI191" s="524"/>
      <c r="AJ191" s="524"/>
      <c r="AK191" s="524"/>
      <c r="AL191" s="524"/>
      <c r="AM191" s="524"/>
      <c r="AN191" s="524"/>
      <c r="AO191" s="524"/>
      <c r="AP191" s="524"/>
      <c r="AQ191" s="524"/>
      <c r="AR191" s="524"/>
      <c r="AS191" s="524"/>
    </row>
    <row r="192" spans="2:45">
      <c r="B192" s="524"/>
      <c r="C192" s="524"/>
      <c r="D192" s="524"/>
      <c r="E192" s="524"/>
      <c r="F192" s="524"/>
      <c r="G192" s="524"/>
      <c r="H192" s="524"/>
      <c r="I192" s="524"/>
      <c r="J192" s="524"/>
      <c r="K192" s="524"/>
      <c r="L192" s="524"/>
      <c r="M192" s="524"/>
      <c r="N192" s="524"/>
      <c r="O192" s="524"/>
      <c r="P192" s="524"/>
      <c r="Q192" s="524"/>
      <c r="R192" s="524"/>
      <c r="S192" s="524"/>
      <c r="T192" s="524"/>
      <c r="U192" s="524"/>
      <c r="V192" s="524"/>
      <c r="W192" s="524"/>
      <c r="X192" s="524"/>
      <c r="Y192" s="524"/>
      <c r="Z192" s="524"/>
      <c r="AA192" s="524"/>
      <c r="AB192" s="524"/>
      <c r="AC192" s="524"/>
      <c r="AD192" s="524"/>
      <c r="AE192" s="524"/>
      <c r="AF192" s="524"/>
      <c r="AG192" s="524"/>
      <c r="AH192" s="524"/>
      <c r="AI192" s="524"/>
      <c r="AJ192" s="524"/>
      <c r="AK192" s="524"/>
      <c r="AL192" s="524"/>
      <c r="AM192" s="524"/>
      <c r="AN192" s="524"/>
      <c r="AO192" s="524"/>
      <c r="AP192" s="524"/>
      <c r="AQ192" s="524"/>
      <c r="AR192" s="524"/>
      <c r="AS192" s="524"/>
    </row>
    <row r="193" spans="2:45">
      <c r="B193" s="524"/>
      <c r="C193" s="524"/>
      <c r="D193" s="524"/>
      <c r="E193" s="524"/>
      <c r="F193" s="524"/>
      <c r="G193" s="524"/>
      <c r="H193" s="524"/>
      <c r="I193" s="524"/>
      <c r="J193" s="524"/>
      <c r="K193" s="524"/>
      <c r="L193" s="524"/>
      <c r="M193" s="524"/>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c r="AP193" s="524"/>
      <c r="AQ193" s="524"/>
      <c r="AR193" s="524"/>
      <c r="AS193" s="524"/>
    </row>
    <row r="194" spans="2:45">
      <c r="B194" s="524"/>
      <c r="C194" s="524"/>
      <c r="D194" s="524"/>
      <c r="E194" s="524"/>
      <c r="F194" s="524"/>
      <c r="G194" s="524"/>
      <c r="H194" s="524"/>
      <c r="I194" s="524"/>
      <c r="J194" s="524"/>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c r="AQ194" s="524"/>
      <c r="AR194" s="524"/>
      <c r="AS194" s="524"/>
    </row>
    <row r="195" spans="2:45">
      <c r="B195" s="524"/>
      <c r="C195" s="524"/>
      <c r="D195" s="524"/>
      <c r="E195" s="524"/>
      <c r="F195" s="524"/>
      <c r="G195" s="524"/>
      <c r="H195" s="524"/>
      <c r="I195" s="524"/>
      <c r="J195" s="524"/>
      <c r="K195" s="524"/>
      <c r="L195" s="524"/>
      <c r="M195" s="524"/>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4"/>
      <c r="AK195" s="524"/>
      <c r="AL195" s="524"/>
      <c r="AM195" s="524"/>
      <c r="AN195" s="524"/>
      <c r="AO195" s="524"/>
      <c r="AP195" s="524"/>
      <c r="AQ195" s="524"/>
      <c r="AR195" s="524"/>
      <c r="AS195" s="524"/>
    </row>
    <row r="196" spans="2:45">
      <c r="B196" s="524"/>
      <c r="C196" s="524"/>
      <c r="D196" s="524"/>
      <c r="E196" s="524"/>
      <c r="F196" s="524"/>
      <c r="G196" s="524"/>
      <c r="H196" s="524"/>
      <c r="I196" s="524"/>
      <c r="J196" s="524"/>
      <c r="K196" s="524"/>
      <c r="L196" s="524"/>
      <c r="M196" s="524"/>
      <c r="N196" s="524"/>
      <c r="O196" s="524"/>
      <c r="P196" s="524"/>
      <c r="Q196" s="524"/>
      <c r="R196" s="524"/>
      <c r="S196" s="524"/>
      <c r="T196" s="524"/>
      <c r="U196" s="524"/>
      <c r="V196" s="524"/>
      <c r="W196" s="524"/>
      <c r="X196" s="524"/>
      <c r="Y196" s="524"/>
      <c r="Z196" s="524"/>
      <c r="AA196" s="524"/>
      <c r="AB196" s="524"/>
      <c r="AC196" s="524"/>
      <c r="AD196" s="524"/>
      <c r="AE196" s="524"/>
      <c r="AF196" s="524"/>
      <c r="AG196" s="524"/>
      <c r="AH196" s="524"/>
      <c r="AI196" s="524"/>
      <c r="AJ196" s="524"/>
      <c r="AK196" s="524"/>
      <c r="AL196" s="524"/>
      <c r="AM196" s="524"/>
      <c r="AN196" s="524"/>
      <c r="AO196" s="524"/>
      <c r="AP196" s="524"/>
      <c r="AQ196" s="524"/>
      <c r="AR196" s="524"/>
      <c r="AS196" s="524"/>
    </row>
    <row r="197" spans="2:45">
      <c r="B197" s="524"/>
      <c r="C197" s="524"/>
      <c r="D197" s="524"/>
      <c r="E197" s="524"/>
      <c r="F197" s="524"/>
      <c r="G197" s="524"/>
      <c r="H197" s="524"/>
      <c r="I197" s="524"/>
      <c r="J197" s="524"/>
      <c r="K197" s="524"/>
      <c r="L197" s="524"/>
      <c r="M197" s="524"/>
      <c r="N197" s="524"/>
      <c r="O197" s="524"/>
      <c r="P197" s="524"/>
      <c r="Q197" s="524"/>
      <c r="R197" s="524"/>
      <c r="S197" s="524"/>
      <c r="T197" s="524"/>
      <c r="U197" s="524"/>
      <c r="V197" s="524"/>
      <c r="W197" s="524"/>
      <c r="X197" s="524"/>
      <c r="Y197" s="524"/>
      <c r="Z197" s="524"/>
      <c r="AA197" s="524"/>
      <c r="AB197" s="524"/>
      <c r="AC197" s="524"/>
      <c r="AD197" s="524"/>
      <c r="AE197" s="524"/>
      <c r="AF197" s="524"/>
      <c r="AG197" s="524"/>
      <c r="AH197" s="524"/>
      <c r="AI197" s="524"/>
      <c r="AJ197" s="524"/>
      <c r="AK197" s="524"/>
      <c r="AL197" s="524"/>
      <c r="AM197" s="524"/>
      <c r="AN197" s="524"/>
      <c r="AO197" s="524"/>
      <c r="AP197" s="524"/>
      <c r="AQ197" s="524"/>
      <c r="AR197" s="524"/>
      <c r="AS197" s="524"/>
    </row>
    <row r="198" spans="2:45">
      <c r="B198" s="524"/>
      <c r="C198" s="524"/>
      <c r="D198" s="524"/>
      <c r="E198" s="524"/>
      <c r="F198" s="524"/>
      <c r="G198" s="524"/>
      <c r="H198" s="524"/>
      <c r="I198" s="524"/>
      <c r="J198" s="524"/>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c r="AQ198" s="524"/>
      <c r="AR198" s="524"/>
      <c r="AS198" s="524"/>
    </row>
    <row r="199" spans="2:45">
      <c r="B199" s="524"/>
      <c r="C199" s="524"/>
      <c r="D199" s="524"/>
      <c r="E199" s="524"/>
      <c r="F199" s="524"/>
      <c r="G199" s="524"/>
      <c r="H199" s="524"/>
      <c r="I199" s="524"/>
      <c r="J199" s="524"/>
      <c r="K199" s="524"/>
      <c r="L199" s="524"/>
      <c r="M199" s="524"/>
      <c r="N199" s="524"/>
      <c r="O199" s="524"/>
      <c r="P199" s="524"/>
      <c r="Q199" s="524"/>
      <c r="R199" s="524"/>
      <c r="S199" s="524"/>
      <c r="T199" s="524"/>
      <c r="U199" s="524"/>
      <c r="V199" s="524"/>
      <c r="W199" s="524"/>
      <c r="X199" s="524"/>
      <c r="Y199" s="524"/>
      <c r="Z199" s="524"/>
      <c r="AA199" s="524"/>
      <c r="AB199" s="524"/>
      <c r="AC199" s="524"/>
      <c r="AD199" s="524"/>
      <c r="AE199" s="524"/>
      <c r="AF199" s="524"/>
      <c r="AG199" s="524"/>
      <c r="AH199" s="524"/>
      <c r="AI199" s="524"/>
      <c r="AJ199" s="524"/>
      <c r="AK199" s="524"/>
      <c r="AL199" s="524"/>
      <c r="AM199" s="524"/>
      <c r="AN199" s="524"/>
      <c r="AO199" s="524"/>
      <c r="AP199" s="524"/>
      <c r="AQ199" s="524"/>
      <c r="AR199" s="524"/>
      <c r="AS199" s="524"/>
    </row>
    <row r="200" spans="2:45">
      <c r="B200" s="524"/>
      <c r="C200" s="524"/>
      <c r="D200" s="524"/>
      <c r="E200" s="524"/>
      <c r="F200" s="524"/>
      <c r="G200" s="524"/>
      <c r="H200" s="524"/>
      <c r="I200" s="524"/>
      <c r="J200" s="524"/>
      <c r="K200" s="524"/>
      <c r="L200" s="524"/>
      <c r="M200" s="524"/>
      <c r="N200" s="524"/>
      <c r="O200" s="524"/>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c r="AP200" s="524"/>
      <c r="AQ200" s="524"/>
      <c r="AR200" s="524"/>
      <c r="AS200" s="524"/>
    </row>
    <row r="201" spans="2:45">
      <c r="B201" s="524"/>
      <c r="C201" s="524"/>
      <c r="D201" s="524"/>
      <c r="E201" s="524"/>
      <c r="F201" s="524"/>
      <c r="G201" s="524"/>
      <c r="H201" s="524"/>
      <c r="I201" s="524"/>
      <c r="J201" s="524"/>
      <c r="K201" s="524"/>
      <c r="L201" s="524"/>
      <c r="M201" s="524"/>
      <c r="N201" s="524"/>
      <c r="O201" s="524"/>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c r="AP201" s="524"/>
      <c r="AQ201" s="524"/>
      <c r="AR201" s="524"/>
      <c r="AS201" s="524"/>
    </row>
    <row r="202" spans="2:45">
      <c r="B202" s="524"/>
      <c r="C202" s="524"/>
      <c r="D202" s="524"/>
      <c r="E202" s="524"/>
      <c r="F202" s="524"/>
      <c r="G202" s="524"/>
      <c r="H202" s="524"/>
      <c r="I202" s="524"/>
      <c r="J202" s="524"/>
      <c r="K202" s="524"/>
      <c r="L202" s="524"/>
      <c r="M202" s="524"/>
      <c r="N202" s="524"/>
      <c r="O202" s="524"/>
      <c r="P202" s="524"/>
      <c r="Q202" s="524"/>
      <c r="R202" s="524"/>
      <c r="S202" s="524"/>
      <c r="T202" s="524"/>
      <c r="U202" s="524"/>
      <c r="V202" s="524"/>
      <c r="W202" s="524"/>
      <c r="X202" s="524"/>
      <c r="Y202" s="524"/>
      <c r="Z202" s="524"/>
      <c r="AA202" s="524"/>
      <c r="AB202" s="524"/>
      <c r="AC202" s="524"/>
      <c r="AD202" s="524"/>
      <c r="AE202" s="524"/>
      <c r="AF202" s="524"/>
      <c r="AG202" s="524"/>
      <c r="AH202" s="524"/>
      <c r="AI202" s="524"/>
      <c r="AJ202" s="524"/>
      <c r="AK202" s="524"/>
      <c r="AL202" s="524"/>
      <c r="AM202" s="524"/>
      <c r="AN202" s="524"/>
      <c r="AO202" s="524"/>
      <c r="AP202" s="524"/>
      <c r="AQ202" s="524"/>
      <c r="AR202" s="524"/>
      <c r="AS202" s="524"/>
    </row>
    <row r="203" spans="2:45">
      <c r="B203" s="524"/>
      <c r="C203" s="524"/>
      <c r="D203" s="524"/>
      <c r="E203" s="524"/>
      <c r="F203" s="524"/>
      <c r="G203" s="524"/>
      <c r="H203" s="524"/>
      <c r="I203" s="524"/>
      <c r="J203" s="524"/>
      <c r="K203" s="524"/>
      <c r="L203" s="524"/>
      <c r="M203" s="524"/>
      <c r="N203" s="524"/>
      <c r="O203" s="524"/>
      <c r="P203" s="524"/>
      <c r="Q203" s="524"/>
      <c r="R203" s="524"/>
      <c r="S203" s="524"/>
      <c r="T203" s="524"/>
      <c r="U203" s="524"/>
      <c r="V203" s="524"/>
      <c r="W203" s="524"/>
      <c r="X203" s="524"/>
      <c r="Y203" s="524"/>
      <c r="Z203" s="524"/>
      <c r="AA203" s="524"/>
      <c r="AB203" s="524"/>
      <c r="AC203" s="524"/>
      <c r="AD203" s="524"/>
      <c r="AE203" s="524"/>
      <c r="AF203" s="524"/>
      <c r="AG203" s="524"/>
      <c r="AH203" s="524"/>
      <c r="AI203" s="524"/>
      <c r="AJ203" s="524"/>
      <c r="AK203" s="524"/>
      <c r="AL203" s="524"/>
      <c r="AM203" s="524"/>
      <c r="AN203" s="524"/>
      <c r="AO203" s="524"/>
      <c r="AP203" s="524"/>
      <c r="AQ203" s="524"/>
      <c r="AR203" s="524"/>
      <c r="AS203" s="524"/>
    </row>
    <row r="204" spans="2:45">
      <c r="B204" s="524"/>
      <c r="C204" s="524"/>
      <c r="D204" s="524"/>
      <c r="E204" s="524"/>
      <c r="F204" s="524"/>
      <c r="G204" s="524"/>
      <c r="H204" s="524"/>
      <c r="I204" s="524"/>
      <c r="J204" s="524"/>
      <c r="K204" s="524"/>
      <c r="L204" s="524"/>
      <c r="M204" s="524"/>
      <c r="N204" s="524"/>
      <c r="O204" s="524"/>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4"/>
      <c r="AN204" s="524"/>
      <c r="AO204" s="524"/>
      <c r="AP204" s="524"/>
      <c r="AQ204" s="524"/>
      <c r="AR204" s="524"/>
      <c r="AS204" s="524"/>
    </row>
    <row r="205" spans="2:45">
      <c r="B205" s="524"/>
      <c r="C205" s="524"/>
      <c r="D205" s="524"/>
      <c r="E205" s="524"/>
      <c r="F205" s="524"/>
      <c r="G205" s="524"/>
      <c r="H205" s="524"/>
      <c r="I205" s="524"/>
      <c r="J205" s="524"/>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row>
    <row r="206" spans="2:45">
      <c r="B206" s="524"/>
      <c r="C206" s="524"/>
      <c r="D206" s="524"/>
      <c r="E206" s="524"/>
      <c r="F206" s="524"/>
      <c r="G206" s="524"/>
      <c r="H206" s="524"/>
      <c r="I206" s="524"/>
      <c r="J206" s="524"/>
      <c r="K206" s="524"/>
      <c r="L206" s="524"/>
      <c r="M206" s="524"/>
      <c r="N206" s="524"/>
      <c r="O206" s="524"/>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c r="AP206" s="524"/>
      <c r="AQ206" s="524"/>
      <c r="AR206" s="524"/>
      <c r="AS206" s="524"/>
    </row>
    <row r="207" spans="2:45">
      <c r="B207" s="524"/>
      <c r="C207" s="524"/>
      <c r="D207" s="524"/>
      <c r="E207" s="524"/>
      <c r="F207" s="524"/>
      <c r="G207" s="524"/>
      <c r="H207" s="524"/>
      <c r="I207" s="524"/>
      <c r="J207" s="524"/>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c r="AQ207" s="524"/>
      <c r="AR207" s="524"/>
      <c r="AS207" s="524"/>
    </row>
    <row r="208" spans="2:45">
      <c r="B208" s="524"/>
      <c r="C208" s="524"/>
      <c r="D208" s="524"/>
      <c r="E208" s="524"/>
      <c r="F208" s="524"/>
      <c r="G208" s="524"/>
      <c r="H208" s="524"/>
      <c r="I208" s="524"/>
      <c r="J208" s="524"/>
      <c r="K208" s="524"/>
      <c r="L208" s="524"/>
      <c r="M208" s="524"/>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c r="AQ208" s="524"/>
      <c r="AR208" s="524"/>
      <c r="AS208" s="524"/>
    </row>
    <row r="209" spans="2:45">
      <c r="B209" s="524"/>
      <c r="C209" s="524"/>
      <c r="D209" s="524"/>
      <c r="E209" s="524"/>
      <c r="F209" s="524"/>
      <c r="G209" s="524"/>
      <c r="H209" s="524"/>
      <c r="I209" s="524"/>
      <c r="J209" s="524"/>
      <c r="K209" s="524"/>
      <c r="L209" s="524"/>
      <c r="M209" s="524"/>
      <c r="N209" s="524"/>
      <c r="O209" s="524"/>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c r="AP209" s="524"/>
      <c r="AQ209" s="524"/>
      <c r="AR209" s="524"/>
      <c r="AS209" s="524"/>
    </row>
    <row r="210" spans="2:45">
      <c r="B210" s="524"/>
      <c r="C210" s="524"/>
      <c r="D210" s="524"/>
      <c r="E210" s="524"/>
      <c r="F210" s="524"/>
      <c r="G210" s="524"/>
      <c r="H210" s="524"/>
      <c r="I210" s="524"/>
      <c r="J210" s="524"/>
      <c r="K210" s="524"/>
      <c r="L210" s="524"/>
      <c r="M210" s="524"/>
      <c r="N210" s="524"/>
      <c r="O210" s="524"/>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c r="AP210" s="524"/>
      <c r="AQ210" s="524"/>
      <c r="AR210" s="524"/>
      <c r="AS210" s="524"/>
    </row>
    <row r="211" spans="2:45">
      <c r="B211" s="524"/>
      <c r="C211" s="524"/>
      <c r="D211" s="524"/>
      <c r="E211" s="524"/>
      <c r="F211" s="524"/>
      <c r="G211" s="524"/>
      <c r="H211" s="524"/>
      <c r="I211" s="524"/>
      <c r="J211" s="524"/>
      <c r="K211" s="524"/>
      <c r="L211" s="524"/>
      <c r="M211" s="524"/>
      <c r="N211" s="524"/>
      <c r="O211" s="524"/>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c r="AP211" s="524"/>
      <c r="AQ211" s="524"/>
      <c r="AR211" s="524"/>
      <c r="AS211" s="524"/>
    </row>
    <row r="212" spans="2:45">
      <c r="B212" s="524"/>
      <c r="C212" s="524"/>
      <c r="D212" s="524"/>
      <c r="E212" s="524"/>
      <c r="F212" s="524"/>
      <c r="G212" s="524"/>
      <c r="H212" s="524"/>
      <c r="I212" s="524"/>
      <c r="J212" s="524"/>
      <c r="K212" s="524"/>
      <c r="L212" s="524"/>
      <c r="M212" s="524"/>
      <c r="N212" s="524"/>
      <c r="O212" s="524"/>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c r="AP212" s="524"/>
      <c r="AQ212" s="524"/>
      <c r="AR212" s="524"/>
      <c r="AS212" s="524"/>
    </row>
    <row r="213" spans="2:45">
      <c r="B213" s="524"/>
      <c r="C213" s="524"/>
      <c r="D213" s="524"/>
      <c r="E213" s="524"/>
      <c r="F213" s="524"/>
      <c r="G213" s="524"/>
      <c r="H213" s="524"/>
      <c r="I213" s="524"/>
      <c r="J213" s="524"/>
      <c r="K213" s="524"/>
      <c r="L213" s="524"/>
      <c r="M213" s="524"/>
      <c r="N213" s="524"/>
      <c r="O213" s="524"/>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c r="AP213" s="524"/>
      <c r="AQ213" s="524"/>
      <c r="AR213" s="524"/>
      <c r="AS213" s="524"/>
    </row>
    <row r="214" spans="2:45">
      <c r="B214" s="524"/>
      <c r="C214" s="524"/>
      <c r="D214" s="524"/>
      <c r="E214" s="524"/>
      <c r="F214" s="524"/>
      <c r="G214" s="524"/>
      <c r="H214" s="524"/>
      <c r="I214" s="524"/>
      <c r="J214" s="524"/>
      <c r="K214" s="524"/>
      <c r="L214" s="524"/>
      <c r="M214" s="524"/>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c r="AQ214" s="524"/>
      <c r="AR214" s="524"/>
      <c r="AS214" s="524"/>
    </row>
    <row r="215" spans="2:45">
      <c r="B215" s="524"/>
      <c r="C215" s="524"/>
      <c r="D215" s="524"/>
      <c r="E215" s="524"/>
      <c r="F215" s="524"/>
      <c r="G215" s="524"/>
      <c r="H215" s="524"/>
      <c r="I215" s="524"/>
      <c r="J215" s="524"/>
      <c r="K215" s="524"/>
      <c r="L215" s="524"/>
      <c r="M215" s="524"/>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c r="AQ215" s="524"/>
      <c r="AR215" s="524"/>
      <c r="AS215" s="524"/>
    </row>
    <row r="216" spans="2:45">
      <c r="B216" s="524"/>
      <c r="C216" s="524"/>
      <c r="D216" s="524"/>
      <c r="E216" s="524"/>
      <c r="F216" s="524"/>
      <c r="G216" s="524"/>
      <c r="H216" s="524"/>
      <c r="I216" s="524"/>
      <c r="J216" s="524"/>
      <c r="K216" s="524"/>
      <c r="L216" s="524"/>
      <c r="M216" s="524"/>
      <c r="N216" s="524"/>
      <c r="O216" s="52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c r="AP216" s="524"/>
      <c r="AQ216" s="524"/>
      <c r="AR216" s="524"/>
      <c r="AS216" s="524"/>
    </row>
    <row r="217" spans="2:45">
      <c r="B217" s="524"/>
      <c r="C217" s="524"/>
      <c r="D217" s="524"/>
      <c r="E217" s="524"/>
      <c r="F217" s="524"/>
      <c r="G217" s="524"/>
      <c r="H217" s="524"/>
      <c r="I217" s="524"/>
      <c r="J217" s="524"/>
      <c r="K217" s="524"/>
      <c r="L217" s="524"/>
      <c r="M217" s="524"/>
      <c r="N217" s="524"/>
      <c r="O217" s="524"/>
      <c r="P217" s="524"/>
      <c r="Q217" s="524"/>
      <c r="R217" s="524"/>
      <c r="S217" s="524"/>
      <c r="T217" s="524"/>
      <c r="U217" s="524"/>
      <c r="V217" s="524"/>
      <c r="W217" s="524"/>
      <c r="X217" s="524"/>
      <c r="Y217" s="524"/>
      <c r="Z217" s="524"/>
      <c r="AA217" s="524"/>
      <c r="AB217" s="524"/>
      <c r="AC217" s="524"/>
      <c r="AD217" s="524"/>
      <c r="AE217" s="524"/>
      <c r="AF217" s="524"/>
      <c r="AG217" s="524"/>
      <c r="AH217" s="524"/>
      <c r="AI217" s="524"/>
      <c r="AJ217" s="524"/>
      <c r="AK217" s="524"/>
      <c r="AL217" s="524"/>
      <c r="AM217" s="524"/>
      <c r="AN217" s="524"/>
      <c r="AO217" s="524"/>
      <c r="AP217" s="524"/>
      <c r="AQ217" s="524"/>
      <c r="AR217" s="524"/>
      <c r="AS217" s="524"/>
    </row>
    <row r="218" spans="2:45">
      <c r="B218" s="524"/>
      <c r="C218" s="524"/>
      <c r="D218" s="524"/>
      <c r="E218" s="524"/>
      <c r="F218" s="524"/>
      <c r="G218" s="524"/>
      <c r="H218" s="524"/>
      <c r="I218" s="524"/>
      <c r="J218" s="524"/>
      <c r="K218" s="524"/>
      <c r="L218" s="524"/>
      <c r="M218" s="524"/>
      <c r="N218" s="524"/>
      <c r="O218" s="524"/>
      <c r="P218" s="524"/>
      <c r="Q218" s="524"/>
      <c r="R218" s="524"/>
      <c r="S218" s="524"/>
      <c r="T218" s="524"/>
      <c r="U218" s="524"/>
      <c r="V218" s="524"/>
      <c r="W218" s="524"/>
      <c r="X218" s="524"/>
      <c r="Y218" s="524"/>
      <c r="Z218" s="524"/>
      <c r="AA218" s="524"/>
      <c r="AB218" s="524"/>
      <c r="AC218" s="524"/>
      <c r="AD218" s="524"/>
      <c r="AE218" s="524"/>
      <c r="AF218" s="524"/>
      <c r="AG218" s="524"/>
      <c r="AH218" s="524"/>
      <c r="AI218" s="524"/>
      <c r="AJ218" s="524"/>
      <c r="AK218" s="524"/>
      <c r="AL218" s="524"/>
      <c r="AM218" s="524"/>
      <c r="AN218" s="524"/>
      <c r="AO218" s="524"/>
      <c r="AP218" s="524"/>
      <c r="AQ218" s="524"/>
      <c r="AR218" s="524"/>
      <c r="AS218" s="524"/>
    </row>
    <row r="219" spans="2:45">
      <c r="B219" s="524"/>
      <c r="C219" s="524"/>
      <c r="D219" s="524"/>
      <c r="E219" s="524"/>
      <c r="F219" s="524"/>
      <c r="G219" s="524"/>
      <c r="H219" s="524"/>
      <c r="I219" s="524"/>
      <c r="J219" s="524"/>
      <c r="K219" s="524"/>
      <c r="L219" s="524"/>
      <c r="M219" s="524"/>
      <c r="N219" s="524"/>
      <c r="O219" s="524"/>
      <c r="P219" s="524"/>
      <c r="Q219" s="524"/>
      <c r="R219" s="524"/>
      <c r="S219" s="524"/>
      <c r="T219" s="524"/>
      <c r="U219" s="524"/>
      <c r="V219" s="524"/>
      <c r="W219" s="524"/>
      <c r="X219" s="524"/>
      <c r="Y219" s="524"/>
      <c r="Z219" s="524"/>
      <c r="AA219" s="524"/>
      <c r="AB219" s="524"/>
      <c r="AC219" s="524"/>
      <c r="AD219" s="524"/>
      <c r="AE219" s="524"/>
      <c r="AF219" s="524"/>
      <c r="AG219" s="524"/>
      <c r="AH219" s="524"/>
      <c r="AI219" s="524"/>
      <c r="AJ219" s="524"/>
      <c r="AK219" s="524"/>
      <c r="AL219" s="524"/>
      <c r="AM219" s="524"/>
      <c r="AN219" s="524"/>
      <c r="AO219" s="524"/>
      <c r="AP219" s="524"/>
      <c r="AQ219" s="524"/>
      <c r="AR219" s="524"/>
      <c r="AS219" s="524"/>
    </row>
    <row r="220" spans="2:45">
      <c r="B220" s="524"/>
      <c r="C220" s="524"/>
      <c r="D220" s="524"/>
      <c r="E220" s="524"/>
      <c r="F220" s="524"/>
      <c r="G220" s="524"/>
      <c r="H220" s="524"/>
      <c r="I220" s="524"/>
      <c r="J220" s="524"/>
      <c r="K220" s="524"/>
      <c r="L220" s="524"/>
      <c r="M220" s="524"/>
      <c r="N220" s="524"/>
      <c r="O220" s="524"/>
      <c r="P220" s="524"/>
      <c r="Q220" s="524"/>
      <c r="R220" s="524"/>
      <c r="S220" s="524"/>
      <c r="T220" s="524"/>
      <c r="U220" s="524"/>
      <c r="V220" s="524"/>
      <c r="W220" s="524"/>
      <c r="X220" s="524"/>
      <c r="Y220" s="524"/>
      <c r="Z220" s="524"/>
      <c r="AA220" s="524"/>
      <c r="AB220" s="524"/>
      <c r="AC220" s="524"/>
      <c r="AD220" s="524"/>
      <c r="AE220" s="524"/>
      <c r="AF220" s="524"/>
      <c r="AG220" s="524"/>
      <c r="AH220" s="524"/>
      <c r="AI220" s="524"/>
      <c r="AJ220" s="524"/>
      <c r="AK220" s="524"/>
      <c r="AL220" s="524"/>
      <c r="AM220" s="524"/>
      <c r="AN220" s="524"/>
      <c r="AO220" s="524"/>
      <c r="AP220" s="524"/>
      <c r="AQ220" s="524"/>
      <c r="AR220" s="524"/>
      <c r="AS220" s="524"/>
    </row>
    <row r="221" spans="2:45">
      <c r="B221" s="524"/>
      <c r="C221" s="524"/>
      <c r="D221" s="524"/>
      <c r="E221" s="524"/>
      <c r="F221" s="524"/>
      <c r="G221" s="524"/>
      <c r="H221" s="524"/>
      <c r="I221" s="524"/>
      <c r="J221" s="524"/>
      <c r="K221" s="524"/>
      <c r="L221" s="524"/>
      <c r="M221" s="524"/>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4"/>
      <c r="AI221" s="524"/>
      <c r="AJ221" s="524"/>
      <c r="AK221" s="524"/>
      <c r="AL221" s="524"/>
      <c r="AM221" s="524"/>
      <c r="AN221" s="524"/>
      <c r="AO221" s="524"/>
      <c r="AP221" s="524"/>
      <c r="AQ221" s="524"/>
      <c r="AR221" s="524"/>
      <c r="AS221" s="524"/>
    </row>
    <row r="222" spans="2:45">
      <c r="B222" s="524"/>
      <c r="C222" s="524"/>
      <c r="D222" s="524"/>
      <c r="E222" s="524"/>
      <c r="F222" s="524"/>
      <c r="G222" s="524"/>
      <c r="H222" s="524"/>
      <c r="I222" s="524"/>
      <c r="J222" s="524"/>
      <c r="K222" s="524"/>
      <c r="L222" s="524"/>
      <c r="M222" s="524"/>
      <c r="N222" s="524"/>
      <c r="O222" s="524"/>
      <c r="P222" s="524"/>
      <c r="Q222" s="524"/>
      <c r="R222" s="524"/>
      <c r="S222" s="524"/>
      <c r="T222" s="524"/>
      <c r="U222" s="524"/>
      <c r="V222" s="524"/>
      <c r="W222" s="524"/>
      <c r="X222" s="524"/>
      <c r="Y222" s="524"/>
      <c r="Z222" s="524"/>
      <c r="AA222" s="524"/>
      <c r="AB222" s="524"/>
      <c r="AC222" s="524"/>
      <c r="AD222" s="524"/>
      <c r="AE222" s="524"/>
      <c r="AF222" s="524"/>
      <c r="AG222" s="524"/>
      <c r="AH222" s="524"/>
      <c r="AI222" s="524"/>
      <c r="AJ222" s="524"/>
      <c r="AK222" s="524"/>
      <c r="AL222" s="524"/>
      <c r="AM222" s="524"/>
      <c r="AN222" s="524"/>
      <c r="AO222" s="524"/>
      <c r="AP222" s="524"/>
      <c r="AQ222" s="524"/>
      <c r="AR222" s="524"/>
      <c r="AS222" s="524"/>
    </row>
    <row r="223" spans="2:45">
      <c r="B223" s="524"/>
      <c r="C223" s="524"/>
      <c r="D223" s="524"/>
      <c r="E223" s="524"/>
      <c r="F223" s="524"/>
      <c r="G223" s="524"/>
      <c r="H223" s="524"/>
      <c r="I223" s="524"/>
      <c r="J223" s="524"/>
      <c r="K223" s="524"/>
      <c r="L223" s="524"/>
      <c r="M223" s="524"/>
      <c r="N223" s="524"/>
      <c r="O223" s="524"/>
      <c r="P223" s="524"/>
      <c r="Q223" s="524"/>
      <c r="R223" s="524"/>
      <c r="S223" s="524"/>
      <c r="T223" s="524"/>
      <c r="U223" s="524"/>
      <c r="V223" s="524"/>
      <c r="W223" s="524"/>
      <c r="X223" s="524"/>
      <c r="Y223" s="524"/>
      <c r="Z223" s="524"/>
      <c r="AA223" s="524"/>
      <c r="AB223" s="524"/>
      <c r="AC223" s="524"/>
      <c r="AD223" s="524"/>
      <c r="AE223" s="524"/>
      <c r="AF223" s="524"/>
      <c r="AG223" s="524"/>
      <c r="AH223" s="524"/>
      <c r="AI223" s="524"/>
      <c r="AJ223" s="524"/>
      <c r="AK223" s="524"/>
      <c r="AL223" s="524"/>
      <c r="AM223" s="524"/>
      <c r="AN223" s="524"/>
      <c r="AO223" s="524"/>
      <c r="AP223" s="524"/>
      <c r="AQ223" s="524"/>
      <c r="AR223" s="524"/>
      <c r="AS223" s="524"/>
    </row>
    <row r="224" spans="2:45">
      <c r="B224" s="524"/>
      <c r="C224" s="524"/>
      <c r="D224" s="524"/>
      <c r="E224" s="524"/>
      <c r="F224" s="524"/>
      <c r="G224" s="524"/>
      <c r="H224" s="524"/>
      <c r="I224" s="524"/>
      <c r="J224" s="524"/>
      <c r="K224" s="524"/>
      <c r="L224" s="524"/>
      <c r="M224" s="524"/>
      <c r="N224" s="524"/>
      <c r="O224" s="524"/>
      <c r="P224" s="524"/>
      <c r="Q224" s="524"/>
      <c r="R224" s="524"/>
      <c r="S224" s="524"/>
      <c r="T224" s="524"/>
      <c r="U224" s="524"/>
      <c r="V224" s="524"/>
      <c r="W224" s="524"/>
      <c r="X224" s="524"/>
      <c r="Y224" s="524"/>
      <c r="Z224" s="524"/>
      <c r="AA224" s="524"/>
      <c r="AB224" s="524"/>
      <c r="AC224" s="524"/>
      <c r="AD224" s="524"/>
      <c r="AE224" s="524"/>
      <c r="AF224" s="524"/>
      <c r="AG224" s="524"/>
      <c r="AH224" s="524"/>
      <c r="AI224" s="524"/>
      <c r="AJ224" s="524"/>
      <c r="AK224" s="524"/>
      <c r="AL224" s="524"/>
      <c r="AM224" s="524"/>
      <c r="AN224" s="524"/>
      <c r="AO224" s="524"/>
      <c r="AP224" s="524"/>
      <c r="AQ224" s="524"/>
      <c r="AR224" s="524"/>
      <c r="AS224" s="524"/>
    </row>
    <row r="225" spans="2:45">
      <c r="B225" s="524"/>
      <c r="C225" s="524"/>
      <c r="D225" s="524"/>
      <c r="E225" s="524"/>
      <c r="F225" s="524"/>
      <c r="G225" s="524"/>
      <c r="H225" s="524"/>
      <c r="I225" s="524"/>
      <c r="J225" s="524"/>
      <c r="K225" s="524"/>
      <c r="L225" s="524"/>
      <c r="M225" s="524"/>
      <c r="N225" s="524"/>
      <c r="O225" s="524"/>
      <c r="P225" s="524"/>
      <c r="Q225" s="524"/>
      <c r="R225" s="524"/>
      <c r="S225" s="524"/>
      <c r="T225" s="524"/>
      <c r="U225" s="524"/>
      <c r="V225" s="524"/>
      <c r="W225" s="524"/>
      <c r="X225" s="524"/>
      <c r="Y225" s="524"/>
      <c r="Z225" s="524"/>
      <c r="AA225" s="524"/>
      <c r="AB225" s="524"/>
      <c r="AC225" s="524"/>
      <c r="AD225" s="524"/>
      <c r="AE225" s="524"/>
      <c r="AF225" s="524"/>
      <c r="AG225" s="524"/>
      <c r="AH225" s="524"/>
      <c r="AI225" s="524"/>
      <c r="AJ225" s="524"/>
      <c r="AK225" s="524"/>
      <c r="AL225" s="524"/>
      <c r="AM225" s="524"/>
      <c r="AN225" s="524"/>
      <c r="AO225" s="524"/>
      <c r="AP225" s="524"/>
      <c r="AQ225" s="524"/>
      <c r="AR225" s="524"/>
      <c r="AS225" s="524"/>
    </row>
    <row r="226" spans="2:45">
      <c r="B226" s="524"/>
      <c r="C226" s="524"/>
      <c r="D226" s="524"/>
      <c r="E226" s="524"/>
      <c r="F226" s="524"/>
      <c r="G226" s="524"/>
      <c r="H226" s="524"/>
      <c r="I226" s="524"/>
      <c r="J226" s="524"/>
      <c r="K226" s="524"/>
      <c r="L226" s="524"/>
      <c r="M226" s="524"/>
      <c r="N226" s="524"/>
      <c r="O226" s="524"/>
      <c r="P226" s="524"/>
      <c r="Q226" s="524"/>
      <c r="R226" s="524"/>
      <c r="S226" s="524"/>
      <c r="T226" s="524"/>
      <c r="U226" s="524"/>
      <c r="V226" s="524"/>
      <c r="W226" s="524"/>
      <c r="X226" s="524"/>
      <c r="Y226" s="524"/>
      <c r="Z226" s="524"/>
      <c r="AA226" s="524"/>
      <c r="AB226" s="524"/>
      <c r="AC226" s="524"/>
      <c r="AD226" s="524"/>
      <c r="AE226" s="524"/>
      <c r="AF226" s="524"/>
      <c r="AG226" s="524"/>
      <c r="AH226" s="524"/>
      <c r="AI226" s="524"/>
      <c r="AJ226" s="524"/>
      <c r="AK226" s="524"/>
      <c r="AL226" s="524"/>
      <c r="AM226" s="524"/>
      <c r="AN226" s="524"/>
      <c r="AO226" s="524"/>
      <c r="AP226" s="524"/>
      <c r="AQ226" s="524"/>
      <c r="AR226" s="524"/>
      <c r="AS226" s="524"/>
    </row>
    <row r="227" spans="2:45">
      <c r="B227" s="524"/>
      <c r="C227" s="524"/>
      <c r="D227" s="524"/>
      <c r="E227" s="524"/>
      <c r="F227" s="524"/>
      <c r="G227" s="524"/>
      <c r="H227" s="524"/>
      <c r="I227" s="524"/>
      <c r="J227" s="524"/>
      <c r="K227" s="524"/>
      <c r="L227" s="524"/>
      <c r="M227" s="524"/>
      <c r="N227" s="524"/>
      <c r="O227" s="524"/>
      <c r="P227" s="524"/>
      <c r="Q227" s="524"/>
      <c r="R227" s="524"/>
      <c r="S227" s="524"/>
      <c r="T227" s="524"/>
      <c r="U227" s="524"/>
      <c r="V227" s="524"/>
      <c r="W227" s="524"/>
      <c r="X227" s="524"/>
      <c r="Y227" s="524"/>
      <c r="Z227" s="524"/>
      <c r="AA227" s="524"/>
      <c r="AB227" s="524"/>
      <c r="AC227" s="524"/>
      <c r="AD227" s="524"/>
      <c r="AE227" s="524"/>
      <c r="AF227" s="524"/>
      <c r="AG227" s="524"/>
      <c r="AH227" s="524"/>
      <c r="AI227" s="524"/>
      <c r="AJ227" s="524"/>
      <c r="AK227" s="524"/>
      <c r="AL227" s="524"/>
      <c r="AM227" s="524"/>
      <c r="AN227" s="524"/>
      <c r="AO227" s="524"/>
      <c r="AP227" s="524"/>
      <c r="AQ227" s="524"/>
      <c r="AR227" s="524"/>
      <c r="AS227" s="524"/>
    </row>
    <row r="228" spans="2:45">
      <c r="B228" s="524"/>
      <c r="C228" s="524"/>
      <c r="D228" s="524"/>
      <c r="E228" s="524"/>
      <c r="F228" s="524"/>
      <c r="G228" s="524"/>
      <c r="H228" s="524"/>
      <c r="I228" s="524"/>
      <c r="J228" s="524"/>
      <c r="K228" s="524"/>
      <c r="L228" s="524"/>
      <c r="M228" s="524"/>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c r="AP228" s="524"/>
      <c r="AQ228" s="524"/>
      <c r="AR228" s="524"/>
      <c r="AS228" s="524"/>
    </row>
    <row r="229" spans="2:45">
      <c r="B229" s="524"/>
      <c r="C229" s="524"/>
      <c r="D229" s="524"/>
      <c r="E229" s="524"/>
      <c r="F229" s="524"/>
      <c r="G229" s="524"/>
      <c r="H229" s="524"/>
      <c r="I229" s="524"/>
      <c r="J229" s="524"/>
      <c r="K229" s="524"/>
      <c r="L229" s="524"/>
      <c r="M229" s="524"/>
      <c r="N229" s="524"/>
      <c r="O229" s="524"/>
      <c r="P229" s="524"/>
      <c r="Q229" s="524"/>
      <c r="R229" s="524"/>
      <c r="S229" s="524"/>
      <c r="T229" s="524"/>
      <c r="U229" s="524"/>
      <c r="V229" s="524"/>
      <c r="W229" s="524"/>
      <c r="X229" s="524"/>
      <c r="Y229" s="524"/>
      <c r="Z229" s="524"/>
      <c r="AA229" s="524"/>
      <c r="AB229" s="524"/>
      <c r="AC229" s="524"/>
      <c r="AD229" s="524"/>
      <c r="AE229" s="524"/>
      <c r="AF229" s="524"/>
      <c r="AG229" s="524"/>
      <c r="AH229" s="524"/>
      <c r="AI229" s="524"/>
      <c r="AJ229" s="524"/>
      <c r="AK229" s="524"/>
      <c r="AL229" s="524"/>
      <c r="AM229" s="524"/>
      <c r="AN229" s="524"/>
      <c r="AO229" s="524"/>
      <c r="AP229" s="524"/>
      <c r="AQ229" s="524"/>
      <c r="AR229" s="524"/>
      <c r="AS229" s="524"/>
    </row>
    <row r="230" spans="2:45">
      <c r="B230" s="524"/>
      <c r="C230" s="524"/>
      <c r="D230" s="524"/>
      <c r="E230" s="524"/>
      <c r="F230" s="524"/>
      <c r="G230" s="524"/>
      <c r="H230" s="524"/>
      <c r="I230" s="524"/>
      <c r="J230" s="524"/>
      <c r="K230" s="524"/>
      <c r="L230" s="524"/>
      <c r="M230" s="524"/>
      <c r="N230" s="524"/>
      <c r="O230" s="524"/>
      <c r="P230" s="524"/>
      <c r="Q230" s="524"/>
      <c r="R230" s="524"/>
      <c r="S230" s="524"/>
      <c r="T230" s="524"/>
      <c r="U230" s="524"/>
      <c r="V230" s="524"/>
      <c r="W230" s="524"/>
      <c r="X230" s="524"/>
      <c r="Y230" s="524"/>
      <c r="Z230" s="524"/>
      <c r="AA230" s="524"/>
      <c r="AB230" s="524"/>
      <c r="AC230" s="524"/>
      <c r="AD230" s="524"/>
      <c r="AE230" s="524"/>
      <c r="AF230" s="524"/>
      <c r="AG230" s="524"/>
      <c r="AH230" s="524"/>
      <c r="AI230" s="524"/>
      <c r="AJ230" s="524"/>
      <c r="AK230" s="524"/>
      <c r="AL230" s="524"/>
      <c r="AM230" s="524"/>
      <c r="AN230" s="524"/>
      <c r="AO230" s="524"/>
      <c r="AP230" s="524"/>
      <c r="AQ230" s="524"/>
      <c r="AR230" s="524"/>
      <c r="AS230" s="524"/>
    </row>
    <row r="231" spans="2:45">
      <c r="B231" s="524"/>
      <c r="C231" s="524"/>
      <c r="D231" s="524"/>
      <c r="E231" s="524"/>
      <c r="F231" s="524"/>
      <c r="G231" s="524"/>
      <c r="H231" s="524"/>
      <c r="I231" s="524"/>
      <c r="J231" s="524"/>
      <c r="K231" s="524"/>
      <c r="L231" s="524"/>
      <c r="M231" s="524"/>
      <c r="N231" s="524"/>
      <c r="O231" s="524"/>
      <c r="P231" s="524"/>
      <c r="Q231" s="524"/>
      <c r="R231" s="524"/>
      <c r="S231" s="524"/>
      <c r="T231" s="524"/>
      <c r="U231" s="524"/>
      <c r="V231" s="524"/>
      <c r="W231" s="524"/>
      <c r="X231" s="524"/>
      <c r="Y231" s="524"/>
      <c r="Z231" s="524"/>
      <c r="AA231" s="524"/>
      <c r="AB231" s="524"/>
      <c r="AC231" s="524"/>
      <c r="AD231" s="524"/>
      <c r="AE231" s="524"/>
      <c r="AF231" s="524"/>
      <c r="AG231" s="524"/>
      <c r="AH231" s="524"/>
      <c r="AI231" s="524"/>
      <c r="AJ231" s="524"/>
      <c r="AK231" s="524"/>
      <c r="AL231" s="524"/>
      <c r="AM231" s="524"/>
      <c r="AN231" s="524"/>
      <c r="AO231" s="524"/>
      <c r="AP231" s="524"/>
      <c r="AQ231" s="524"/>
      <c r="AR231" s="524"/>
      <c r="AS231" s="524"/>
    </row>
    <row r="232" spans="2:45">
      <c r="B232" s="524"/>
      <c r="C232" s="524"/>
      <c r="D232" s="524"/>
      <c r="E232" s="524"/>
      <c r="F232" s="524"/>
      <c r="G232" s="524"/>
      <c r="H232" s="524"/>
      <c r="I232" s="524"/>
      <c r="J232" s="524"/>
      <c r="K232" s="524"/>
      <c r="L232" s="524"/>
      <c r="M232" s="524"/>
      <c r="N232" s="524"/>
      <c r="O232" s="524"/>
      <c r="P232" s="524"/>
      <c r="Q232" s="524"/>
      <c r="R232" s="524"/>
      <c r="S232" s="524"/>
      <c r="T232" s="524"/>
      <c r="U232" s="524"/>
      <c r="V232" s="524"/>
      <c r="W232" s="524"/>
      <c r="X232" s="524"/>
      <c r="Y232" s="524"/>
      <c r="Z232" s="524"/>
      <c r="AA232" s="524"/>
      <c r="AB232" s="524"/>
      <c r="AC232" s="524"/>
      <c r="AD232" s="524"/>
      <c r="AE232" s="524"/>
      <c r="AF232" s="524"/>
      <c r="AG232" s="524"/>
      <c r="AH232" s="524"/>
      <c r="AI232" s="524"/>
      <c r="AJ232" s="524"/>
      <c r="AK232" s="524"/>
      <c r="AL232" s="524"/>
      <c r="AM232" s="524"/>
      <c r="AN232" s="524"/>
      <c r="AO232" s="524"/>
      <c r="AP232" s="524"/>
      <c r="AQ232" s="524"/>
      <c r="AR232" s="524"/>
      <c r="AS232" s="524"/>
    </row>
    <row r="233" spans="2:45">
      <c r="B233" s="524"/>
      <c r="C233" s="524"/>
      <c r="D233" s="524"/>
      <c r="E233" s="524"/>
      <c r="F233" s="524"/>
      <c r="G233" s="524"/>
      <c r="H233" s="524"/>
      <c r="I233" s="524"/>
      <c r="J233" s="524"/>
      <c r="K233" s="524"/>
      <c r="L233" s="524"/>
      <c r="M233" s="524"/>
      <c r="N233" s="524"/>
      <c r="O233" s="524"/>
      <c r="P233" s="524"/>
      <c r="Q233" s="524"/>
      <c r="R233" s="524"/>
      <c r="S233" s="524"/>
      <c r="T233" s="524"/>
      <c r="U233" s="524"/>
      <c r="V233" s="524"/>
      <c r="W233" s="524"/>
      <c r="X233" s="524"/>
      <c r="Y233" s="524"/>
      <c r="Z233" s="524"/>
      <c r="AA233" s="524"/>
      <c r="AB233" s="524"/>
      <c r="AC233" s="524"/>
      <c r="AD233" s="524"/>
      <c r="AE233" s="524"/>
      <c r="AF233" s="524"/>
      <c r="AG233" s="524"/>
      <c r="AH233" s="524"/>
      <c r="AI233" s="524"/>
      <c r="AJ233" s="524"/>
      <c r="AK233" s="524"/>
      <c r="AL233" s="524"/>
      <c r="AM233" s="524"/>
      <c r="AN233" s="524"/>
      <c r="AO233" s="524"/>
      <c r="AP233" s="524"/>
      <c r="AQ233" s="524"/>
      <c r="AR233" s="524"/>
      <c r="AS233" s="524"/>
    </row>
    <row r="234" spans="2:45">
      <c r="B234" s="524"/>
      <c r="C234" s="524"/>
      <c r="D234" s="524"/>
      <c r="E234" s="524"/>
      <c r="F234" s="524"/>
      <c r="G234" s="524"/>
      <c r="H234" s="524"/>
      <c r="I234" s="524"/>
      <c r="J234" s="524"/>
      <c r="K234" s="524"/>
      <c r="L234" s="524"/>
      <c r="M234" s="524"/>
      <c r="N234" s="524"/>
      <c r="O234" s="524"/>
      <c r="P234" s="524"/>
      <c r="Q234" s="524"/>
      <c r="R234" s="524"/>
      <c r="S234" s="524"/>
      <c r="T234" s="524"/>
      <c r="U234" s="524"/>
      <c r="V234" s="524"/>
      <c r="W234" s="524"/>
      <c r="X234" s="524"/>
      <c r="Y234" s="524"/>
      <c r="Z234" s="524"/>
      <c r="AA234" s="524"/>
      <c r="AB234" s="524"/>
      <c r="AC234" s="524"/>
      <c r="AD234" s="524"/>
      <c r="AE234" s="524"/>
      <c r="AF234" s="524"/>
      <c r="AG234" s="524"/>
      <c r="AH234" s="524"/>
      <c r="AI234" s="524"/>
      <c r="AJ234" s="524"/>
      <c r="AK234" s="524"/>
      <c r="AL234" s="524"/>
      <c r="AM234" s="524"/>
      <c r="AN234" s="524"/>
      <c r="AO234" s="524"/>
      <c r="AP234" s="524"/>
      <c r="AQ234" s="524"/>
      <c r="AR234" s="524"/>
      <c r="AS234" s="524"/>
    </row>
    <row r="235" spans="2:45">
      <c r="B235" s="524"/>
      <c r="C235" s="524"/>
      <c r="D235" s="524"/>
      <c r="E235" s="524"/>
      <c r="F235" s="524"/>
      <c r="G235" s="524"/>
      <c r="H235" s="524"/>
      <c r="I235" s="524"/>
      <c r="J235" s="524"/>
      <c r="K235" s="524"/>
      <c r="L235" s="524"/>
      <c r="M235" s="524"/>
      <c r="N235" s="524"/>
      <c r="O235" s="524"/>
      <c r="P235" s="524"/>
      <c r="Q235" s="524"/>
      <c r="R235" s="524"/>
      <c r="S235" s="524"/>
      <c r="T235" s="524"/>
      <c r="U235" s="524"/>
      <c r="V235" s="524"/>
      <c r="W235" s="524"/>
      <c r="X235" s="524"/>
      <c r="Y235" s="524"/>
      <c r="Z235" s="524"/>
      <c r="AA235" s="524"/>
      <c r="AB235" s="524"/>
      <c r="AC235" s="524"/>
      <c r="AD235" s="524"/>
      <c r="AE235" s="524"/>
      <c r="AF235" s="524"/>
      <c r="AG235" s="524"/>
      <c r="AH235" s="524"/>
      <c r="AI235" s="524"/>
      <c r="AJ235" s="524"/>
      <c r="AK235" s="524"/>
      <c r="AL235" s="524"/>
      <c r="AM235" s="524"/>
      <c r="AN235" s="524"/>
      <c r="AO235" s="524"/>
      <c r="AP235" s="524"/>
      <c r="AQ235" s="524"/>
      <c r="AR235" s="524"/>
      <c r="AS235" s="524"/>
    </row>
    <row r="236" spans="2:45">
      <c r="B236" s="524"/>
      <c r="C236" s="524"/>
      <c r="D236" s="524"/>
      <c r="E236" s="524"/>
      <c r="F236" s="524"/>
      <c r="G236" s="524"/>
      <c r="H236" s="524"/>
      <c r="I236" s="524"/>
      <c r="J236" s="524"/>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c r="AQ236" s="524"/>
      <c r="AR236" s="524"/>
      <c r="AS236" s="524"/>
    </row>
    <row r="237" spans="2:45">
      <c r="B237" s="524"/>
      <c r="C237" s="524"/>
      <c r="D237" s="524"/>
      <c r="E237" s="524"/>
      <c r="F237" s="524"/>
      <c r="G237" s="524"/>
      <c r="H237" s="524"/>
      <c r="I237" s="524"/>
      <c r="J237" s="524"/>
      <c r="K237" s="524"/>
      <c r="L237" s="524"/>
      <c r="M237" s="524"/>
      <c r="N237" s="524"/>
      <c r="O237" s="524"/>
      <c r="P237" s="524"/>
      <c r="Q237" s="524"/>
      <c r="R237" s="524"/>
      <c r="S237" s="524"/>
      <c r="T237" s="524"/>
      <c r="U237" s="524"/>
      <c r="V237" s="524"/>
      <c r="W237" s="524"/>
      <c r="X237" s="524"/>
      <c r="Y237" s="524"/>
      <c r="Z237" s="524"/>
      <c r="AA237" s="524"/>
      <c r="AB237" s="524"/>
      <c r="AC237" s="524"/>
      <c r="AD237" s="524"/>
      <c r="AE237" s="524"/>
      <c r="AF237" s="524"/>
      <c r="AG237" s="524"/>
      <c r="AH237" s="524"/>
      <c r="AI237" s="524"/>
      <c r="AJ237" s="524"/>
      <c r="AK237" s="524"/>
      <c r="AL237" s="524"/>
      <c r="AM237" s="524"/>
      <c r="AN237" s="524"/>
      <c r="AO237" s="524"/>
      <c r="AP237" s="524"/>
      <c r="AQ237" s="524"/>
      <c r="AR237" s="524"/>
      <c r="AS237" s="524"/>
    </row>
    <row r="238" spans="2:45">
      <c r="B238" s="524"/>
      <c r="C238" s="524"/>
      <c r="D238" s="524"/>
      <c r="E238" s="524"/>
      <c r="F238" s="524"/>
      <c r="G238" s="524"/>
      <c r="H238" s="524"/>
      <c r="I238" s="524"/>
      <c r="J238" s="524"/>
      <c r="K238" s="524"/>
      <c r="L238" s="524"/>
      <c r="M238" s="524"/>
      <c r="N238" s="524"/>
      <c r="O238" s="524"/>
      <c r="P238" s="524"/>
      <c r="Q238" s="524"/>
      <c r="R238" s="524"/>
      <c r="S238" s="524"/>
      <c r="T238" s="524"/>
      <c r="U238" s="524"/>
      <c r="V238" s="524"/>
      <c r="W238" s="524"/>
      <c r="X238" s="524"/>
      <c r="Y238" s="524"/>
      <c r="Z238" s="524"/>
      <c r="AA238" s="524"/>
      <c r="AB238" s="524"/>
      <c r="AC238" s="524"/>
      <c r="AD238" s="524"/>
      <c r="AE238" s="524"/>
      <c r="AF238" s="524"/>
      <c r="AG238" s="524"/>
      <c r="AH238" s="524"/>
      <c r="AI238" s="524"/>
      <c r="AJ238" s="524"/>
      <c r="AK238" s="524"/>
      <c r="AL238" s="524"/>
      <c r="AM238" s="524"/>
      <c r="AN238" s="524"/>
      <c r="AO238" s="524"/>
      <c r="AP238" s="524"/>
      <c r="AQ238" s="524"/>
      <c r="AR238" s="524"/>
      <c r="AS238" s="524"/>
    </row>
    <row r="239" spans="2:45">
      <c r="B239" s="524"/>
      <c r="C239" s="524"/>
      <c r="D239" s="524"/>
      <c r="E239" s="524"/>
      <c r="F239" s="524"/>
      <c r="G239" s="524"/>
      <c r="H239" s="524"/>
      <c r="I239" s="524"/>
      <c r="J239" s="524"/>
      <c r="K239" s="524"/>
      <c r="L239" s="524"/>
      <c r="M239" s="524"/>
      <c r="N239" s="524"/>
      <c r="O239" s="524"/>
      <c r="P239" s="524"/>
      <c r="Q239" s="524"/>
      <c r="R239" s="524"/>
      <c r="S239" s="524"/>
      <c r="T239" s="524"/>
      <c r="U239" s="524"/>
      <c r="V239" s="524"/>
      <c r="W239" s="524"/>
      <c r="X239" s="524"/>
      <c r="Y239" s="524"/>
      <c r="Z239" s="524"/>
      <c r="AA239" s="524"/>
      <c r="AB239" s="524"/>
      <c r="AC239" s="524"/>
      <c r="AD239" s="524"/>
      <c r="AE239" s="524"/>
      <c r="AF239" s="524"/>
      <c r="AG239" s="524"/>
      <c r="AH239" s="524"/>
      <c r="AI239" s="524"/>
      <c r="AJ239" s="524"/>
      <c r="AK239" s="524"/>
      <c r="AL239" s="524"/>
      <c r="AM239" s="524"/>
      <c r="AN239" s="524"/>
      <c r="AO239" s="524"/>
      <c r="AP239" s="524"/>
      <c r="AQ239" s="524"/>
      <c r="AR239" s="524"/>
      <c r="AS239" s="524"/>
    </row>
    <row r="240" spans="2:45">
      <c r="B240" s="524"/>
      <c r="C240" s="524"/>
      <c r="D240" s="524"/>
      <c r="E240" s="524"/>
      <c r="F240" s="524"/>
      <c r="G240" s="524"/>
      <c r="H240" s="524"/>
      <c r="I240" s="524"/>
      <c r="J240" s="524"/>
      <c r="K240" s="524"/>
      <c r="L240" s="524"/>
      <c r="M240" s="524"/>
      <c r="N240" s="524"/>
      <c r="O240" s="524"/>
      <c r="P240" s="524"/>
      <c r="Q240" s="524"/>
      <c r="R240" s="524"/>
      <c r="S240" s="524"/>
      <c r="T240" s="524"/>
      <c r="U240" s="524"/>
      <c r="V240" s="524"/>
      <c r="W240" s="524"/>
      <c r="X240" s="524"/>
      <c r="Y240" s="524"/>
      <c r="Z240" s="524"/>
      <c r="AA240" s="524"/>
      <c r="AB240" s="524"/>
      <c r="AC240" s="524"/>
      <c r="AD240" s="524"/>
      <c r="AE240" s="524"/>
      <c r="AF240" s="524"/>
      <c r="AG240" s="524"/>
      <c r="AH240" s="524"/>
      <c r="AI240" s="524"/>
      <c r="AJ240" s="524"/>
      <c r="AK240" s="524"/>
      <c r="AL240" s="524"/>
      <c r="AM240" s="524"/>
      <c r="AN240" s="524"/>
      <c r="AO240" s="524"/>
      <c r="AP240" s="524"/>
      <c r="AQ240" s="524"/>
      <c r="AR240" s="524"/>
      <c r="AS240" s="524"/>
    </row>
    <row r="241" spans="2:45">
      <c r="B241" s="524"/>
      <c r="C241" s="524"/>
      <c r="D241" s="524"/>
      <c r="E241" s="524"/>
      <c r="F241" s="524"/>
      <c r="G241" s="524"/>
      <c r="H241" s="524"/>
      <c r="I241" s="524"/>
      <c r="J241" s="524"/>
      <c r="K241" s="524"/>
      <c r="L241" s="524"/>
      <c r="M241" s="524"/>
      <c r="N241" s="524"/>
      <c r="O241" s="524"/>
      <c r="P241" s="524"/>
      <c r="Q241" s="524"/>
      <c r="R241" s="524"/>
      <c r="S241" s="524"/>
      <c r="T241" s="524"/>
      <c r="U241" s="524"/>
      <c r="V241" s="524"/>
      <c r="W241" s="524"/>
      <c r="X241" s="524"/>
      <c r="Y241" s="524"/>
      <c r="Z241" s="524"/>
      <c r="AA241" s="524"/>
      <c r="AB241" s="524"/>
      <c r="AC241" s="524"/>
      <c r="AD241" s="524"/>
      <c r="AE241" s="524"/>
      <c r="AF241" s="524"/>
      <c r="AG241" s="524"/>
      <c r="AH241" s="524"/>
      <c r="AI241" s="524"/>
      <c r="AJ241" s="524"/>
      <c r="AK241" s="524"/>
      <c r="AL241" s="524"/>
      <c r="AM241" s="524"/>
      <c r="AN241" s="524"/>
      <c r="AO241" s="524"/>
      <c r="AP241" s="524"/>
      <c r="AQ241" s="524"/>
      <c r="AR241" s="524"/>
      <c r="AS241" s="524"/>
    </row>
    <row r="242" spans="2:45">
      <c r="B242" s="524"/>
      <c r="C242" s="524"/>
      <c r="D242" s="524"/>
      <c r="E242" s="524"/>
      <c r="F242" s="524"/>
      <c r="G242" s="524"/>
      <c r="H242" s="524"/>
      <c r="I242" s="524"/>
      <c r="J242" s="524"/>
      <c r="K242" s="524"/>
      <c r="L242" s="524"/>
      <c r="M242" s="524"/>
      <c r="N242" s="524"/>
      <c r="O242" s="524"/>
      <c r="P242" s="524"/>
      <c r="Q242" s="524"/>
      <c r="R242" s="524"/>
      <c r="S242" s="524"/>
      <c r="T242" s="524"/>
      <c r="U242" s="524"/>
      <c r="V242" s="524"/>
      <c r="W242" s="524"/>
      <c r="X242" s="524"/>
      <c r="Y242" s="524"/>
      <c r="Z242" s="524"/>
      <c r="AA242" s="524"/>
      <c r="AB242" s="524"/>
      <c r="AC242" s="524"/>
      <c r="AD242" s="524"/>
      <c r="AE242" s="524"/>
      <c r="AF242" s="524"/>
      <c r="AG242" s="524"/>
      <c r="AH242" s="524"/>
      <c r="AI242" s="524"/>
      <c r="AJ242" s="524"/>
      <c r="AK242" s="524"/>
      <c r="AL242" s="524"/>
      <c r="AM242" s="524"/>
      <c r="AN242" s="524"/>
      <c r="AO242" s="524"/>
      <c r="AP242" s="524"/>
      <c r="AQ242" s="524"/>
      <c r="AR242" s="524"/>
      <c r="AS242" s="524"/>
    </row>
    <row r="243" spans="2:45">
      <c r="B243" s="524"/>
      <c r="C243" s="524"/>
      <c r="D243" s="524"/>
      <c r="E243" s="524"/>
      <c r="F243" s="524"/>
      <c r="G243" s="524"/>
      <c r="H243" s="524"/>
      <c r="I243" s="524"/>
      <c r="J243" s="524"/>
      <c r="K243" s="524"/>
      <c r="L243" s="524"/>
      <c r="M243" s="524"/>
      <c r="N243" s="524"/>
      <c r="O243" s="524"/>
      <c r="P243" s="524"/>
      <c r="Q243" s="524"/>
      <c r="R243" s="524"/>
      <c r="S243" s="524"/>
      <c r="T243" s="524"/>
      <c r="U243" s="524"/>
      <c r="V243" s="524"/>
      <c r="W243" s="524"/>
      <c r="X243" s="524"/>
      <c r="Y243" s="524"/>
      <c r="Z243" s="524"/>
      <c r="AA243" s="524"/>
      <c r="AB243" s="524"/>
      <c r="AC243" s="524"/>
      <c r="AD243" s="524"/>
      <c r="AE243" s="524"/>
      <c r="AF243" s="524"/>
      <c r="AG243" s="524"/>
      <c r="AH243" s="524"/>
      <c r="AI243" s="524"/>
      <c r="AJ243" s="524"/>
      <c r="AK243" s="524"/>
      <c r="AL243" s="524"/>
      <c r="AM243" s="524"/>
      <c r="AN243" s="524"/>
      <c r="AO243" s="524"/>
      <c r="AP243" s="524"/>
      <c r="AQ243" s="524"/>
      <c r="AR243" s="524"/>
      <c r="AS243" s="524"/>
    </row>
    <row r="244" spans="2:45">
      <c r="B244" s="524"/>
      <c r="C244" s="524"/>
      <c r="D244" s="524"/>
      <c r="E244" s="524"/>
      <c r="F244" s="524"/>
      <c r="G244" s="524"/>
      <c r="H244" s="524"/>
      <c r="I244" s="524"/>
      <c r="J244" s="524"/>
      <c r="K244" s="524"/>
      <c r="L244" s="524"/>
      <c r="M244" s="524"/>
      <c r="N244" s="524"/>
      <c r="O244" s="524"/>
      <c r="P244" s="524"/>
      <c r="Q244" s="524"/>
      <c r="R244" s="524"/>
      <c r="S244" s="524"/>
      <c r="T244" s="524"/>
      <c r="U244" s="524"/>
      <c r="V244" s="524"/>
      <c r="W244" s="524"/>
      <c r="X244" s="524"/>
      <c r="Y244" s="524"/>
      <c r="Z244" s="524"/>
      <c r="AA244" s="524"/>
      <c r="AB244" s="524"/>
      <c r="AC244" s="524"/>
      <c r="AD244" s="524"/>
      <c r="AE244" s="524"/>
      <c r="AF244" s="524"/>
      <c r="AG244" s="524"/>
      <c r="AH244" s="524"/>
      <c r="AI244" s="524"/>
      <c r="AJ244" s="524"/>
      <c r="AK244" s="524"/>
      <c r="AL244" s="524"/>
      <c r="AM244" s="524"/>
      <c r="AN244" s="524"/>
      <c r="AO244" s="524"/>
      <c r="AP244" s="524"/>
      <c r="AQ244" s="524"/>
      <c r="AR244" s="524"/>
      <c r="AS244" s="524"/>
    </row>
    <row r="245" spans="2:45">
      <c r="B245" s="524"/>
      <c r="C245" s="524"/>
      <c r="D245" s="524"/>
      <c r="E245" s="524"/>
      <c r="F245" s="524"/>
      <c r="G245" s="524"/>
      <c r="H245" s="524"/>
      <c r="I245" s="524"/>
      <c r="J245" s="524"/>
      <c r="K245" s="524"/>
      <c r="L245" s="524"/>
      <c r="M245" s="524"/>
      <c r="N245" s="524"/>
      <c r="O245" s="524"/>
      <c r="P245" s="524"/>
      <c r="Q245" s="524"/>
      <c r="R245" s="524"/>
      <c r="S245" s="524"/>
      <c r="T245" s="524"/>
      <c r="U245" s="524"/>
      <c r="V245" s="524"/>
      <c r="W245" s="524"/>
      <c r="X245" s="524"/>
      <c r="Y245" s="524"/>
      <c r="Z245" s="524"/>
      <c r="AA245" s="524"/>
      <c r="AB245" s="524"/>
      <c r="AC245" s="524"/>
      <c r="AD245" s="524"/>
      <c r="AE245" s="524"/>
      <c r="AF245" s="524"/>
      <c r="AG245" s="524"/>
      <c r="AH245" s="524"/>
      <c r="AI245" s="524"/>
      <c r="AJ245" s="524"/>
      <c r="AK245" s="524"/>
      <c r="AL245" s="524"/>
      <c r="AM245" s="524"/>
      <c r="AN245" s="524"/>
      <c r="AO245" s="524"/>
      <c r="AP245" s="524"/>
      <c r="AQ245" s="524"/>
      <c r="AR245" s="524"/>
      <c r="AS245" s="524"/>
    </row>
    <row r="246" spans="2:45">
      <c r="B246" s="524"/>
      <c r="C246" s="524"/>
      <c r="D246" s="524"/>
      <c r="E246" s="524"/>
      <c r="F246" s="524"/>
      <c r="G246" s="524"/>
      <c r="H246" s="524"/>
      <c r="I246" s="524"/>
      <c r="J246" s="524"/>
      <c r="K246" s="524"/>
      <c r="L246" s="524"/>
      <c r="M246" s="524"/>
      <c r="N246" s="524"/>
      <c r="O246" s="524"/>
      <c r="P246" s="524"/>
      <c r="Q246" s="524"/>
      <c r="R246" s="524"/>
      <c r="S246" s="524"/>
      <c r="T246" s="524"/>
      <c r="U246" s="524"/>
      <c r="V246" s="524"/>
      <c r="W246" s="524"/>
      <c r="X246" s="524"/>
      <c r="Y246" s="524"/>
      <c r="Z246" s="524"/>
      <c r="AA246" s="524"/>
      <c r="AB246" s="524"/>
      <c r="AC246" s="524"/>
      <c r="AD246" s="524"/>
      <c r="AE246" s="524"/>
      <c r="AF246" s="524"/>
      <c r="AG246" s="524"/>
      <c r="AH246" s="524"/>
      <c r="AI246" s="524"/>
      <c r="AJ246" s="524"/>
      <c r="AK246" s="524"/>
      <c r="AL246" s="524"/>
      <c r="AM246" s="524"/>
      <c r="AN246" s="524"/>
      <c r="AO246" s="524"/>
      <c r="AP246" s="524"/>
      <c r="AQ246" s="524"/>
      <c r="AR246" s="524"/>
      <c r="AS246" s="524"/>
    </row>
    <row r="247" spans="2:45">
      <c r="B247" s="524"/>
      <c r="C247" s="524"/>
      <c r="D247" s="524"/>
      <c r="E247" s="524"/>
      <c r="F247" s="524"/>
      <c r="G247" s="524"/>
      <c r="H247" s="524"/>
      <c r="I247" s="524"/>
      <c r="J247" s="524"/>
      <c r="K247" s="524"/>
      <c r="L247" s="524"/>
      <c r="M247" s="524"/>
      <c r="N247" s="524"/>
      <c r="O247" s="524"/>
      <c r="P247" s="524"/>
      <c r="Q247" s="524"/>
      <c r="R247" s="524"/>
      <c r="S247" s="524"/>
      <c r="T247" s="524"/>
      <c r="U247" s="524"/>
      <c r="V247" s="524"/>
      <c r="W247" s="524"/>
      <c r="X247" s="524"/>
      <c r="Y247" s="524"/>
      <c r="Z247" s="524"/>
      <c r="AA247" s="524"/>
      <c r="AB247" s="524"/>
      <c r="AC247" s="524"/>
      <c r="AD247" s="524"/>
      <c r="AE247" s="524"/>
      <c r="AF247" s="524"/>
      <c r="AG247" s="524"/>
      <c r="AH247" s="524"/>
      <c r="AI247" s="524"/>
      <c r="AJ247" s="524"/>
      <c r="AK247" s="524"/>
      <c r="AL247" s="524"/>
      <c r="AM247" s="524"/>
      <c r="AN247" s="524"/>
      <c r="AO247" s="524"/>
      <c r="AP247" s="524"/>
      <c r="AQ247" s="524"/>
      <c r="AR247" s="524"/>
      <c r="AS247" s="524"/>
    </row>
    <row r="248" spans="2:45">
      <c r="B248" s="524"/>
      <c r="C248" s="524"/>
      <c r="D248" s="524"/>
      <c r="E248" s="524"/>
      <c r="F248" s="524"/>
      <c r="G248" s="524"/>
      <c r="H248" s="524"/>
      <c r="I248" s="524"/>
      <c r="J248" s="524"/>
      <c r="K248" s="524"/>
      <c r="L248" s="524"/>
      <c r="M248" s="524"/>
      <c r="N248" s="524"/>
      <c r="O248" s="524"/>
      <c r="P248" s="524"/>
      <c r="Q248" s="524"/>
      <c r="R248" s="524"/>
      <c r="S248" s="524"/>
      <c r="T248" s="524"/>
      <c r="U248" s="524"/>
      <c r="V248" s="524"/>
      <c r="W248" s="524"/>
      <c r="X248" s="524"/>
      <c r="Y248" s="524"/>
      <c r="Z248" s="524"/>
      <c r="AA248" s="524"/>
      <c r="AB248" s="524"/>
      <c r="AC248" s="524"/>
      <c r="AD248" s="524"/>
      <c r="AE248" s="524"/>
      <c r="AF248" s="524"/>
      <c r="AG248" s="524"/>
      <c r="AH248" s="524"/>
      <c r="AI248" s="524"/>
      <c r="AJ248" s="524"/>
      <c r="AK248" s="524"/>
      <c r="AL248" s="524"/>
      <c r="AM248" s="524"/>
      <c r="AN248" s="524"/>
      <c r="AO248" s="524"/>
      <c r="AP248" s="524"/>
      <c r="AQ248" s="524"/>
      <c r="AR248" s="524"/>
      <c r="AS248" s="524"/>
    </row>
    <row r="249" spans="2:45">
      <c r="B249" s="524"/>
      <c r="C249" s="524"/>
      <c r="D249" s="524"/>
      <c r="E249" s="524"/>
      <c r="F249" s="524"/>
      <c r="G249" s="524"/>
      <c r="H249" s="524"/>
      <c r="I249" s="524"/>
      <c r="J249" s="524"/>
      <c r="K249" s="524"/>
      <c r="L249" s="524"/>
      <c r="M249" s="524"/>
      <c r="N249" s="524"/>
      <c r="O249" s="524"/>
      <c r="P249" s="524"/>
      <c r="Q249" s="524"/>
      <c r="R249" s="524"/>
      <c r="S249" s="524"/>
      <c r="T249" s="524"/>
      <c r="U249" s="524"/>
      <c r="V249" s="524"/>
      <c r="W249" s="524"/>
      <c r="X249" s="524"/>
      <c r="Y249" s="524"/>
      <c r="Z249" s="524"/>
      <c r="AA249" s="524"/>
      <c r="AB249" s="524"/>
      <c r="AC249" s="524"/>
      <c r="AD249" s="524"/>
      <c r="AE249" s="524"/>
      <c r="AF249" s="524"/>
      <c r="AG249" s="524"/>
      <c r="AH249" s="524"/>
      <c r="AI249" s="524"/>
      <c r="AJ249" s="524"/>
      <c r="AK249" s="524"/>
      <c r="AL249" s="524"/>
      <c r="AM249" s="524"/>
      <c r="AN249" s="524"/>
      <c r="AO249" s="524"/>
      <c r="AP249" s="524"/>
      <c r="AQ249" s="524"/>
      <c r="AR249" s="524"/>
      <c r="AS249" s="524"/>
    </row>
    <row r="250" spans="2:45">
      <c r="B250" s="524"/>
      <c r="C250" s="524"/>
      <c r="D250" s="524"/>
      <c r="E250" s="524"/>
      <c r="F250" s="524"/>
      <c r="G250" s="524"/>
      <c r="H250" s="524"/>
      <c r="I250" s="524"/>
      <c r="J250" s="524"/>
      <c r="K250" s="524"/>
      <c r="L250" s="524"/>
      <c r="M250" s="524"/>
      <c r="N250" s="524"/>
      <c r="O250" s="524"/>
      <c r="P250" s="524"/>
      <c r="Q250" s="524"/>
      <c r="R250" s="524"/>
      <c r="S250" s="524"/>
      <c r="T250" s="524"/>
      <c r="U250" s="524"/>
      <c r="V250" s="524"/>
      <c r="W250" s="524"/>
      <c r="X250" s="524"/>
      <c r="Y250" s="524"/>
      <c r="Z250" s="524"/>
      <c r="AA250" s="524"/>
      <c r="AB250" s="524"/>
      <c r="AC250" s="524"/>
      <c r="AD250" s="524"/>
      <c r="AE250" s="524"/>
      <c r="AF250" s="524"/>
      <c r="AG250" s="524"/>
      <c r="AH250" s="524"/>
      <c r="AI250" s="524"/>
      <c r="AJ250" s="524"/>
      <c r="AK250" s="524"/>
      <c r="AL250" s="524"/>
      <c r="AM250" s="524"/>
      <c r="AN250" s="524"/>
      <c r="AO250" s="524"/>
      <c r="AP250" s="524"/>
      <c r="AQ250" s="524"/>
      <c r="AR250" s="524"/>
      <c r="AS250" s="524"/>
    </row>
    <row r="251" spans="2:45">
      <c r="B251" s="524"/>
      <c r="C251" s="524"/>
      <c r="D251" s="524"/>
      <c r="E251" s="524"/>
      <c r="F251" s="524"/>
      <c r="G251" s="524"/>
      <c r="H251" s="524"/>
      <c r="I251" s="524"/>
      <c r="J251" s="524"/>
      <c r="K251" s="524"/>
      <c r="L251" s="524"/>
      <c r="M251" s="524"/>
      <c r="N251" s="524"/>
      <c r="O251" s="524"/>
      <c r="P251" s="524"/>
      <c r="Q251" s="524"/>
      <c r="R251" s="524"/>
      <c r="S251" s="524"/>
      <c r="T251" s="524"/>
      <c r="U251" s="524"/>
      <c r="V251" s="524"/>
      <c r="W251" s="524"/>
      <c r="X251" s="524"/>
      <c r="Y251" s="524"/>
      <c r="Z251" s="524"/>
      <c r="AA251" s="524"/>
      <c r="AB251" s="524"/>
      <c r="AC251" s="524"/>
      <c r="AD251" s="524"/>
      <c r="AE251" s="524"/>
      <c r="AF251" s="524"/>
      <c r="AG251" s="524"/>
      <c r="AH251" s="524"/>
      <c r="AI251" s="524"/>
      <c r="AJ251" s="524"/>
      <c r="AK251" s="524"/>
      <c r="AL251" s="524"/>
      <c r="AM251" s="524"/>
      <c r="AN251" s="524"/>
      <c r="AO251" s="524"/>
      <c r="AP251" s="524"/>
      <c r="AQ251" s="524"/>
      <c r="AR251" s="524"/>
      <c r="AS251" s="524"/>
    </row>
    <row r="252" spans="2:45">
      <c r="B252" s="524"/>
      <c r="C252" s="524"/>
      <c r="D252" s="524"/>
      <c r="E252" s="524"/>
      <c r="F252" s="524"/>
      <c r="G252" s="524"/>
      <c r="H252" s="524"/>
      <c r="I252" s="524"/>
      <c r="J252" s="524"/>
      <c r="K252" s="524"/>
      <c r="L252" s="524"/>
      <c r="M252" s="524"/>
      <c r="N252" s="524"/>
      <c r="O252" s="524"/>
      <c r="P252" s="524"/>
      <c r="Q252" s="524"/>
      <c r="R252" s="524"/>
      <c r="S252" s="524"/>
      <c r="T252" s="524"/>
      <c r="U252" s="524"/>
      <c r="V252" s="524"/>
      <c r="W252" s="524"/>
      <c r="X252" s="524"/>
      <c r="Y252" s="524"/>
      <c r="Z252" s="524"/>
      <c r="AA252" s="524"/>
      <c r="AB252" s="524"/>
      <c r="AC252" s="524"/>
      <c r="AD252" s="524"/>
      <c r="AE252" s="524"/>
      <c r="AF252" s="524"/>
      <c r="AG252" s="524"/>
      <c r="AH252" s="524"/>
      <c r="AI252" s="524"/>
      <c r="AJ252" s="524"/>
      <c r="AK252" s="524"/>
      <c r="AL252" s="524"/>
      <c r="AM252" s="524"/>
      <c r="AN252" s="524"/>
      <c r="AO252" s="524"/>
      <c r="AP252" s="524"/>
      <c r="AQ252" s="524"/>
      <c r="AR252" s="524"/>
      <c r="AS252" s="524"/>
    </row>
    <row r="253" spans="2:45">
      <c r="B253" s="524"/>
      <c r="C253" s="524"/>
      <c r="D253" s="524"/>
      <c r="E253" s="524"/>
      <c r="F253" s="524"/>
      <c r="G253" s="524"/>
      <c r="H253" s="524"/>
      <c r="I253" s="524"/>
      <c r="J253" s="524"/>
      <c r="K253" s="524"/>
      <c r="L253" s="524"/>
      <c r="M253" s="524"/>
      <c r="N253" s="524"/>
      <c r="O253" s="524"/>
      <c r="P253" s="524"/>
      <c r="Q253" s="524"/>
      <c r="R253" s="524"/>
      <c r="S253" s="524"/>
      <c r="T253" s="524"/>
      <c r="U253" s="524"/>
      <c r="V253" s="524"/>
      <c r="W253" s="524"/>
      <c r="X253" s="524"/>
      <c r="Y253" s="524"/>
      <c r="Z253" s="524"/>
      <c r="AA253" s="524"/>
      <c r="AB253" s="524"/>
      <c r="AC253" s="524"/>
      <c r="AD253" s="524"/>
      <c r="AE253" s="524"/>
      <c r="AF253" s="524"/>
      <c r="AG253" s="524"/>
      <c r="AH253" s="524"/>
      <c r="AI253" s="524"/>
      <c r="AJ253" s="524"/>
      <c r="AK253" s="524"/>
      <c r="AL253" s="524"/>
      <c r="AM253" s="524"/>
      <c r="AN253" s="524"/>
      <c r="AO253" s="524"/>
      <c r="AP253" s="524"/>
      <c r="AQ253" s="524"/>
      <c r="AR253" s="524"/>
      <c r="AS253" s="524"/>
    </row>
    <row r="254" spans="2:45">
      <c r="B254" s="524"/>
      <c r="C254" s="524"/>
      <c r="D254" s="524"/>
      <c r="E254" s="524"/>
      <c r="F254" s="524"/>
      <c r="G254" s="524"/>
      <c r="H254" s="524"/>
      <c r="I254" s="524"/>
      <c r="J254" s="524"/>
      <c r="K254" s="524"/>
      <c r="L254" s="524"/>
      <c r="M254" s="524"/>
      <c r="N254" s="524"/>
      <c r="O254" s="524"/>
      <c r="P254" s="524"/>
      <c r="Q254" s="524"/>
      <c r="R254" s="524"/>
      <c r="S254" s="524"/>
      <c r="T254" s="524"/>
      <c r="U254" s="524"/>
      <c r="V254" s="524"/>
      <c r="W254" s="524"/>
      <c r="X254" s="524"/>
      <c r="Y254" s="524"/>
      <c r="Z254" s="524"/>
      <c r="AA254" s="524"/>
      <c r="AB254" s="524"/>
      <c r="AC254" s="524"/>
      <c r="AD254" s="524"/>
      <c r="AE254" s="524"/>
      <c r="AF254" s="524"/>
      <c r="AG254" s="524"/>
      <c r="AH254" s="524"/>
      <c r="AI254" s="524"/>
      <c r="AJ254" s="524"/>
      <c r="AK254" s="524"/>
      <c r="AL254" s="524"/>
      <c r="AM254" s="524"/>
      <c r="AN254" s="524"/>
      <c r="AO254" s="524"/>
      <c r="AP254" s="524"/>
      <c r="AQ254" s="524"/>
      <c r="AR254" s="524"/>
      <c r="AS254" s="524"/>
    </row>
    <row r="255" spans="2:45">
      <c r="B255" s="524"/>
      <c r="C255" s="524"/>
      <c r="D255" s="524"/>
      <c r="E255" s="524"/>
      <c r="F255" s="524"/>
      <c r="G255" s="524"/>
      <c r="H255" s="524"/>
      <c r="I255" s="524"/>
      <c r="J255" s="524"/>
      <c r="K255" s="524"/>
      <c r="L255" s="524"/>
      <c r="M255" s="524"/>
      <c r="N255" s="524"/>
      <c r="O255" s="524"/>
      <c r="P255" s="524"/>
      <c r="Q255" s="524"/>
      <c r="R255" s="524"/>
      <c r="S255" s="524"/>
      <c r="T255" s="524"/>
      <c r="U255" s="524"/>
      <c r="V255" s="524"/>
      <c r="W255" s="524"/>
      <c r="X255" s="524"/>
      <c r="Y255" s="524"/>
      <c r="Z255" s="524"/>
      <c r="AA255" s="524"/>
      <c r="AB255" s="524"/>
      <c r="AC255" s="524"/>
      <c r="AD255" s="524"/>
      <c r="AE255" s="524"/>
      <c r="AF255" s="524"/>
      <c r="AG255" s="524"/>
      <c r="AH255" s="524"/>
      <c r="AI255" s="524"/>
      <c r="AJ255" s="524"/>
      <c r="AK255" s="524"/>
      <c r="AL255" s="524"/>
      <c r="AM255" s="524"/>
      <c r="AN255" s="524"/>
      <c r="AO255" s="524"/>
      <c r="AP255" s="524"/>
      <c r="AQ255" s="524"/>
      <c r="AR255" s="524"/>
      <c r="AS255" s="524"/>
    </row>
    <row r="256" spans="2:45">
      <c r="B256" s="524"/>
      <c r="C256" s="524"/>
      <c r="D256" s="524"/>
      <c r="E256" s="524"/>
      <c r="F256" s="524"/>
      <c r="G256" s="524"/>
      <c r="H256" s="524"/>
      <c r="I256" s="524"/>
      <c r="J256" s="524"/>
      <c r="K256" s="524"/>
      <c r="L256" s="524"/>
      <c r="M256" s="524"/>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c r="AP256" s="524"/>
      <c r="AQ256" s="524"/>
      <c r="AR256" s="524"/>
      <c r="AS256" s="524"/>
    </row>
    <row r="257" spans="2:45">
      <c r="B257" s="524"/>
      <c r="C257" s="524"/>
      <c r="D257" s="524"/>
      <c r="E257" s="524"/>
      <c r="F257" s="524"/>
      <c r="G257" s="524"/>
      <c r="H257" s="524"/>
      <c r="I257" s="524"/>
      <c r="J257" s="524"/>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c r="AQ257" s="524"/>
      <c r="AR257" s="524"/>
      <c r="AS257" s="524"/>
    </row>
    <row r="258" spans="2:45">
      <c r="B258" s="524"/>
      <c r="C258" s="524"/>
      <c r="D258" s="524"/>
      <c r="E258" s="524"/>
      <c r="F258" s="524"/>
      <c r="G258" s="524"/>
      <c r="H258" s="524"/>
      <c r="I258" s="524"/>
      <c r="J258" s="524"/>
      <c r="K258" s="524"/>
      <c r="L258" s="524"/>
      <c r="M258" s="524"/>
      <c r="N258" s="524"/>
      <c r="O258" s="524"/>
      <c r="P258" s="524"/>
      <c r="Q258" s="524"/>
      <c r="R258" s="524"/>
      <c r="S258" s="524"/>
      <c r="T258" s="524"/>
      <c r="U258" s="524"/>
      <c r="V258" s="524"/>
      <c r="W258" s="524"/>
      <c r="X258" s="524"/>
      <c r="Y258" s="524"/>
      <c r="Z258" s="524"/>
      <c r="AA258" s="524"/>
      <c r="AB258" s="524"/>
      <c r="AC258" s="524"/>
      <c r="AD258" s="524"/>
      <c r="AE258" s="524"/>
      <c r="AF258" s="524"/>
      <c r="AG258" s="524"/>
      <c r="AH258" s="524"/>
      <c r="AI258" s="524"/>
      <c r="AJ258" s="524"/>
      <c r="AK258" s="524"/>
      <c r="AL258" s="524"/>
      <c r="AM258" s="524"/>
      <c r="AN258" s="524"/>
      <c r="AO258" s="524"/>
      <c r="AP258" s="524"/>
      <c r="AQ258" s="524"/>
      <c r="AR258" s="524"/>
      <c r="AS258" s="524"/>
    </row>
    <row r="259" spans="2:45">
      <c r="B259" s="524"/>
      <c r="C259" s="524"/>
      <c r="D259" s="524"/>
      <c r="E259" s="524"/>
      <c r="F259" s="524"/>
      <c r="G259" s="524"/>
      <c r="H259" s="524"/>
      <c r="I259" s="524"/>
      <c r="J259" s="524"/>
      <c r="K259" s="524"/>
      <c r="L259" s="524"/>
      <c r="M259" s="524"/>
      <c r="N259" s="524"/>
      <c r="O259" s="524"/>
      <c r="P259" s="524"/>
      <c r="Q259" s="524"/>
      <c r="R259" s="524"/>
      <c r="S259" s="524"/>
      <c r="T259" s="524"/>
      <c r="U259" s="524"/>
      <c r="V259" s="524"/>
      <c r="W259" s="524"/>
      <c r="X259" s="524"/>
      <c r="Y259" s="524"/>
      <c r="Z259" s="524"/>
      <c r="AA259" s="524"/>
      <c r="AB259" s="524"/>
      <c r="AC259" s="524"/>
      <c r="AD259" s="524"/>
      <c r="AE259" s="524"/>
      <c r="AF259" s="524"/>
      <c r="AG259" s="524"/>
      <c r="AH259" s="524"/>
      <c r="AI259" s="524"/>
      <c r="AJ259" s="524"/>
      <c r="AK259" s="524"/>
      <c r="AL259" s="524"/>
      <c r="AM259" s="524"/>
      <c r="AN259" s="524"/>
      <c r="AO259" s="524"/>
      <c r="AP259" s="524"/>
      <c r="AQ259" s="524"/>
      <c r="AR259" s="524"/>
      <c r="AS259" s="524"/>
    </row>
    <row r="260" spans="2:45">
      <c r="B260" s="524"/>
      <c r="C260" s="524"/>
      <c r="D260" s="524"/>
      <c r="E260" s="524"/>
      <c r="F260" s="524"/>
      <c r="G260" s="524"/>
      <c r="H260" s="524"/>
      <c r="I260" s="524"/>
      <c r="J260" s="524"/>
      <c r="K260" s="524"/>
      <c r="L260" s="524"/>
      <c r="M260" s="524"/>
      <c r="N260" s="524"/>
      <c r="O260" s="524"/>
      <c r="P260" s="524"/>
      <c r="Q260" s="524"/>
      <c r="R260" s="524"/>
      <c r="S260" s="524"/>
      <c r="T260" s="524"/>
      <c r="U260" s="524"/>
      <c r="V260" s="524"/>
      <c r="W260" s="524"/>
      <c r="X260" s="524"/>
      <c r="Y260" s="524"/>
      <c r="Z260" s="524"/>
      <c r="AA260" s="524"/>
      <c r="AB260" s="524"/>
      <c r="AC260" s="524"/>
      <c r="AD260" s="524"/>
      <c r="AE260" s="524"/>
      <c r="AF260" s="524"/>
      <c r="AG260" s="524"/>
      <c r="AH260" s="524"/>
      <c r="AI260" s="524"/>
      <c r="AJ260" s="524"/>
      <c r="AK260" s="524"/>
      <c r="AL260" s="524"/>
      <c r="AM260" s="524"/>
      <c r="AN260" s="524"/>
      <c r="AO260" s="524"/>
      <c r="AP260" s="524"/>
      <c r="AQ260" s="524"/>
      <c r="AR260" s="524"/>
      <c r="AS260" s="524"/>
    </row>
    <row r="261" spans="2:45">
      <c r="B261" s="524"/>
      <c r="C261" s="524"/>
      <c r="D261" s="524"/>
      <c r="E261" s="524"/>
      <c r="F261" s="524"/>
      <c r="G261" s="524"/>
      <c r="H261" s="524"/>
      <c r="I261" s="524"/>
      <c r="J261" s="524"/>
      <c r="K261" s="524"/>
      <c r="L261" s="524"/>
      <c r="M261" s="524"/>
      <c r="N261" s="524"/>
      <c r="O261" s="524"/>
      <c r="P261" s="524"/>
      <c r="Q261" s="524"/>
      <c r="R261" s="524"/>
      <c r="S261" s="524"/>
      <c r="T261" s="524"/>
      <c r="U261" s="524"/>
      <c r="V261" s="524"/>
      <c r="W261" s="524"/>
      <c r="X261" s="524"/>
      <c r="Y261" s="524"/>
      <c r="Z261" s="524"/>
      <c r="AA261" s="524"/>
      <c r="AB261" s="524"/>
      <c r="AC261" s="524"/>
      <c r="AD261" s="524"/>
      <c r="AE261" s="524"/>
      <c r="AF261" s="524"/>
      <c r="AG261" s="524"/>
      <c r="AH261" s="524"/>
      <c r="AI261" s="524"/>
      <c r="AJ261" s="524"/>
      <c r="AK261" s="524"/>
      <c r="AL261" s="524"/>
      <c r="AM261" s="524"/>
      <c r="AN261" s="524"/>
      <c r="AO261" s="524"/>
      <c r="AP261" s="524"/>
      <c r="AQ261" s="524"/>
      <c r="AR261" s="524"/>
      <c r="AS261" s="524"/>
    </row>
    <row r="262" spans="2:45">
      <c r="B262" s="524"/>
      <c r="C262" s="524"/>
      <c r="D262" s="524"/>
      <c r="E262" s="524"/>
      <c r="F262" s="524"/>
      <c r="G262" s="524"/>
      <c r="H262" s="524"/>
      <c r="I262" s="524"/>
      <c r="J262" s="524"/>
      <c r="K262" s="524"/>
      <c r="L262" s="524"/>
      <c r="M262" s="524"/>
      <c r="N262" s="524"/>
      <c r="O262" s="524"/>
      <c r="P262" s="524"/>
      <c r="Q262" s="524"/>
      <c r="R262" s="524"/>
      <c r="S262" s="524"/>
      <c r="T262" s="524"/>
      <c r="U262" s="524"/>
      <c r="V262" s="524"/>
      <c r="W262" s="524"/>
      <c r="X262" s="524"/>
      <c r="Y262" s="524"/>
      <c r="Z262" s="524"/>
      <c r="AA262" s="524"/>
      <c r="AB262" s="524"/>
      <c r="AC262" s="524"/>
      <c r="AD262" s="524"/>
      <c r="AE262" s="524"/>
      <c r="AF262" s="524"/>
      <c r="AG262" s="524"/>
      <c r="AH262" s="524"/>
      <c r="AI262" s="524"/>
      <c r="AJ262" s="524"/>
      <c r="AK262" s="524"/>
      <c r="AL262" s="524"/>
      <c r="AM262" s="524"/>
      <c r="AN262" s="524"/>
      <c r="AO262" s="524"/>
      <c r="AP262" s="524"/>
      <c r="AQ262" s="524"/>
      <c r="AR262" s="524"/>
      <c r="AS262" s="524"/>
    </row>
    <row r="263" spans="2:45">
      <c r="B263" s="524"/>
      <c r="C263" s="524"/>
      <c r="D263" s="524"/>
      <c r="E263" s="524"/>
      <c r="F263" s="524"/>
      <c r="G263" s="524"/>
      <c r="H263" s="524"/>
      <c r="I263" s="524"/>
      <c r="J263" s="524"/>
      <c r="K263" s="524"/>
      <c r="L263" s="524"/>
      <c r="M263" s="524"/>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c r="AP263" s="524"/>
      <c r="AQ263" s="524"/>
      <c r="AR263" s="524"/>
      <c r="AS263" s="524"/>
    </row>
    <row r="264" spans="2:45">
      <c r="B264" s="524"/>
      <c r="C264" s="524"/>
      <c r="D264" s="524"/>
      <c r="E264" s="524"/>
      <c r="F264" s="524"/>
      <c r="G264" s="524"/>
      <c r="H264" s="524"/>
      <c r="I264" s="524"/>
      <c r="J264" s="524"/>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c r="AQ264" s="524"/>
      <c r="AR264" s="524"/>
      <c r="AS264" s="524"/>
    </row>
    <row r="265" spans="2:45">
      <c r="B265" s="524"/>
      <c r="C265" s="524"/>
      <c r="D265" s="524"/>
      <c r="E265" s="524"/>
      <c r="F265" s="524"/>
      <c r="G265" s="524"/>
      <c r="H265" s="524"/>
      <c r="I265" s="524"/>
      <c r="J265" s="524"/>
      <c r="K265" s="524"/>
      <c r="L265" s="524"/>
      <c r="M265" s="524"/>
      <c r="N265" s="524"/>
      <c r="O265" s="524"/>
      <c r="P265" s="524"/>
      <c r="Q265" s="524"/>
      <c r="R265" s="524"/>
      <c r="S265" s="524"/>
      <c r="T265" s="524"/>
      <c r="U265" s="524"/>
      <c r="V265" s="524"/>
      <c r="W265" s="524"/>
      <c r="X265" s="524"/>
      <c r="Y265" s="524"/>
      <c r="Z265" s="524"/>
      <c r="AA265" s="524"/>
      <c r="AB265" s="524"/>
      <c r="AC265" s="524"/>
      <c r="AD265" s="524"/>
      <c r="AE265" s="524"/>
      <c r="AF265" s="524"/>
      <c r="AG265" s="524"/>
      <c r="AH265" s="524"/>
      <c r="AI265" s="524"/>
      <c r="AJ265" s="524"/>
      <c r="AK265" s="524"/>
      <c r="AL265" s="524"/>
      <c r="AM265" s="524"/>
      <c r="AN265" s="524"/>
      <c r="AO265" s="524"/>
      <c r="AP265" s="524"/>
      <c r="AQ265" s="524"/>
      <c r="AR265" s="524"/>
      <c r="AS265" s="524"/>
    </row>
    <row r="266" spans="2:45">
      <c r="B266" s="524"/>
      <c r="C266" s="524"/>
      <c r="D266" s="524"/>
      <c r="E266" s="524"/>
      <c r="F266" s="524"/>
      <c r="G266" s="524"/>
      <c r="H266" s="524"/>
      <c r="I266" s="524"/>
      <c r="J266" s="524"/>
      <c r="K266" s="524"/>
      <c r="L266" s="524"/>
      <c r="M266" s="524"/>
      <c r="N266" s="524"/>
      <c r="O266" s="524"/>
      <c r="P266" s="524"/>
      <c r="Q266" s="524"/>
      <c r="R266" s="524"/>
      <c r="S266" s="524"/>
      <c r="T266" s="524"/>
      <c r="U266" s="524"/>
      <c r="V266" s="524"/>
      <c r="W266" s="524"/>
      <c r="X266" s="524"/>
      <c r="Y266" s="524"/>
      <c r="Z266" s="524"/>
      <c r="AA266" s="524"/>
      <c r="AB266" s="524"/>
      <c r="AC266" s="524"/>
      <c r="AD266" s="524"/>
      <c r="AE266" s="524"/>
      <c r="AF266" s="524"/>
      <c r="AG266" s="524"/>
      <c r="AH266" s="524"/>
      <c r="AI266" s="524"/>
      <c r="AJ266" s="524"/>
      <c r="AK266" s="524"/>
      <c r="AL266" s="524"/>
      <c r="AM266" s="524"/>
      <c r="AN266" s="524"/>
      <c r="AO266" s="524"/>
      <c r="AP266" s="524"/>
      <c r="AQ266" s="524"/>
      <c r="AR266" s="524"/>
      <c r="AS266" s="524"/>
    </row>
    <row r="267" spans="2:45">
      <c r="B267" s="524"/>
      <c r="C267" s="524"/>
      <c r="D267" s="524"/>
      <c r="E267" s="524"/>
      <c r="F267" s="524"/>
      <c r="G267" s="524"/>
      <c r="H267" s="524"/>
      <c r="I267" s="524"/>
      <c r="J267" s="524"/>
      <c r="K267" s="524"/>
      <c r="L267" s="524"/>
      <c r="M267" s="524"/>
      <c r="N267" s="524"/>
      <c r="O267" s="524"/>
      <c r="P267" s="524"/>
      <c r="Q267" s="524"/>
      <c r="R267" s="524"/>
      <c r="S267" s="524"/>
      <c r="T267" s="524"/>
      <c r="U267" s="524"/>
      <c r="V267" s="524"/>
      <c r="W267" s="524"/>
      <c r="X267" s="524"/>
      <c r="Y267" s="524"/>
      <c r="Z267" s="524"/>
      <c r="AA267" s="524"/>
      <c r="AB267" s="524"/>
      <c r="AC267" s="524"/>
      <c r="AD267" s="524"/>
      <c r="AE267" s="524"/>
      <c r="AF267" s="524"/>
      <c r="AG267" s="524"/>
      <c r="AH267" s="524"/>
      <c r="AI267" s="524"/>
      <c r="AJ267" s="524"/>
      <c r="AK267" s="524"/>
      <c r="AL267" s="524"/>
      <c r="AM267" s="524"/>
      <c r="AN267" s="524"/>
      <c r="AO267" s="524"/>
      <c r="AP267" s="524"/>
      <c r="AQ267" s="524"/>
      <c r="AR267" s="524"/>
      <c r="AS267" s="524"/>
    </row>
    <row r="268" spans="2:45">
      <c r="B268" s="524"/>
      <c r="C268" s="524"/>
      <c r="D268" s="524"/>
      <c r="E268" s="524"/>
      <c r="F268" s="524"/>
      <c r="G268" s="524"/>
      <c r="H268" s="524"/>
      <c r="I268" s="524"/>
      <c r="J268" s="524"/>
      <c r="K268" s="524"/>
      <c r="L268" s="524"/>
      <c r="M268" s="524"/>
      <c r="N268" s="524"/>
      <c r="O268" s="524"/>
      <c r="P268" s="524"/>
      <c r="Q268" s="524"/>
      <c r="R268" s="524"/>
      <c r="S268" s="524"/>
      <c r="T268" s="524"/>
      <c r="U268" s="524"/>
      <c r="V268" s="524"/>
      <c r="W268" s="524"/>
      <c r="X268" s="524"/>
      <c r="Y268" s="524"/>
      <c r="Z268" s="524"/>
      <c r="AA268" s="524"/>
      <c r="AB268" s="524"/>
      <c r="AC268" s="524"/>
      <c r="AD268" s="524"/>
      <c r="AE268" s="524"/>
      <c r="AF268" s="524"/>
      <c r="AG268" s="524"/>
      <c r="AH268" s="524"/>
      <c r="AI268" s="524"/>
      <c r="AJ268" s="524"/>
      <c r="AK268" s="524"/>
      <c r="AL268" s="524"/>
      <c r="AM268" s="524"/>
      <c r="AN268" s="524"/>
      <c r="AO268" s="524"/>
      <c r="AP268" s="524"/>
      <c r="AQ268" s="524"/>
      <c r="AR268" s="524"/>
      <c r="AS268" s="524"/>
    </row>
    <row r="269" spans="2:45">
      <c r="B269" s="524"/>
      <c r="C269" s="524"/>
      <c r="D269" s="524"/>
      <c r="E269" s="524"/>
      <c r="F269" s="524"/>
      <c r="G269" s="524"/>
      <c r="H269" s="524"/>
      <c r="I269" s="524"/>
      <c r="J269" s="524"/>
      <c r="K269" s="524"/>
      <c r="L269" s="524"/>
      <c r="M269" s="524"/>
      <c r="N269" s="524"/>
      <c r="O269" s="524"/>
      <c r="P269" s="524"/>
      <c r="Q269" s="524"/>
      <c r="R269" s="524"/>
      <c r="S269" s="524"/>
      <c r="T269" s="524"/>
      <c r="U269" s="524"/>
      <c r="V269" s="524"/>
      <c r="W269" s="524"/>
      <c r="X269" s="524"/>
      <c r="Y269" s="524"/>
      <c r="Z269" s="524"/>
      <c r="AA269" s="524"/>
      <c r="AB269" s="524"/>
      <c r="AC269" s="524"/>
      <c r="AD269" s="524"/>
      <c r="AE269" s="524"/>
      <c r="AF269" s="524"/>
      <c r="AG269" s="524"/>
      <c r="AH269" s="524"/>
      <c r="AI269" s="524"/>
      <c r="AJ269" s="524"/>
      <c r="AK269" s="524"/>
      <c r="AL269" s="524"/>
      <c r="AM269" s="524"/>
      <c r="AN269" s="524"/>
      <c r="AO269" s="524"/>
      <c r="AP269" s="524"/>
      <c r="AQ269" s="524"/>
      <c r="AR269" s="524"/>
      <c r="AS269" s="524"/>
    </row>
    <row r="270" spans="2:45">
      <c r="B270" s="524"/>
      <c r="C270" s="524"/>
      <c r="D270" s="524"/>
      <c r="E270" s="524"/>
      <c r="F270" s="524"/>
      <c r="G270" s="524"/>
      <c r="H270" s="524"/>
      <c r="I270" s="524"/>
      <c r="J270" s="524"/>
      <c r="K270" s="524"/>
      <c r="L270" s="524"/>
      <c r="M270" s="524"/>
      <c r="N270" s="524"/>
      <c r="O270" s="524"/>
      <c r="P270" s="524"/>
      <c r="Q270" s="524"/>
      <c r="R270" s="524"/>
      <c r="S270" s="524"/>
      <c r="T270" s="524"/>
      <c r="U270" s="524"/>
      <c r="V270" s="524"/>
      <c r="W270" s="524"/>
      <c r="X270" s="524"/>
      <c r="Y270" s="524"/>
      <c r="Z270" s="524"/>
      <c r="AA270" s="524"/>
      <c r="AB270" s="524"/>
      <c r="AC270" s="524"/>
      <c r="AD270" s="524"/>
      <c r="AE270" s="524"/>
      <c r="AF270" s="524"/>
      <c r="AG270" s="524"/>
      <c r="AH270" s="524"/>
      <c r="AI270" s="524"/>
      <c r="AJ270" s="524"/>
      <c r="AK270" s="524"/>
      <c r="AL270" s="524"/>
      <c r="AM270" s="524"/>
      <c r="AN270" s="524"/>
      <c r="AO270" s="524"/>
      <c r="AP270" s="524"/>
      <c r="AQ270" s="524"/>
      <c r="AR270" s="524"/>
      <c r="AS270" s="524"/>
    </row>
    <row r="271" spans="2:45">
      <c r="B271" s="524"/>
      <c r="C271" s="524"/>
      <c r="D271" s="524"/>
      <c r="E271" s="524"/>
      <c r="F271" s="524"/>
      <c r="G271" s="524"/>
      <c r="H271" s="524"/>
      <c r="I271" s="524"/>
      <c r="J271" s="524"/>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c r="AK271" s="524"/>
      <c r="AL271" s="524"/>
      <c r="AM271" s="524"/>
      <c r="AN271" s="524"/>
      <c r="AO271" s="524"/>
      <c r="AP271" s="524"/>
      <c r="AQ271" s="524"/>
      <c r="AR271" s="524"/>
      <c r="AS271" s="524"/>
    </row>
    <row r="272" spans="2:45">
      <c r="B272" s="524"/>
      <c r="C272" s="524"/>
      <c r="D272" s="524"/>
      <c r="E272" s="524"/>
      <c r="F272" s="524"/>
      <c r="G272" s="524"/>
      <c r="H272" s="524"/>
      <c r="I272" s="524"/>
      <c r="J272" s="524"/>
      <c r="K272" s="524"/>
      <c r="L272" s="524"/>
      <c r="M272" s="524"/>
      <c r="N272" s="524"/>
      <c r="O272" s="524"/>
      <c r="P272" s="524"/>
      <c r="Q272" s="524"/>
      <c r="R272" s="524"/>
      <c r="S272" s="524"/>
      <c r="T272" s="524"/>
      <c r="U272" s="524"/>
      <c r="V272" s="524"/>
      <c r="W272" s="524"/>
      <c r="X272" s="524"/>
      <c r="Y272" s="524"/>
      <c r="Z272" s="524"/>
      <c r="AA272" s="524"/>
      <c r="AB272" s="524"/>
      <c r="AC272" s="524"/>
      <c r="AD272" s="524"/>
      <c r="AE272" s="524"/>
      <c r="AF272" s="524"/>
      <c r="AG272" s="524"/>
      <c r="AH272" s="524"/>
      <c r="AI272" s="524"/>
      <c r="AJ272" s="524"/>
      <c r="AK272" s="524"/>
      <c r="AL272" s="524"/>
      <c r="AM272" s="524"/>
      <c r="AN272" s="524"/>
      <c r="AO272" s="524"/>
      <c r="AP272" s="524"/>
      <c r="AQ272" s="524"/>
      <c r="AR272" s="524"/>
      <c r="AS272" s="524"/>
    </row>
    <row r="273" spans="2:45">
      <c r="B273" s="524"/>
      <c r="C273" s="524"/>
      <c r="D273" s="524"/>
      <c r="E273" s="524"/>
      <c r="F273" s="524"/>
      <c r="G273" s="524"/>
      <c r="H273" s="524"/>
      <c r="I273" s="524"/>
      <c r="J273" s="524"/>
      <c r="K273" s="524"/>
      <c r="L273" s="524"/>
      <c r="M273" s="524"/>
      <c r="N273" s="524"/>
      <c r="O273" s="524"/>
      <c r="P273" s="524"/>
      <c r="Q273" s="524"/>
      <c r="R273" s="524"/>
      <c r="S273" s="524"/>
      <c r="T273" s="524"/>
      <c r="U273" s="524"/>
      <c r="V273" s="524"/>
      <c r="W273" s="524"/>
      <c r="X273" s="524"/>
      <c r="Y273" s="524"/>
      <c r="Z273" s="524"/>
      <c r="AA273" s="524"/>
      <c r="AB273" s="524"/>
      <c r="AC273" s="524"/>
      <c r="AD273" s="524"/>
      <c r="AE273" s="524"/>
      <c r="AF273" s="524"/>
      <c r="AG273" s="524"/>
      <c r="AH273" s="524"/>
      <c r="AI273" s="524"/>
      <c r="AJ273" s="524"/>
      <c r="AK273" s="524"/>
      <c r="AL273" s="524"/>
      <c r="AM273" s="524"/>
      <c r="AN273" s="524"/>
      <c r="AO273" s="524"/>
      <c r="AP273" s="524"/>
      <c r="AQ273" s="524"/>
      <c r="AR273" s="524"/>
      <c r="AS273" s="524"/>
    </row>
    <row r="274" spans="2:45">
      <c r="B274" s="524"/>
      <c r="C274" s="524"/>
      <c r="D274" s="524"/>
      <c r="E274" s="524"/>
      <c r="F274" s="524"/>
      <c r="G274" s="524"/>
      <c r="H274" s="524"/>
      <c r="I274" s="524"/>
      <c r="J274" s="524"/>
      <c r="K274" s="524"/>
      <c r="L274" s="524"/>
      <c r="M274" s="524"/>
      <c r="N274" s="524"/>
      <c r="O274" s="524"/>
      <c r="P274" s="524"/>
      <c r="Q274" s="524"/>
      <c r="R274" s="524"/>
      <c r="S274" s="524"/>
      <c r="T274" s="524"/>
      <c r="U274" s="524"/>
      <c r="V274" s="524"/>
      <c r="W274" s="524"/>
      <c r="X274" s="524"/>
      <c r="Y274" s="524"/>
      <c r="Z274" s="524"/>
      <c r="AA274" s="524"/>
      <c r="AB274" s="524"/>
      <c r="AC274" s="524"/>
      <c r="AD274" s="524"/>
      <c r="AE274" s="524"/>
      <c r="AF274" s="524"/>
      <c r="AG274" s="524"/>
      <c r="AH274" s="524"/>
      <c r="AI274" s="524"/>
      <c r="AJ274" s="524"/>
      <c r="AK274" s="524"/>
      <c r="AL274" s="524"/>
      <c r="AM274" s="524"/>
      <c r="AN274" s="524"/>
      <c r="AO274" s="524"/>
      <c r="AP274" s="524"/>
      <c r="AQ274" s="524"/>
      <c r="AR274" s="524"/>
      <c r="AS274" s="524"/>
    </row>
    <row r="275" spans="2:45">
      <c r="B275" s="524"/>
      <c r="C275" s="524"/>
      <c r="D275" s="524"/>
      <c r="E275" s="524"/>
      <c r="F275" s="524"/>
      <c r="G275" s="524"/>
      <c r="H275" s="524"/>
      <c r="I275" s="524"/>
      <c r="J275" s="524"/>
      <c r="K275" s="524"/>
      <c r="L275" s="524"/>
      <c r="M275" s="524"/>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4"/>
      <c r="AI275" s="524"/>
      <c r="AJ275" s="524"/>
      <c r="AK275" s="524"/>
      <c r="AL275" s="524"/>
      <c r="AM275" s="524"/>
      <c r="AN275" s="524"/>
      <c r="AO275" s="524"/>
      <c r="AP275" s="524"/>
      <c r="AQ275" s="524"/>
      <c r="AR275" s="524"/>
      <c r="AS275" s="524"/>
    </row>
    <row r="276" spans="2:45">
      <c r="B276" s="524"/>
      <c r="C276" s="524"/>
      <c r="D276" s="524"/>
      <c r="E276" s="524"/>
      <c r="F276" s="524"/>
      <c r="G276" s="524"/>
      <c r="H276" s="524"/>
      <c r="I276" s="524"/>
      <c r="J276" s="524"/>
      <c r="K276" s="524"/>
      <c r="L276" s="524"/>
      <c r="M276" s="524"/>
      <c r="N276" s="524"/>
      <c r="O276" s="524"/>
      <c r="P276" s="524"/>
      <c r="Q276" s="524"/>
      <c r="R276" s="524"/>
      <c r="S276" s="524"/>
      <c r="T276" s="524"/>
      <c r="U276" s="524"/>
      <c r="V276" s="524"/>
      <c r="W276" s="524"/>
      <c r="X276" s="524"/>
      <c r="Y276" s="524"/>
      <c r="Z276" s="524"/>
      <c r="AA276" s="524"/>
      <c r="AB276" s="524"/>
      <c r="AC276" s="524"/>
      <c r="AD276" s="524"/>
      <c r="AE276" s="524"/>
      <c r="AF276" s="524"/>
      <c r="AG276" s="524"/>
      <c r="AH276" s="524"/>
      <c r="AI276" s="524"/>
      <c r="AJ276" s="524"/>
      <c r="AK276" s="524"/>
      <c r="AL276" s="524"/>
      <c r="AM276" s="524"/>
      <c r="AN276" s="524"/>
      <c r="AO276" s="524"/>
      <c r="AP276" s="524"/>
      <c r="AQ276" s="524"/>
      <c r="AR276" s="524"/>
      <c r="AS276" s="524"/>
    </row>
    <row r="277" spans="2:45">
      <c r="B277" s="524"/>
      <c r="C277" s="524"/>
      <c r="D277" s="524"/>
      <c r="E277" s="524"/>
      <c r="F277" s="524"/>
      <c r="G277" s="524"/>
      <c r="H277" s="524"/>
      <c r="I277" s="524"/>
      <c r="J277" s="524"/>
      <c r="K277" s="524"/>
      <c r="L277" s="524"/>
      <c r="M277" s="524"/>
      <c r="N277" s="524"/>
      <c r="O277" s="524"/>
      <c r="P277" s="524"/>
      <c r="Q277" s="524"/>
      <c r="R277" s="524"/>
      <c r="S277" s="524"/>
      <c r="T277" s="524"/>
      <c r="U277" s="524"/>
      <c r="V277" s="524"/>
      <c r="W277" s="524"/>
      <c r="X277" s="524"/>
      <c r="Y277" s="524"/>
      <c r="Z277" s="524"/>
      <c r="AA277" s="524"/>
      <c r="AB277" s="524"/>
      <c r="AC277" s="524"/>
      <c r="AD277" s="524"/>
      <c r="AE277" s="524"/>
      <c r="AF277" s="524"/>
      <c r="AG277" s="524"/>
      <c r="AH277" s="524"/>
      <c r="AI277" s="524"/>
      <c r="AJ277" s="524"/>
      <c r="AK277" s="524"/>
      <c r="AL277" s="524"/>
      <c r="AM277" s="524"/>
      <c r="AN277" s="524"/>
      <c r="AO277" s="524"/>
      <c r="AP277" s="524"/>
      <c r="AQ277" s="524"/>
      <c r="AR277" s="524"/>
      <c r="AS277" s="524"/>
    </row>
    <row r="278" spans="2:45">
      <c r="B278" s="524"/>
      <c r="C278" s="524"/>
      <c r="D278" s="524"/>
      <c r="E278" s="524"/>
      <c r="F278" s="524"/>
      <c r="G278" s="524"/>
      <c r="H278" s="524"/>
      <c r="I278" s="524"/>
      <c r="J278" s="524"/>
      <c r="K278" s="524"/>
      <c r="L278" s="524"/>
      <c r="M278" s="524"/>
      <c r="N278" s="524"/>
      <c r="O278" s="524"/>
      <c r="P278" s="524"/>
      <c r="Q278" s="524"/>
      <c r="R278" s="524"/>
      <c r="S278" s="524"/>
      <c r="T278" s="524"/>
      <c r="U278" s="524"/>
      <c r="V278" s="524"/>
      <c r="W278" s="524"/>
      <c r="X278" s="524"/>
      <c r="Y278" s="524"/>
      <c r="Z278" s="524"/>
      <c r="AA278" s="524"/>
      <c r="AB278" s="524"/>
      <c r="AC278" s="524"/>
      <c r="AD278" s="524"/>
      <c r="AE278" s="524"/>
      <c r="AF278" s="524"/>
      <c r="AG278" s="524"/>
      <c r="AH278" s="524"/>
      <c r="AI278" s="524"/>
      <c r="AJ278" s="524"/>
      <c r="AK278" s="524"/>
      <c r="AL278" s="524"/>
      <c r="AM278" s="524"/>
      <c r="AN278" s="524"/>
      <c r="AO278" s="524"/>
      <c r="AP278" s="524"/>
      <c r="AQ278" s="524"/>
      <c r="AR278" s="524"/>
      <c r="AS278" s="524"/>
    </row>
    <row r="279" spans="2:45">
      <c r="B279" s="524"/>
      <c r="C279" s="524"/>
      <c r="D279" s="524"/>
      <c r="E279" s="524"/>
      <c r="F279" s="524"/>
      <c r="G279" s="524"/>
      <c r="H279" s="524"/>
      <c r="I279" s="524"/>
      <c r="J279" s="524"/>
      <c r="K279" s="524"/>
      <c r="L279" s="524"/>
      <c r="M279" s="524"/>
      <c r="N279" s="524"/>
      <c r="O279" s="524"/>
      <c r="P279" s="524"/>
      <c r="Q279" s="524"/>
      <c r="R279" s="524"/>
      <c r="S279" s="524"/>
      <c r="T279" s="524"/>
      <c r="U279" s="524"/>
      <c r="V279" s="524"/>
      <c r="W279" s="524"/>
      <c r="X279" s="524"/>
      <c r="Y279" s="524"/>
      <c r="Z279" s="524"/>
      <c r="AA279" s="524"/>
      <c r="AB279" s="524"/>
      <c r="AC279" s="524"/>
      <c r="AD279" s="524"/>
      <c r="AE279" s="524"/>
      <c r="AF279" s="524"/>
      <c r="AG279" s="524"/>
      <c r="AH279" s="524"/>
      <c r="AI279" s="524"/>
      <c r="AJ279" s="524"/>
      <c r="AK279" s="524"/>
      <c r="AL279" s="524"/>
      <c r="AM279" s="524"/>
      <c r="AN279" s="524"/>
      <c r="AO279" s="524"/>
      <c r="AP279" s="524"/>
      <c r="AQ279" s="524"/>
      <c r="AR279" s="524"/>
      <c r="AS279" s="524"/>
    </row>
    <row r="280" spans="2:45">
      <c r="B280" s="524"/>
      <c r="C280" s="524"/>
      <c r="D280" s="524"/>
      <c r="E280" s="524"/>
      <c r="F280" s="524"/>
      <c r="G280" s="524"/>
      <c r="H280" s="524"/>
      <c r="I280" s="524"/>
      <c r="J280" s="524"/>
      <c r="K280" s="524"/>
      <c r="L280" s="524"/>
      <c r="M280" s="524"/>
      <c r="N280" s="524"/>
      <c r="O280" s="524"/>
      <c r="P280" s="524"/>
      <c r="Q280" s="524"/>
      <c r="R280" s="524"/>
      <c r="S280" s="524"/>
      <c r="T280" s="524"/>
      <c r="U280" s="524"/>
      <c r="V280" s="524"/>
      <c r="W280" s="524"/>
      <c r="X280" s="524"/>
      <c r="Y280" s="524"/>
      <c r="Z280" s="524"/>
      <c r="AA280" s="524"/>
      <c r="AB280" s="524"/>
      <c r="AC280" s="524"/>
      <c r="AD280" s="524"/>
      <c r="AE280" s="524"/>
      <c r="AF280" s="524"/>
      <c r="AG280" s="524"/>
      <c r="AH280" s="524"/>
      <c r="AI280" s="524"/>
      <c r="AJ280" s="524"/>
      <c r="AK280" s="524"/>
      <c r="AL280" s="524"/>
      <c r="AM280" s="524"/>
      <c r="AN280" s="524"/>
      <c r="AO280" s="524"/>
      <c r="AP280" s="524"/>
      <c r="AQ280" s="524"/>
      <c r="AR280" s="524"/>
      <c r="AS280" s="524"/>
    </row>
    <row r="281" spans="2:45">
      <c r="B281" s="524"/>
      <c r="C281" s="524"/>
      <c r="D281" s="524"/>
      <c r="E281" s="524"/>
      <c r="F281" s="524"/>
      <c r="G281" s="524"/>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row>
    <row r="282" spans="2:45">
      <c r="B282" s="524"/>
      <c r="C282" s="524"/>
      <c r="D282" s="524"/>
      <c r="E282" s="524"/>
      <c r="F282" s="524"/>
      <c r="G282" s="524"/>
      <c r="H282" s="524"/>
      <c r="I282" s="524"/>
      <c r="J282" s="524"/>
      <c r="K282" s="524"/>
      <c r="L282" s="524"/>
      <c r="M282" s="524"/>
      <c r="N282" s="524"/>
      <c r="O282" s="524"/>
      <c r="P282" s="524"/>
      <c r="Q282" s="524"/>
      <c r="R282" s="524"/>
      <c r="S282" s="524"/>
      <c r="T282" s="524"/>
      <c r="U282" s="524"/>
      <c r="V282" s="524"/>
      <c r="W282" s="524"/>
      <c r="X282" s="524"/>
      <c r="Y282" s="524"/>
      <c r="Z282" s="524"/>
      <c r="AA282" s="524"/>
      <c r="AB282" s="524"/>
      <c r="AC282" s="524"/>
      <c r="AD282" s="524"/>
      <c r="AE282" s="524"/>
      <c r="AF282" s="524"/>
      <c r="AG282" s="524"/>
      <c r="AH282" s="524"/>
      <c r="AI282" s="524"/>
      <c r="AJ282" s="524"/>
      <c r="AK282" s="524"/>
      <c r="AL282" s="524"/>
      <c r="AM282" s="524"/>
      <c r="AN282" s="524"/>
      <c r="AO282" s="524"/>
      <c r="AP282" s="524"/>
      <c r="AQ282" s="524"/>
      <c r="AR282" s="524"/>
      <c r="AS282" s="524"/>
    </row>
    <row r="283" spans="2:45">
      <c r="B283" s="524"/>
      <c r="C283" s="524"/>
      <c r="D283" s="524"/>
      <c r="E283" s="524"/>
      <c r="F283" s="524"/>
      <c r="G283" s="524"/>
      <c r="H283" s="524"/>
      <c r="I283" s="524"/>
      <c r="J283" s="524"/>
      <c r="K283" s="524"/>
      <c r="L283" s="524"/>
      <c r="M283" s="524"/>
      <c r="N283" s="524"/>
      <c r="O283" s="524"/>
      <c r="P283" s="524"/>
      <c r="Q283" s="524"/>
      <c r="R283" s="524"/>
      <c r="S283" s="524"/>
      <c r="T283" s="524"/>
      <c r="U283" s="524"/>
      <c r="V283" s="524"/>
      <c r="W283" s="524"/>
      <c r="X283" s="524"/>
      <c r="Y283" s="524"/>
      <c r="Z283" s="524"/>
      <c r="AA283" s="524"/>
      <c r="AB283" s="524"/>
      <c r="AC283" s="524"/>
      <c r="AD283" s="524"/>
      <c r="AE283" s="524"/>
      <c r="AF283" s="524"/>
      <c r="AG283" s="524"/>
      <c r="AH283" s="524"/>
      <c r="AI283" s="524"/>
      <c r="AJ283" s="524"/>
      <c r="AK283" s="524"/>
      <c r="AL283" s="524"/>
      <c r="AM283" s="524"/>
      <c r="AN283" s="524"/>
      <c r="AO283" s="524"/>
      <c r="AP283" s="524"/>
      <c r="AQ283" s="524"/>
      <c r="AR283" s="524"/>
      <c r="AS283" s="524"/>
    </row>
    <row r="284" spans="2:45">
      <c r="B284" s="524"/>
      <c r="C284" s="524"/>
      <c r="D284" s="524"/>
      <c r="E284" s="524"/>
      <c r="F284" s="524"/>
      <c r="G284" s="524"/>
      <c r="H284" s="524"/>
      <c r="I284" s="524"/>
      <c r="J284" s="524"/>
      <c r="K284" s="524"/>
      <c r="L284" s="524"/>
      <c r="M284" s="524"/>
      <c r="N284" s="524"/>
      <c r="O284" s="524"/>
      <c r="P284" s="524"/>
      <c r="Q284" s="524"/>
      <c r="R284" s="524"/>
      <c r="S284" s="524"/>
      <c r="T284" s="524"/>
      <c r="U284" s="524"/>
      <c r="V284" s="524"/>
      <c r="W284" s="524"/>
      <c r="X284" s="524"/>
      <c r="Y284" s="524"/>
      <c r="Z284" s="524"/>
      <c r="AA284" s="524"/>
      <c r="AB284" s="524"/>
      <c r="AC284" s="524"/>
      <c r="AD284" s="524"/>
      <c r="AE284" s="524"/>
      <c r="AF284" s="524"/>
      <c r="AG284" s="524"/>
      <c r="AH284" s="524"/>
      <c r="AI284" s="524"/>
      <c r="AJ284" s="524"/>
      <c r="AK284" s="524"/>
      <c r="AL284" s="524"/>
      <c r="AM284" s="524"/>
      <c r="AN284" s="524"/>
      <c r="AO284" s="524"/>
      <c r="AP284" s="524"/>
      <c r="AQ284" s="524"/>
      <c r="AR284" s="524"/>
      <c r="AS284" s="524"/>
    </row>
    <row r="285" spans="2:45">
      <c r="B285" s="524"/>
      <c r="C285" s="524"/>
      <c r="D285" s="524"/>
      <c r="E285" s="524"/>
      <c r="F285" s="524"/>
      <c r="G285" s="524"/>
      <c r="H285" s="524"/>
      <c r="I285" s="524"/>
      <c r="J285" s="524"/>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c r="AQ285" s="524"/>
      <c r="AR285" s="524"/>
      <c r="AS285" s="524"/>
    </row>
    <row r="286" spans="2:45">
      <c r="B286" s="524"/>
      <c r="C286" s="524"/>
      <c r="D286" s="524"/>
      <c r="E286" s="524"/>
      <c r="F286" s="524"/>
      <c r="G286" s="524"/>
      <c r="H286" s="524"/>
      <c r="I286" s="524"/>
      <c r="J286" s="524"/>
      <c r="K286" s="524"/>
      <c r="L286" s="524"/>
      <c r="M286" s="524"/>
      <c r="N286" s="524"/>
      <c r="O286" s="524"/>
      <c r="P286" s="524"/>
      <c r="Q286" s="524"/>
      <c r="R286" s="524"/>
      <c r="S286" s="524"/>
      <c r="T286" s="524"/>
      <c r="U286" s="524"/>
      <c r="V286" s="524"/>
      <c r="W286" s="524"/>
      <c r="X286" s="524"/>
      <c r="Y286" s="524"/>
      <c r="Z286" s="524"/>
      <c r="AA286" s="524"/>
      <c r="AB286" s="524"/>
      <c r="AC286" s="524"/>
      <c r="AD286" s="524"/>
      <c r="AE286" s="524"/>
      <c r="AF286" s="524"/>
      <c r="AG286" s="524"/>
      <c r="AH286" s="524"/>
      <c r="AI286" s="524"/>
      <c r="AJ286" s="524"/>
      <c r="AK286" s="524"/>
      <c r="AL286" s="524"/>
      <c r="AM286" s="524"/>
      <c r="AN286" s="524"/>
      <c r="AO286" s="524"/>
      <c r="AP286" s="524"/>
      <c r="AQ286" s="524"/>
      <c r="AR286" s="524"/>
      <c r="AS286" s="524"/>
    </row>
    <row r="287" spans="2:45">
      <c r="B287" s="524"/>
      <c r="C287" s="524"/>
      <c r="D287" s="524"/>
      <c r="E287" s="524"/>
      <c r="F287" s="524"/>
      <c r="G287" s="524"/>
      <c r="H287" s="524"/>
      <c r="I287" s="524"/>
      <c r="J287" s="524"/>
      <c r="K287" s="524"/>
      <c r="L287" s="524"/>
      <c r="M287" s="524"/>
      <c r="N287" s="524"/>
      <c r="O287" s="524"/>
      <c r="P287" s="524"/>
      <c r="Q287" s="524"/>
      <c r="R287" s="524"/>
      <c r="S287" s="524"/>
      <c r="T287" s="524"/>
      <c r="U287" s="524"/>
      <c r="V287" s="524"/>
      <c r="W287" s="524"/>
      <c r="X287" s="524"/>
      <c r="Y287" s="524"/>
      <c r="Z287" s="524"/>
      <c r="AA287" s="524"/>
      <c r="AB287" s="524"/>
      <c r="AC287" s="524"/>
      <c r="AD287" s="524"/>
      <c r="AE287" s="524"/>
      <c r="AF287" s="524"/>
      <c r="AG287" s="524"/>
      <c r="AH287" s="524"/>
      <c r="AI287" s="524"/>
      <c r="AJ287" s="524"/>
      <c r="AK287" s="524"/>
      <c r="AL287" s="524"/>
      <c r="AM287" s="524"/>
      <c r="AN287" s="524"/>
      <c r="AO287" s="524"/>
      <c r="AP287" s="524"/>
      <c r="AQ287" s="524"/>
      <c r="AR287" s="524"/>
      <c r="AS287" s="524"/>
    </row>
    <row r="288" spans="2:45">
      <c r="B288" s="524"/>
      <c r="C288" s="524"/>
      <c r="D288" s="524"/>
      <c r="E288" s="524"/>
      <c r="F288" s="524"/>
      <c r="G288" s="524"/>
      <c r="H288" s="524"/>
      <c r="I288" s="524"/>
      <c r="J288" s="524"/>
      <c r="K288" s="524"/>
      <c r="L288" s="524"/>
      <c r="M288" s="524"/>
      <c r="N288" s="524"/>
      <c r="O288" s="524"/>
      <c r="P288" s="524"/>
      <c r="Q288" s="524"/>
      <c r="R288" s="524"/>
      <c r="S288" s="524"/>
      <c r="T288" s="524"/>
      <c r="U288" s="524"/>
      <c r="V288" s="524"/>
      <c r="W288" s="524"/>
      <c r="X288" s="524"/>
      <c r="Y288" s="524"/>
      <c r="Z288" s="524"/>
      <c r="AA288" s="524"/>
      <c r="AB288" s="524"/>
      <c r="AC288" s="524"/>
      <c r="AD288" s="524"/>
      <c r="AE288" s="524"/>
      <c r="AF288" s="524"/>
      <c r="AG288" s="524"/>
      <c r="AH288" s="524"/>
      <c r="AI288" s="524"/>
      <c r="AJ288" s="524"/>
      <c r="AK288" s="524"/>
      <c r="AL288" s="524"/>
      <c r="AM288" s="524"/>
      <c r="AN288" s="524"/>
      <c r="AO288" s="524"/>
      <c r="AP288" s="524"/>
      <c r="AQ288" s="524"/>
      <c r="AR288" s="524"/>
      <c r="AS288" s="524"/>
    </row>
    <row r="289" spans="2:45">
      <c r="B289" s="524"/>
      <c r="C289" s="524"/>
      <c r="D289" s="524"/>
      <c r="E289" s="524"/>
      <c r="F289" s="524"/>
      <c r="G289" s="524"/>
      <c r="H289" s="524"/>
      <c r="I289" s="524"/>
      <c r="J289" s="524"/>
      <c r="K289" s="524"/>
      <c r="L289" s="524"/>
      <c r="M289" s="524"/>
      <c r="N289" s="524"/>
      <c r="O289" s="524"/>
      <c r="P289" s="524"/>
      <c r="Q289" s="524"/>
      <c r="R289" s="524"/>
      <c r="S289" s="524"/>
      <c r="T289" s="524"/>
      <c r="U289" s="524"/>
      <c r="V289" s="524"/>
      <c r="W289" s="524"/>
      <c r="X289" s="524"/>
      <c r="Y289" s="524"/>
      <c r="Z289" s="524"/>
      <c r="AA289" s="524"/>
      <c r="AB289" s="524"/>
      <c r="AC289" s="524"/>
      <c r="AD289" s="524"/>
      <c r="AE289" s="524"/>
      <c r="AF289" s="524"/>
      <c r="AG289" s="524"/>
      <c r="AH289" s="524"/>
      <c r="AI289" s="524"/>
      <c r="AJ289" s="524"/>
      <c r="AK289" s="524"/>
      <c r="AL289" s="524"/>
      <c r="AM289" s="524"/>
      <c r="AN289" s="524"/>
      <c r="AO289" s="524"/>
      <c r="AP289" s="524"/>
      <c r="AQ289" s="524"/>
      <c r="AR289" s="524"/>
      <c r="AS289" s="524"/>
    </row>
    <row r="290" spans="2:45">
      <c r="B290" s="524"/>
      <c r="C290" s="524"/>
      <c r="D290" s="524"/>
      <c r="E290" s="524"/>
      <c r="F290" s="524"/>
      <c r="G290" s="524"/>
      <c r="H290" s="524"/>
      <c r="I290" s="524"/>
      <c r="J290" s="524"/>
      <c r="K290" s="524"/>
      <c r="L290" s="524"/>
      <c r="M290" s="524"/>
      <c r="N290" s="524"/>
      <c r="O290" s="524"/>
      <c r="P290" s="524"/>
      <c r="Q290" s="524"/>
      <c r="R290" s="524"/>
      <c r="S290" s="524"/>
      <c r="T290" s="524"/>
      <c r="U290" s="524"/>
      <c r="V290" s="524"/>
      <c r="W290" s="524"/>
      <c r="X290" s="524"/>
      <c r="Y290" s="524"/>
      <c r="Z290" s="524"/>
      <c r="AA290" s="524"/>
      <c r="AB290" s="524"/>
      <c r="AC290" s="524"/>
      <c r="AD290" s="524"/>
      <c r="AE290" s="524"/>
      <c r="AF290" s="524"/>
      <c r="AG290" s="524"/>
      <c r="AH290" s="524"/>
      <c r="AI290" s="524"/>
      <c r="AJ290" s="524"/>
      <c r="AK290" s="524"/>
      <c r="AL290" s="524"/>
      <c r="AM290" s="524"/>
      <c r="AN290" s="524"/>
      <c r="AO290" s="524"/>
      <c r="AP290" s="524"/>
      <c r="AQ290" s="524"/>
      <c r="AR290" s="524"/>
      <c r="AS290" s="524"/>
    </row>
    <row r="291" spans="2:45">
      <c r="B291" s="524"/>
      <c r="C291" s="524"/>
      <c r="D291" s="524"/>
      <c r="E291" s="524"/>
      <c r="F291" s="524"/>
      <c r="G291" s="524"/>
      <c r="H291" s="524"/>
      <c r="I291" s="524"/>
      <c r="J291" s="524"/>
      <c r="K291" s="524"/>
      <c r="L291" s="524"/>
      <c r="M291" s="524"/>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c r="AP291" s="524"/>
      <c r="AQ291" s="524"/>
      <c r="AR291" s="524"/>
      <c r="AS291" s="524"/>
    </row>
    <row r="292" spans="2:45">
      <c r="B292" s="524"/>
      <c r="C292" s="524"/>
      <c r="D292" s="524"/>
      <c r="E292" s="524"/>
      <c r="F292" s="524"/>
      <c r="G292" s="524"/>
      <c r="H292" s="524"/>
      <c r="I292" s="524"/>
      <c r="J292" s="524"/>
      <c r="K292" s="524"/>
      <c r="L292" s="524"/>
      <c r="M292" s="524"/>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c r="AP292" s="524"/>
      <c r="AQ292" s="524"/>
      <c r="AR292" s="524"/>
      <c r="AS292" s="524"/>
    </row>
    <row r="293" spans="2:45">
      <c r="B293" s="524"/>
      <c r="C293" s="524"/>
      <c r="D293" s="524"/>
      <c r="E293" s="524"/>
      <c r="F293" s="524"/>
      <c r="G293" s="524"/>
      <c r="H293" s="524"/>
      <c r="I293" s="524"/>
      <c r="J293" s="524"/>
      <c r="K293" s="524"/>
      <c r="L293" s="524"/>
      <c r="M293" s="524"/>
      <c r="N293" s="524"/>
      <c r="O293" s="524"/>
      <c r="P293" s="524"/>
      <c r="Q293" s="524"/>
      <c r="R293" s="524"/>
      <c r="S293" s="524"/>
      <c r="T293" s="524"/>
      <c r="U293" s="524"/>
      <c r="V293" s="524"/>
      <c r="W293" s="524"/>
      <c r="X293" s="524"/>
      <c r="Y293" s="524"/>
      <c r="Z293" s="524"/>
      <c r="AA293" s="524"/>
      <c r="AB293" s="524"/>
      <c r="AC293" s="524"/>
      <c r="AD293" s="524"/>
      <c r="AE293" s="524"/>
      <c r="AF293" s="524"/>
      <c r="AG293" s="524"/>
      <c r="AH293" s="524"/>
      <c r="AI293" s="524"/>
      <c r="AJ293" s="524"/>
      <c r="AK293" s="524"/>
      <c r="AL293" s="524"/>
      <c r="AM293" s="524"/>
      <c r="AN293" s="524"/>
      <c r="AO293" s="524"/>
      <c r="AP293" s="524"/>
      <c r="AQ293" s="524"/>
      <c r="AR293" s="524"/>
      <c r="AS293" s="524"/>
    </row>
    <row r="294" spans="2:45">
      <c r="B294" s="524"/>
      <c r="C294" s="524"/>
      <c r="D294" s="524"/>
      <c r="E294" s="524"/>
      <c r="F294" s="524"/>
      <c r="G294" s="524"/>
      <c r="H294" s="524"/>
      <c r="I294" s="524"/>
      <c r="J294" s="524"/>
      <c r="K294" s="524"/>
      <c r="L294" s="524"/>
      <c r="M294" s="524"/>
      <c r="N294" s="524"/>
      <c r="O294" s="524"/>
      <c r="P294" s="524"/>
      <c r="Q294" s="524"/>
      <c r="R294" s="524"/>
      <c r="S294" s="524"/>
      <c r="T294" s="524"/>
      <c r="U294" s="524"/>
      <c r="V294" s="524"/>
      <c r="W294" s="524"/>
      <c r="X294" s="524"/>
      <c r="Y294" s="524"/>
      <c r="Z294" s="524"/>
      <c r="AA294" s="524"/>
      <c r="AB294" s="524"/>
      <c r="AC294" s="524"/>
      <c r="AD294" s="524"/>
      <c r="AE294" s="524"/>
      <c r="AF294" s="524"/>
      <c r="AG294" s="524"/>
      <c r="AH294" s="524"/>
      <c r="AI294" s="524"/>
      <c r="AJ294" s="524"/>
      <c r="AK294" s="524"/>
      <c r="AL294" s="524"/>
      <c r="AM294" s="524"/>
      <c r="AN294" s="524"/>
      <c r="AO294" s="524"/>
      <c r="AP294" s="524"/>
      <c r="AQ294" s="524"/>
      <c r="AR294" s="524"/>
      <c r="AS294" s="524"/>
    </row>
    <row r="295" spans="2:45">
      <c r="B295" s="524"/>
      <c r="C295" s="524"/>
      <c r="D295" s="524"/>
      <c r="E295" s="524"/>
      <c r="F295" s="524"/>
      <c r="G295" s="524"/>
      <c r="H295" s="524"/>
      <c r="I295" s="524"/>
      <c r="J295" s="524"/>
      <c r="K295" s="524"/>
      <c r="L295" s="524"/>
      <c r="M295" s="524"/>
      <c r="N295" s="524"/>
      <c r="O295" s="524"/>
      <c r="P295" s="524"/>
      <c r="Q295" s="524"/>
      <c r="R295" s="524"/>
      <c r="S295" s="524"/>
      <c r="T295" s="524"/>
      <c r="U295" s="524"/>
      <c r="V295" s="524"/>
      <c r="W295" s="524"/>
      <c r="X295" s="524"/>
      <c r="Y295" s="524"/>
      <c r="Z295" s="524"/>
      <c r="AA295" s="524"/>
      <c r="AB295" s="524"/>
      <c r="AC295" s="524"/>
      <c r="AD295" s="524"/>
      <c r="AE295" s="524"/>
      <c r="AF295" s="524"/>
      <c r="AG295" s="524"/>
      <c r="AH295" s="524"/>
      <c r="AI295" s="524"/>
      <c r="AJ295" s="524"/>
      <c r="AK295" s="524"/>
      <c r="AL295" s="524"/>
      <c r="AM295" s="524"/>
      <c r="AN295" s="524"/>
      <c r="AO295" s="524"/>
      <c r="AP295" s="524"/>
      <c r="AQ295" s="524"/>
      <c r="AR295" s="524"/>
      <c r="AS295" s="524"/>
    </row>
    <row r="296" spans="2:45">
      <c r="B296" s="524"/>
      <c r="C296" s="524"/>
      <c r="D296" s="524"/>
      <c r="E296" s="524"/>
      <c r="F296" s="524"/>
      <c r="G296" s="524"/>
      <c r="H296" s="524"/>
      <c r="I296" s="524"/>
      <c r="J296" s="524"/>
      <c r="K296" s="524"/>
      <c r="L296" s="524"/>
      <c r="M296" s="524"/>
      <c r="N296" s="524"/>
      <c r="O296" s="524"/>
      <c r="P296" s="524"/>
      <c r="Q296" s="524"/>
      <c r="R296" s="524"/>
      <c r="S296" s="524"/>
      <c r="T296" s="524"/>
      <c r="U296" s="524"/>
      <c r="V296" s="524"/>
      <c r="W296" s="524"/>
      <c r="X296" s="524"/>
      <c r="Y296" s="524"/>
      <c r="Z296" s="524"/>
      <c r="AA296" s="524"/>
      <c r="AB296" s="524"/>
      <c r="AC296" s="524"/>
      <c r="AD296" s="524"/>
      <c r="AE296" s="524"/>
      <c r="AF296" s="524"/>
      <c r="AG296" s="524"/>
      <c r="AH296" s="524"/>
      <c r="AI296" s="524"/>
      <c r="AJ296" s="524"/>
      <c r="AK296" s="524"/>
      <c r="AL296" s="524"/>
      <c r="AM296" s="524"/>
      <c r="AN296" s="524"/>
      <c r="AO296" s="524"/>
      <c r="AP296" s="524"/>
      <c r="AQ296" s="524"/>
      <c r="AR296" s="524"/>
      <c r="AS296" s="524"/>
    </row>
    <row r="297" spans="2:45">
      <c r="B297" s="524"/>
      <c r="C297" s="524"/>
      <c r="D297" s="524"/>
      <c r="E297" s="524"/>
      <c r="F297" s="524"/>
      <c r="G297" s="524"/>
      <c r="H297" s="524"/>
      <c r="I297" s="524"/>
      <c r="J297" s="524"/>
      <c r="K297" s="524"/>
      <c r="L297" s="524"/>
      <c r="M297" s="524"/>
      <c r="N297" s="524"/>
      <c r="O297" s="524"/>
      <c r="P297" s="524"/>
      <c r="Q297" s="524"/>
      <c r="R297" s="524"/>
      <c r="S297" s="524"/>
      <c r="T297" s="524"/>
      <c r="U297" s="524"/>
      <c r="V297" s="524"/>
      <c r="W297" s="524"/>
      <c r="X297" s="524"/>
      <c r="Y297" s="524"/>
      <c r="Z297" s="524"/>
      <c r="AA297" s="524"/>
      <c r="AB297" s="524"/>
      <c r="AC297" s="524"/>
      <c r="AD297" s="524"/>
      <c r="AE297" s="524"/>
      <c r="AF297" s="524"/>
      <c r="AG297" s="524"/>
      <c r="AH297" s="524"/>
      <c r="AI297" s="524"/>
      <c r="AJ297" s="524"/>
      <c r="AK297" s="524"/>
      <c r="AL297" s="524"/>
      <c r="AM297" s="524"/>
      <c r="AN297" s="524"/>
      <c r="AO297" s="524"/>
      <c r="AP297" s="524"/>
      <c r="AQ297" s="524"/>
      <c r="AR297" s="524"/>
      <c r="AS297" s="524"/>
    </row>
    <row r="298" spans="2:45">
      <c r="B298" s="524"/>
      <c r="C298" s="524"/>
      <c r="D298" s="524"/>
      <c r="E298" s="524"/>
      <c r="F298" s="524"/>
      <c r="G298" s="524"/>
      <c r="H298" s="524"/>
      <c r="I298" s="524"/>
      <c r="J298" s="524"/>
      <c r="K298" s="524"/>
      <c r="L298" s="524"/>
      <c r="M298" s="524"/>
      <c r="N298" s="524"/>
      <c r="O298" s="524"/>
      <c r="P298" s="524"/>
      <c r="Q298" s="524"/>
      <c r="R298" s="524"/>
      <c r="S298" s="524"/>
      <c r="T298" s="524"/>
      <c r="U298" s="524"/>
      <c r="V298" s="524"/>
      <c r="W298" s="524"/>
      <c r="X298" s="524"/>
      <c r="Y298" s="524"/>
      <c r="Z298" s="524"/>
      <c r="AA298" s="524"/>
      <c r="AB298" s="524"/>
      <c r="AC298" s="524"/>
      <c r="AD298" s="524"/>
      <c r="AE298" s="524"/>
      <c r="AF298" s="524"/>
      <c r="AG298" s="524"/>
      <c r="AH298" s="524"/>
      <c r="AI298" s="524"/>
      <c r="AJ298" s="524"/>
      <c r="AK298" s="524"/>
      <c r="AL298" s="524"/>
      <c r="AM298" s="524"/>
      <c r="AN298" s="524"/>
      <c r="AO298" s="524"/>
      <c r="AP298" s="524"/>
      <c r="AQ298" s="524"/>
      <c r="AR298" s="524"/>
      <c r="AS298" s="524"/>
    </row>
    <row r="299" spans="2:45">
      <c r="B299" s="524"/>
      <c r="C299" s="524"/>
      <c r="D299" s="524"/>
      <c r="E299" s="524"/>
      <c r="F299" s="524"/>
      <c r="G299" s="524"/>
      <c r="H299" s="524"/>
      <c r="I299" s="524"/>
      <c r="J299" s="524"/>
      <c r="K299" s="524"/>
      <c r="L299" s="524"/>
      <c r="M299" s="524"/>
      <c r="N299" s="524"/>
      <c r="O299" s="524"/>
      <c r="P299" s="524"/>
      <c r="Q299" s="524"/>
      <c r="R299" s="524"/>
      <c r="S299" s="524"/>
      <c r="T299" s="524"/>
      <c r="U299" s="524"/>
      <c r="V299" s="524"/>
      <c r="W299" s="524"/>
      <c r="X299" s="524"/>
      <c r="Y299" s="524"/>
      <c r="Z299" s="524"/>
      <c r="AA299" s="524"/>
      <c r="AB299" s="524"/>
      <c r="AC299" s="524"/>
      <c r="AD299" s="524"/>
      <c r="AE299" s="524"/>
      <c r="AF299" s="524"/>
      <c r="AG299" s="524"/>
      <c r="AH299" s="524"/>
      <c r="AI299" s="524"/>
      <c r="AJ299" s="524"/>
      <c r="AK299" s="524"/>
      <c r="AL299" s="524"/>
      <c r="AM299" s="524"/>
      <c r="AN299" s="524"/>
      <c r="AO299" s="524"/>
      <c r="AP299" s="524"/>
      <c r="AQ299" s="524"/>
      <c r="AR299" s="524"/>
      <c r="AS299" s="524"/>
    </row>
    <row r="300" spans="2:45">
      <c r="B300" s="524"/>
      <c r="C300" s="524"/>
      <c r="D300" s="524"/>
      <c r="E300" s="524"/>
      <c r="F300" s="524"/>
      <c r="G300" s="524"/>
      <c r="H300" s="524"/>
      <c r="I300" s="524"/>
      <c r="J300" s="524"/>
      <c r="K300" s="524"/>
      <c r="L300" s="524"/>
      <c r="M300" s="524"/>
      <c r="N300" s="524"/>
      <c r="O300" s="524"/>
      <c r="P300" s="524"/>
      <c r="Q300" s="524"/>
      <c r="R300" s="524"/>
      <c r="S300" s="524"/>
      <c r="T300" s="524"/>
      <c r="U300" s="524"/>
      <c r="V300" s="524"/>
      <c r="W300" s="524"/>
      <c r="X300" s="524"/>
      <c r="Y300" s="524"/>
      <c r="Z300" s="524"/>
      <c r="AA300" s="524"/>
      <c r="AB300" s="524"/>
      <c r="AC300" s="524"/>
      <c r="AD300" s="524"/>
      <c r="AE300" s="524"/>
      <c r="AF300" s="524"/>
      <c r="AG300" s="524"/>
      <c r="AH300" s="524"/>
      <c r="AI300" s="524"/>
      <c r="AJ300" s="524"/>
      <c r="AK300" s="524"/>
      <c r="AL300" s="524"/>
      <c r="AM300" s="524"/>
      <c r="AN300" s="524"/>
      <c r="AO300" s="524"/>
      <c r="AP300" s="524"/>
      <c r="AQ300" s="524"/>
      <c r="AR300" s="524"/>
      <c r="AS300" s="524"/>
    </row>
    <row r="301" spans="2:45">
      <c r="B301" s="524"/>
      <c r="C301" s="524"/>
      <c r="D301" s="524"/>
      <c r="E301" s="524"/>
      <c r="F301" s="524"/>
      <c r="G301" s="524"/>
      <c r="H301" s="524"/>
      <c r="I301" s="524"/>
      <c r="J301" s="524"/>
      <c r="K301" s="524"/>
      <c r="L301" s="524"/>
      <c r="M301" s="524"/>
      <c r="N301" s="524"/>
      <c r="O301" s="524"/>
      <c r="P301" s="524"/>
      <c r="Q301" s="524"/>
      <c r="R301" s="524"/>
      <c r="S301" s="524"/>
      <c r="T301" s="524"/>
      <c r="U301" s="524"/>
      <c r="V301" s="524"/>
      <c r="W301" s="524"/>
      <c r="X301" s="524"/>
      <c r="Y301" s="524"/>
      <c r="Z301" s="524"/>
      <c r="AA301" s="524"/>
      <c r="AB301" s="524"/>
      <c r="AC301" s="524"/>
      <c r="AD301" s="524"/>
      <c r="AE301" s="524"/>
      <c r="AF301" s="524"/>
      <c r="AG301" s="524"/>
      <c r="AH301" s="524"/>
      <c r="AI301" s="524"/>
      <c r="AJ301" s="524"/>
      <c r="AK301" s="524"/>
      <c r="AL301" s="524"/>
      <c r="AM301" s="524"/>
      <c r="AN301" s="524"/>
      <c r="AO301" s="524"/>
      <c r="AP301" s="524"/>
      <c r="AQ301" s="524"/>
      <c r="AR301" s="524"/>
      <c r="AS301" s="524"/>
    </row>
    <row r="302" spans="2:45">
      <c r="B302" s="524"/>
      <c r="C302" s="524"/>
      <c r="D302" s="524"/>
      <c r="E302" s="524"/>
      <c r="F302" s="524"/>
      <c r="G302" s="524"/>
      <c r="H302" s="524"/>
      <c r="I302" s="524"/>
      <c r="J302" s="524"/>
      <c r="K302" s="524"/>
      <c r="L302" s="524"/>
      <c r="M302" s="524"/>
      <c r="N302" s="524"/>
      <c r="O302" s="524"/>
      <c r="P302" s="524"/>
      <c r="Q302" s="524"/>
      <c r="R302" s="524"/>
      <c r="S302" s="524"/>
      <c r="T302" s="524"/>
      <c r="U302" s="524"/>
      <c r="V302" s="524"/>
      <c r="W302" s="524"/>
      <c r="X302" s="524"/>
      <c r="Y302" s="524"/>
      <c r="Z302" s="524"/>
      <c r="AA302" s="524"/>
      <c r="AB302" s="524"/>
      <c r="AC302" s="524"/>
      <c r="AD302" s="524"/>
      <c r="AE302" s="524"/>
      <c r="AF302" s="524"/>
      <c r="AG302" s="524"/>
      <c r="AH302" s="524"/>
      <c r="AI302" s="524"/>
      <c r="AJ302" s="524"/>
      <c r="AK302" s="524"/>
      <c r="AL302" s="524"/>
      <c r="AM302" s="524"/>
      <c r="AN302" s="524"/>
      <c r="AO302" s="524"/>
      <c r="AP302" s="524"/>
      <c r="AQ302" s="524"/>
      <c r="AR302" s="524"/>
      <c r="AS302" s="524"/>
    </row>
    <row r="303" spans="2:45">
      <c r="B303" s="524"/>
      <c r="C303" s="524"/>
      <c r="D303" s="524"/>
      <c r="E303" s="524"/>
      <c r="F303" s="524"/>
      <c r="G303" s="524"/>
      <c r="H303" s="524"/>
      <c r="I303" s="524"/>
      <c r="J303" s="524"/>
      <c r="K303" s="524"/>
      <c r="L303" s="524"/>
      <c r="M303" s="524"/>
      <c r="N303" s="524"/>
      <c r="O303" s="524"/>
      <c r="P303" s="524"/>
      <c r="Q303" s="524"/>
      <c r="R303" s="524"/>
      <c r="S303" s="524"/>
      <c r="T303" s="524"/>
      <c r="U303" s="524"/>
      <c r="V303" s="524"/>
      <c r="W303" s="524"/>
      <c r="X303" s="524"/>
      <c r="Y303" s="524"/>
      <c r="Z303" s="524"/>
      <c r="AA303" s="524"/>
      <c r="AB303" s="524"/>
      <c r="AC303" s="524"/>
      <c r="AD303" s="524"/>
      <c r="AE303" s="524"/>
      <c r="AF303" s="524"/>
      <c r="AG303" s="524"/>
      <c r="AH303" s="524"/>
      <c r="AI303" s="524"/>
      <c r="AJ303" s="524"/>
      <c r="AK303" s="524"/>
      <c r="AL303" s="524"/>
      <c r="AM303" s="524"/>
      <c r="AN303" s="524"/>
      <c r="AO303" s="524"/>
      <c r="AP303" s="524"/>
      <c r="AQ303" s="524"/>
      <c r="AR303" s="524"/>
      <c r="AS303" s="524"/>
    </row>
    <row r="304" spans="2:45">
      <c r="B304" s="524"/>
      <c r="C304" s="524"/>
      <c r="D304" s="524"/>
      <c r="E304" s="524"/>
      <c r="F304" s="524"/>
      <c r="G304" s="524"/>
      <c r="H304" s="524"/>
      <c r="I304" s="524"/>
      <c r="J304" s="524"/>
      <c r="K304" s="524"/>
      <c r="L304" s="524"/>
      <c r="M304" s="524"/>
      <c r="N304" s="524"/>
      <c r="O304" s="524"/>
      <c r="P304" s="524"/>
      <c r="Q304" s="524"/>
      <c r="R304" s="524"/>
      <c r="S304" s="524"/>
      <c r="T304" s="524"/>
      <c r="U304" s="524"/>
      <c r="V304" s="524"/>
      <c r="W304" s="524"/>
      <c r="X304" s="524"/>
      <c r="Y304" s="524"/>
      <c r="Z304" s="524"/>
      <c r="AA304" s="524"/>
      <c r="AB304" s="524"/>
      <c r="AC304" s="524"/>
      <c r="AD304" s="524"/>
      <c r="AE304" s="524"/>
      <c r="AF304" s="524"/>
      <c r="AG304" s="524"/>
      <c r="AH304" s="524"/>
      <c r="AI304" s="524"/>
      <c r="AJ304" s="524"/>
      <c r="AK304" s="524"/>
      <c r="AL304" s="524"/>
      <c r="AM304" s="524"/>
      <c r="AN304" s="524"/>
      <c r="AO304" s="524"/>
      <c r="AP304" s="524"/>
      <c r="AQ304" s="524"/>
      <c r="AR304" s="524"/>
      <c r="AS304" s="524"/>
    </row>
    <row r="305" spans="2:45">
      <c r="B305" s="524"/>
      <c r="C305" s="524"/>
      <c r="D305" s="524"/>
      <c r="E305" s="524"/>
      <c r="F305" s="524"/>
      <c r="G305" s="524"/>
      <c r="H305" s="524"/>
      <c r="I305" s="524"/>
      <c r="J305" s="524"/>
      <c r="K305" s="524"/>
      <c r="L305" s="524"/>
      <c r="M305" s="524"/>
      <c r="N305" s="524"/>
      <c r="O305" s="524"/>
      <c r="P305" s="524"/>
      <c r="Q305" s="524"/>
      <c r="R305" s="524"/>
      <c r="S305" s="524"/>
      <c r="T305" s="524"/>
      <c r="U305" s="524"/>
      <c r="V305" s="524"/>
      <c r="W305" s="524"/>
      <c r="X305" s="524"/>
      <c r="Y305" s="524"/>
      <c r="Z305" s="524"/>
      <c r="AA305" s="524"/>
      <c r="AB305" s="524"/>
      <c r="AC305" s="524"/>
      <c r="AD305" s="524"/>
      <c r="AE305" s="524"/>
      <c r="AF305" s="524"/>
      <c r="AG305" s="524"/>
      <c r="AH305" s="524"/>
      <c r="AI305" s="524"/>
      <c r="AJ305" s="524"/>
      <c r="AK305" s="524"/>
      <c r="AL305" s="524"/>
      <c r="AM305" s="524"/>
      <c r="AN305" s="524"/>
      <c r="AO305" s="524"/>
      <c r="AP305" s="524"/>
      <c r="AQ305" s="524"/>
      <c r="AR305" s="524"/>
      <c r="AS305" s="524"/>
    </row>
    <row r="306" spans="2:45">
      <c r="B306" s="524"/>
      <c r="C306" s="524"/>
      <c r="D306" s="524"/>
      <c r="E306" s="524"/>
      <c r="F306" s="524"/>
      <c r="G306" s="524"/>
      <c r="H306" s="524"/>
      <c r="I306" s="524"/>
      <c r="J306" s="524"/>
      <c r="K306" s="524"/>
      <c r="L306" s="524"/>
      <c r="M306" s="524"/>
      <c r="N306" s="524"/>
      <c r="O306" s="524"/>
      <c r="P306" s="524"/>
      <c r="Q306" s="524"/>
      <c r="R306" s="524"/>
      <c r="S306" s="524"/>
      <c r="T306" s="524"/>
      <c r="U306" s="524"/>
      <c r="V306" s="524"/>
      <c r="W306" s="524"/>
      <c r="X306" s="524"/>
      <c r="Y306" s="524"/>
      <c r="Z306" s="524"/>
      <c r="AA306" s="524"/>
      <c r="AB306" s="524"/>
      <c r="AC306" s="524"/>
      <c r="AD306" s="524"/>
      <c r="AE306" s="524"/>
      <c r="AF306" s="524"/>
      <c r="AG306" s="524"/>
      <c r="AH306" s="524"/>
      <c r="AI306" s="524"/>
      <c r="AJ306" s="524"/>
      <c r="AK306" s="524"/>
      <c r="AL306" s="524"/>
      <c r="AM306" s="524"/>
      <c r="AN306" s="524"/>
      <c r="AO306" s="524"/>
      <c r="AP306" s="524"/>
      <c r="AQ306" s="524"/>
      <c r="AR306" s="524"/>
      <c r="AS306" s="524"/>
    </row>
    <row r="307" spans="2:45">
      <c r="B307" s="524"/>
      <c r="C307" s="524"/>
      <c r="D307" s="524"/>
      <c r="E307" s="524"/>
      <c r="F307" s="524"/>
      <c r="G307" s="524"/>
      <c r="H307" s="524"/>
      <c r="I307" s="524"/>
      <c r="J307" s="524"/>
      <c r="K307" s="524"/>
      <c r="L307" s="524"/>
      <c r="M307" s="524"/>
      <c r="N307" s="524"/>
      <c r="O307" s="524"/>
      <c r="P307" s="524"/>
      <c r="Q307" s="524"/>
      <c r="R307" s="524"/>
      <c r="S307" s="524"/>
      <c r="T307" s="524"/>
      <c r="U307" s="524"/>
      <c r="V307" s="524"/>
      <c r="W307" s="524"/>
      <c r="X307" s="524"/>
      <c r="Y307" s="524"/>
      <c r="Z307" s="524"/>
      <c r="AA307" s="524"/>
      <c r="AB307" s="524"/>
      <c r="AC307" s="524"/>
      <c r="AD307" s="524"/>
      <c r="AE307" s="524"/>
      <c r="AF307" s="524"/>
      <c r="AG307" s="524"/>
      <c r="AH307" s="524"/>
      <c r="AI307" s="524"/>
      <c r="AJ307" s="524"/>
      <c r="AK307" s="524"/>
      <c r="AL307" s="524"/>
      <c r="AM307" s="524"/>
      <c r="AN307" s="524"/>
      <c r="AO307" s="524"/>
      <c r="AP307" s="524"/>
      <c r="AQ307" s="524"/>
      <c r="AR307" s="524"/>
      <c r="AS307" s="524"/>
    </row>
    <row r="308" spans="2:45">
      <c r="B308" s="524"/>
      <c r="C308" s="524"/>
      <c r="D308" s="524"/>
      <c r="E308" s="524"/>
      <c r="F308" s="524"/>
      <c r="G308" s="524"/>
      <c r="H308" s="524"/>
      <c r="I308" s="524"/>
      <c r="J308" s="524"/>
      <c r="K308" s="524"/>
      <c r="L308" s="524"/>
      <c r="M308" s="524"/>
      <c r="N308" s="524"/>
      <c r="O308" s="524"/>
      <c r="P308" s="524"/>
      <c r="Q308" s="524"/>
      <c r="R308" s="524"/>
      <c r="S308" s="524"/>
      <c r="T308" s="524"/>
      <c r="U308" s="524"/>
      <c r="V308" s="524"/>
      <c r="W308" s="524"/>
      <c r="X308" s="524"/>
      <c r="Y308" s="524"/>
      <c r="Z308" s="524"/>
      <c r="AA308" s="524"/>
      <c r="AB308" s="524"/>
      <c r="AC308" s="524"/>
      <c r="AD308" s="524"/>
      <c r="AE308" s="524"/>
      <c r="AF308" s="524"/>
      <c r="AG308" s="524"/>
      <c r="AH308" s="524"/>
      <c r="AI308" s="524"/>
      <c r="AJ308" s="524"/>
      <c r="AK308" s="524"/>
      <c r="AL308" s="524"/>
      <c r="AM308" s="524"/>
      <c r="AN308" s="524"/>
      <c r="AO308" s="524"/>
      <c r="AP308" s="524"/>
      <c r="AQ308" s="524"/>
      <c r="AR308" s="524"/>
      <c r="AS308" s="524"/>
    </row>
    <row r="309" spans="2:45">
      <c r="B309" s="524"/>
      <c r="C309" s="524"/>
      <c r="D309" s="524"/>
      <c r="E309" s="524"/>
      <c r="F309" s="524"/>
      <c r="G309" s="524"/>
      <c r="H309" s="524"/>
      <c r="I309" s="524"/>
      <c r="J309" s="524"/>
      <c r="K309" s="524"/>
      <c r="L309" s="524"/>
      <c r="M309" s="524"/>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4"/>
      <c r="AP309" s="524"/>
      <c r="AQ309" s="524"/>
      <c r="AR309" s="524"/>
      <c r="AS309" s="524"/>
    </row>
    <row r="310" spans="2:45">
      <c r="B310" s="524"/>
      <c r="C310" s="524"/>
      <c r="D310" s="524"/>
      <c r="E310" s="524"/>
      <c r="F310" s="524"/>
      <c r="G310" s="524"/>
      <c r="H310" s="524"/>
      <c r="I310" s="524"/>
      <c r="J310" s="524"/>
      <c r="K310" s="524"/>
      <c r="L310" s="524"/>
      <c r="M310" s="524"/>
      <c r="N310" s="524"/>
      <c r="O310" s="524"/>
      <c r="P310" s="524"/>
      <c r="Q310" s="524"/>
      <c r="R310" s="524"/>
      <c r="S310" s="524"/>
      <c r="T310" s="524"/>
      <c r="U310" s="524"/>
      <c r="V310" s="524"/>
      <c r="W310" s="524"/>
      <c r="X310" s="524"/>
      <c r="Y310" s="524"/>
      <c r="Z310" s="524"/>
      <c r="AA310" s="524"/>
      <c r="AB310" s="524"/>
      <c r="AC310" s="524"/>
      <c r="AD310" s="524"/>
      <c r="AE310" s="524"/>
      <c r="AF310" s="524"/>
      <c r="AG310" s="524"/>
      <c r="AH310" s="524"/>
      <c r="AI310" s="524"/>
      <c r="AJ310" s="524"/>
      <c r="AK310" s="524"/>
      <c r="AL310" s="524"/>
      <c r="AM310" s="524"/>
      <c r="AN310" s="524"/>
      <c r="AO310" s="524"/>
      <c r="AP310" s="524"/>
      <c r="AQ310" s="524"/>
      <c r="AR310" s="524"/>
      <c r="AS310" s="524"/>
    </row>
    <row r="311" spans="2:45">
      <c r="B311" s="524"/>
      <c r="C311" s="524"/>
      <c r="D311" s="524"/>
      <c r="E311" s="524"/>
      <c r="F311" s="524"/>
      <c r="G311" s="524"/>
      <c r="H311" s="524"/>
      <c r="I311" s="524"/>
      <c r="J311" s="524"/>
      <c r="K311" s="524"/>
      <c r="L311" s="524"/>
      <c r="M311" s="524"/>
      <c r="N311" s="524"/>
      <c r="O311" s="524"/>
      <c r="P311" s="524"/>
      <c r="Q311" s="524"/>
      <c r="R311" s="524"/>
      <c r="S311" s="524"/>
      <c r="T311" s="524"/>
      <c r="U311" s="524"/>
      <c r="V311" s="524"/>
      <c r="W311" s="524"/>
      <c r="X311" s="524"/>
      <c r="Y311" s="524"/>
      <c r="Z311" s="524"/>
      <c r="AA311" s="524"/>
      <c r="AB311" s="524"/>
      <c r="AC311" s="524"/>
      <c r="AD311" s="524"/>
      <c r="AE311" s="524"/>
      <c r="AF311" s="524"/>
      <c r="AG311" s="524"/>
      <c r="AH311" s="524"/>
      <c r="AI311" s="524"/>
      <c r="AJ311" s="524"/>
      <c r="AK311" s="524"/>
      <c r="AL311" s="524"/>
      <c r="AM311" s="524"/>
      <c r="AN311" s="524"/>
      <c r="AO311" s="524"/>
      <c r="AP311" s="524"/>
      <c r="AQ311" s="524"/>
      <c r="AR311" s="524"/>
      <c r="AS311" s="524"/>
    </row>
    <row r="312" spans="2:45">
      <c r="B312" s="524"/>
      <c r="C312" s="524"/>
      <c r="D312" s="524"/>
      <c r="E312" s="524"/>
      <c r="F312" s="524"/>
      <c r="G312" s="524"/>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row>
    <row r="313" spans="2:45">
      <c r="B313" s="524"/>
      <c r="C313" s="524"/>
      <c r="D313" s="524"/>
      <c r="E313" s="524"/>
      <c r="F313" s="524"/>
      <c r="G313" s="524"/>
      <c r="H313" s="524"/>
      <c r="I313" s="524"/>
      <c r="J313" s="524"/>
      <c r="K313" s="524"/>
      <c r="L313" s="524"/>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4"/>
      <c r="AP313" s="524"/>
      <c r="AQ313" s="524"/>
      <c r="AR313" s="524"/>
      <c r="AS313" s="524"/>
    </row>
    <row r="314" spans="2:45">
      <c r="B314" s="524"/>
      <c r="C314" s="524"/>
      <c r="D314" s="524"/>
      <c r="E314" s="524"/>
      <c r="F314" s="524"/>
      <c r="G314" s="524"/>
      <c r="H314" s="524"/>
      <c r="I314" s="524"/>
      <c r="J314" s="524"/>
      <c r="K314" s="524"/>
      <c r="L314" s="524"/>
      <c r="M314" s="524"/>
      <c r="N314" s="524"/>
      <c r="O314" s="524"/>
      <c r="P314" s="524"/>
      <c r="Q314" s="524"/>
      <c r="R314" s="524"/>
      <c r="S314" s="524"/>
      <c r="T314" s="524"/>
      <c r="U314" s="524"/>
      <c r="V314" s="524"/>
      <c r="W314" s="524"/>
      <c r="X314" s="524"/>
      <c r="Y314" s="524"/>
      <c r="Z314" s="524"/>
      <c r="AA314" s="524"/>
      <c r="AB314" s="524"/>
      <c r="AC314" s="524"/>
      <c r="AD314" s="524"/>
      <c r="AE314" s="524"/>
      <c r="AF314" s="524"/>
      <c r="AG314" s="524"/>
      <c r="AH314" s="524"/>
      <c r="AI314" s="524"/>
      <c r="AJ314" s="524"/>
      <c r="AK314" s="524"/>
      <c r="AL314" s="524"/>
      <c r="AM314" s="524"/>
      <c r="AN314" s="524"/>
      <c r="AO314" s="524"/>
      <c r="AP314" s="524"/>
      <c r="AQ314" s="524"/>
      <c r="AR314" s="524"/>
      <c r="AS314" s="524"/>
    </row>
    <row r="315" spans="2:45">
      <c r="B315" s="524"/>
      <c r="C315" s="524"/>
      <c r="D315" s="524"/>
      <c r="E315" s="524"/>
      <c r="F315" s="524"/>
      <c r="G315" s="524"/>
      <c r="H315" s="524"/>
      <c r="I315" s="524"/>
      <c r="J315" s="524"/>
      <c r="K315" s="524"/>
      <c r="L315" s="524"/>
      <c r="M315" s="524"/>
      <c r="N315" s="524"/>
      <c r="O315" s="524"/>
      <c r="P315" s="524"/>
      <c r="Q315" s="524"/>
      <c r="R315" s="524"/>
      <c r="S315" s="524"/>
      <c r="T315" s="524"/>
      <c r="U315" s="524"/>
      <c r="V315" s="524"/>
      <c r="W315" s="524"/>
      <c r="X315" s="524"/>
      <c r="Y315" s="524"/>
      <c r="Z315" s="524"/>
      <c r="AA315" s="524"/>
      <c r="AB315" s="524"/>
      <c r="AC315" s="524"/>
      <c r="AD315" s="524"/>
      <c r="AE315" s="524"/>
      <c r="AF315" s="524"/>
      <c r="AG315" s="524"/>
      <c r="AH315" s="524"/>
      <c r="AI315" s="524"/>
      <c r="AJ315" s="524"/>
      <c r="AK315" s="524"/>
      <c r="AL315" s="524"/>
      <c r="AM315" s="524"/>
      <c r="AN315" s="524"/>
      <c r="AO315" s="524"/>
      <c r="AP315" s="524"/>
      <c r="AQ315" s="524"/>
      <c r="AR315" s="524"/>
      <c r="AS315" s="524"/>
    </row>
    <row r="316" spans="2:45">
      <c r="B316" s="524"/>
      <c r="C316" s="524"/>
      <c r="D316" s="524"/>
      <c r="E316" s="524"/>
      <c r="F316" s="524"/>
      <c r="G316" s="524"/>
      <c r="H316" s="524"/>
      <c r="I316" s="524"/>
      <c r="J316" s="524"/>
      <c r="K316" s="524"/>
      <c r="L316" s="524"/>
      <c r="M316" s="524"/>
      <c r="N316" s="524"/>
      <c r="O316" s="524"/>
      <c r="P316" s="524"/>
      <c r="Q316" s="524"/>
      <c r="R316" s="524"/>
      <c r="S316" s="524"/>
      <c r="T316" s="524"/>
      <c r="U316" s="524"/>
      <c r="V316" s="524"/>
      <c r="W316" s="524"/>
      <c r="X316" s="524"/>
      <c r="Y316" s="524"/>
      <c r="Z316" s="524"/>
      <c r="AA316" s="524"/>
      <c r="AB316" s="524"/>
      <c r="AC316" s="524"/>
      <c r="AD316" s="524"/>
      <c r="AE316" s="524"/>
      <c r="AF316" s="524"/>
      <c r="AG316" s="524"/>
      <c r="AH316" s="524"/>
      <c r="AI316" s="524"/>
      <c r="AJ316" s="524"/>
      <c r="AK316" s="524"/>
      <c r="AL316" s="524"/>
      <c r="AM316" s="524"/>
      <c r="AN316" s="524"/>
      <c r="AO316" s="524"/>
      <c r="AP316" s="524"/>
      <c r="AQ316" s="524"/>
      <c r="AR316" s="524"/>
      <c r="AS316" s="524"/>
    </row>
    <row r="317" spans="2:45">
      <c r="B317" s="524"/>
      <c r="C317" s="524"/>
      <c r="D317" s="524"/>
      <c r="E317" s="524"/>
      <c r="F317" s="524"/>
      <c r="G317" s="524"/>
      <c r="H317" s="524"/>
      <c r="I317" s="524"/>
      <c r="J317" s="524"/>
      <c r="K317" s="524"/>
      <c r="L317" s="524"/>
      <c r="M317" s="524"/>
      <c r="N317" s="524"/>
      <c r="O317" s="524"/>
      <c r="P317" s="524"/>
      <c r="Q317" s="524"/>
      <c r="R317" s="524"/>
      <c r="S317" s="524"/>
      <c r="T317" s="524"/>
      <c r="U317" s="524"/>
      <c r="V317" s="524"/>
      <c r="W317" s="524"/>
      <c r="X317" s="524"/>
      <c r="Y317" s="524"/>
      <c r="Z317" s="524"/>
      <c r="AA317" s="524"/>
      <c r="AB317" s="524"/>
      <c r="AC317" s="524"/>
      <c r="AD317" s="524"/>
      <c r="AE317" s="524"/>
      <c r="AF317" s="524"/>
      <c r="AG317" s="524"/>
      <c r="AH317" s="524"/>
      <c r="AI317" s="524"/>
      <c r="AJ317" s="524"/>
      <c r="AK317" s="524"/>
      <c r="AL317" s="524"/>
      <c r="AM317" s="524"/>
      <c r="AN317" s="524"/>
      <c r="AO317" s="524"/>
      <c r="AP317" s="524"/>
      <c r="AQ317" s="524"/>
      <c r="AR317" s="524"/>
      <c r="AS317" s="524"/>
    </row>
    <row r="318" spans="2:45">
      <c r="B318" s="524"/>
      <c r="C318" s="524"/>
      <c r="D318" s="524"/>
      <c r="E318" s="524"/>
      <c r="F318" s="524"/>
      <c r="G318" s="524"/>
      <c r="H318" s="524"/>
      <c r="I318" s="524"/>
      <c r="J318" s="524"/>
      <c r="K318" s="524"/>
      <c r="L318" s="524"/>
      <c r="M318" s="524"/>
      <c r="N318" s="524"/>
      <c r="O318" s="524"/>
      <c r="P318" s="524"/>
      <c r="Q318" s="524"/>
      <c r="R318" s="524"/>
      <c r="S318" s="524"/>
      <c r="T318" s="524"/>
      <c r="U318" s="524"/>
      <c r="V318" s="524"/>
      <c r="W318" s="524"/>
      <c r="X318" s="524"/>
      <c r="Y318" s="524"/>
      <c r="Z318" s="524"/>
      <c r="AA318" s="524"/>
      <c r="AB318" s="524"/>
      <c r="AC318" s="524"/>
      <c r="AD318" s="524"/>
      <c r="AE318" s="524"/>
      <c r="AF318" s="524"/>
      <c r="AG318" s="524"/>
      <c r="AH318" s="524"/>
      <c r="AI318" s="524"/>
      <c r="AJ318" s="524"/>
      <c r="AK318" s="524"/>
      <c r="AL318" s="524"/>
      <c r="AM318" s="524"/>
      <c r="AN318" s="524"/>
      <c r="AO318" s="524"/>
      <c r="AP318" s="524"/>
      <c r="AQ318" s="524"/>
      <c r="AR318" s="524"/>
      <c r="AS318" s="524"/>
    </row>
    <row r="319" spans="2:45">
      <c r="B319" s="524"/>
      <c r="C319" s="524"/>
      <c r="D319" s="524"/>
      <c r="E319" s="524"/>
      <c r="F319" s="524"/>
      <c r="G319" s="524"/>
      <c r="H319" s="524"/>
      <c r="I319" s="524"/>
      <c r="J319" s="524"/>
      <c r="K319" s="524"/>
      <c r="L319" s="524"/>
      <c r="M319" s="524"/>
      <c r="N319" s="524"/>
      <c r="O319" s="524"/>
      <c r="P319" s="524"/>
      <c r="Q319" s="524"/>
      <c r="R319" s="524"/>
      <c r="S319" s="524"/>
      <c r="T319" s="524"/>
      <c r="U319" s="524"/>
      <c r="V319" s="524"/>
      <c r="W319" s="524"/>
      <c r="X319" s="524"/>
      <c r="Y319" s="524"/>
      <c r="Z319" s="524"/>
      <c r="AA319" s="524"/>
      <c r="AB319" s="524"/>
      <c r="AC319" s="524"/>
      <c r="AD319" s="524"/>
      <c r="AE319" s="524"/>
      <c r="AF319" s="524"/>
      <c r="AG319" s="524"/>
      <c r="AH319" s="524"/>
      <c r="AI319" s="524"/>
      <c r="AJ319" s="524"/>
      <c r="AK319" s="524"/>
      <c r="AL319" s="524"/>
      <c r="AM319" s="524"/>
      <c r="AN319" s="524"/>
      <c r="AO319" s="524"/>
      <c r="AP319" s="524"/>
      <c r="AQ319" s="524"/>
      <c r="AR319" s="524"/>
      <c r="AS319" s="524"/>
    </row>
    <row r="320" spans="2:45">
      <c r="B320" s="524"/>
      <c r="C320" s="524"/>
      <c r="D320" s="524"/>
      <c r="E320" s="524"/>
      <c r="F320" s="524"/>
      <c r="G320" s="524"/>
      <c r="H320" s="524"/>
      <c r="I320" s="524"/>
      <c r="J320" s="524"/>
      <c r="K320" s="524"/>
      <c r="L320" s="524"/>
      <c r="M320" s="524"/>
      <c r="N320" s="524"/>
      <c r="O320" s="524"/>
      <c r="P320" s="524"/>
      <c r="Q320" s="524"/>
      <c r="R320" s="524"/>
      <c r="S320" s="524"/>
      <c r="T320" s="524"/>
      <c r="U320" s="524"/>
      <c r="V320" s="524"/>
      <c r="W320" s="524"/>
      <c r="X320" s="524"/>
      <c r="Y320" s="524"/>
      <c r="Z320" s="524"/>
      <c r="AA320" s="524"/>
      <c r="AB320" s="524"/>
      <c r="AC320" s="524"/>
      <c r="AD320" s="524"/>
      <c r="AE320" s="524"/>
      <c r="AF320" s="524"/>
      <c r="AG320" s="524"/>
      <c r="AH320" s="524"/>
      <c r="AI320" s="524"/>
      <c r="AJ320" s="524"/>
      <c r="AK320" s="524"/>
      <c r="AL320" s="524"/>
      <c r="AM320" s="524"/>
      <c r="AN320" s="524"/>
      <c r="AO320" s="524"/>
      <c r="AP320" s="524"/>
      <c r="AQ320" s="524"/>
      <c r="AR320" s="524"/>
      <c r="AS320" s="524"/>
    </row>
    <row r="321" spans="2:45">
      <c r="B321" s="524"/>
      <c r="C321" s="524"/>
      <c r="D321" s="524"/>
      <c r="E321" s="524"/>
      <c r="F321" s="524"/>
      <c r="G321" s="524"/>
      <c r="H321" s="524"/>
      <c r="I321" s="524"/>
      <c r="J321" s="524"/>
      <c r="K321" s="524"/>
      <c r="L321" s="524"/>
      <c r="M321" s="524"/>
      <c r="N321" s="524"/>
      <c r="O321" s="524"/>
      <c r="P321" s="524"/>
      <c r="Q321" s="524"/>
      <c r="R321" s="524"/>
      <c r="S321" s="524"/>
      <c r="T321" s="524"/>
      <c r="U321" s="524"/>
      <c r="V321" s="524"/>
      <c r="W321" s="524"/>
      <c r="X321" s="524"/>
      <c r="Y321" s="524"/>
      <c r="Z321" s="524"/>
      <c r="AA321" s="524"/>
      <c r="AB321" s="524"/>
      <c r="AC321" s="524"/>
      <c r="AD321" s="524"/>
      <c r="AE321" s="524"/>
      <c r="AF321" s="524"/>
      <c r="AG321" s="524"/>
      <c r="AH321" s="524"/>
      <c r="AI321" s="524"/>
      <c r="AJ321" s="524"/>
      <c r="AK321" s="524"/>
      <c r="AL321" s="524"/>
      <c r="AM321" s="524"/>
      <c r="AN321" s="524"/>
      <c r="AO321" s="524"/>
      <c r="AP321" s="524"/>
      <c r="AQ321" s="524"/>
      <c r="AR321" s="524"/>
      <c r="AS321" s="524"/>
    </row>
    <row r="322" spans="2:45">
      <c r="B322" s="524"/>
      <c r="C322" s="524"/>
      <c r="D322" s="524"/>
      <c r="E322" s="524"/>
      <c r="F322" s="524"/>
      <c r="G322" s="524"/>
      <c r="H322" s="524"/>
      <c r="I322" s="524"/>
      <c r="J322" s="524"/>
      <c r="K322" s="524"/>
      <c r="L322" s="524"/>
      <c r="M322" s="524"/>
      <c r="N322" s="524"/>
      <c r="O322" s="524"/>
      <c r="P322" s="524"/>
      <c r="Q322" s="524"/>
      <c r="R322" s="524"/>
      <c r="S322" s="524"/>
      <c r="T322" s="524"/>
      <c r="U322" s="524"/>
      <c r="V322" s="524"/>
      <c r="W322" s="524"/>
      <c r="X322" s="524"/>
      <c r="Y322" s="524"/>
      <c r="Z322" s="524"/>
      <c r="AA322" s="524"/>
      <c r="AB322" s="524"/>
      <c r="AC322" s="524"/>
      <c r="AD322" s="524"/>
      <c r="AE322" s="524"/>
      <c r="AF322" s="524"/>
      <c r="AG322" s="524"/>
      <c r="AH322" s="524"/>
      <c r="AI322" s="524"/>
      <c r="AJ322" s="524"/>
      <c r="AK322" s="524"/>
      <c r="AL322" s="524"/>
      <c r="AM322" s="524"/>
      <c r="AN322" s="524"/>
      <c r="AO322" s="524"/>
      <c r="AP322" s="524"/>
      <c r="AQ322" s="524"/>
      <c r="AR322" s="524"/>
      <c r="AS322" s="524"/>
    </row>
    <row r="323" spans="2:45">
      <c r="B323" s="524"/>
      <c r="C323" s="524"/>
      <c r="D323" s="524"/>
      <c r="E323" s="524"/>
      <c r="F323" s="524"/>
      <c r="G323" s="524"/>
      <c r="H323" s="524"/>
      <c r="I323" s="524"/>
      <c r="J323" s="524"/>
      <c r="K323" s="524"/>
      <c r="L323" s="524"/>
      <c r="M323" s="524"/>
      <c r="N323" s="524"/>
      <c r="O323" s="524"/>
      <c r="P323" s="524"/>
      <c r="Q323" s="524"/>
      <c r="R323" s="524"/>
      <c r="S323" s="524"/>
      <c r="T323" s="524"/>
      <c r="U323" s="524"/>
      <c r="V323" s="524"/>
      <c r="W323" s="524"/>
      <c r="X323" s="524"/>
      <c r="Y323" s="524"/>
      <c r="Z323" s="524"/>
      <c r="AA323" s="524"/>
      <c r="AB323" s="524"/>
      <c r="AC323" s="524"/>
      <c r="AD323" s="524"/>
      <c r="AE323" s="524"/>
      <c r="AF323" s="524"/>
      <c r="AG323" s="524"/>
      <c r="AH323" s="524"/>
      <c r="AI323" s="524"/>
      <c r="AJ323" s="524"/>
      <c r="AK323" s="524"/>
      <c r="AL323" s="524"/>
      <c r="AM323" s="524"/>
      <c r="AN323" s="524"/>
      <c r="AO323" s="524"/>
      <c r="AP323" s="524"/>
      <c r="AQ323" s="524"/>
      <c r="AR323" s="524"/>
      <c r="AS323" s="524"/>
    </row>
    <row r="324" spans="2:45">
      <c r="B324" s="524"/>
      <c r="C324" s="524"/>
      <c r="D324" s="524"/>
      <c r="E324" s="524"/>
      <c r="F324" s="524"/>
      <c r="G324" s="524"/>
      <c r="H324" s="524"/>
      <c r="I324" s="524"/>
      <c r="J324" s="524"/>
      <c r="K324" s="524"/>
      <c r="L324" s="524"/>
      <c r="M324" s="524"/>
      <c r="N324" s="524"/>
      <c r="O324" s="524"/>
      <c r="P324" s="524"/>
      <c r="Q324" s="524"/>
      <c r="R324" s="524"/>
      <c r="S324" s="524"/>
      <c r="T324" s="524"/>
      <c r="U324" s="524"/>
      <c r="V324" s="524"/>
      <c r="W324" s="524"/>
      <c r="X324" s="524"/>
      <c r="Y324" s="524"/>
      <c r="Z324" s="524"/>
      <c r="AA324" s="524"/>
      <c r="AB324" s="524"/>
      <c r="AC324" s="524"/>
      <c r="AD324" s="524"/>
      <c r="AE324" s="524"/>
      <c r="AF324" s="524"/>
      <c r="AG324" s="524"/>
      <c r="AH324" s="524"/>
      <c r="AI324" s="524"/>
      <c r="AJ324" s="524"/>
      <c r="AK324" s="524"/>
      <c r="AL324" s="524"/>
      <c r="AM324" s="524"/>
      <c r="AN324" s="524"/>
      <c r="AO324" s="524"/>
      <c r="AP324" s="524"/>
      <c r="AQ324" s="524"/>
      <c r="AR324" s="524"/>
      <c r="AS324" s="524"/>
    </row>
    <row r="325" spans="2:45">
      <c r="B325" s="524"/>
      <c r="C325" s="524"/>
      <c r="D325" s="524"/>
      <c r="E325" s="524"/>
      <c r="F325" s="524"/>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4"/>
      <c r="AE325" s="524"/>
      <c r="AF325" s="524"/>
      <c r="AG325" s="524"/>
      <c r="AH325" s="524"/>
      <c r="AI325" s="524"/>
      <c r="AJ325" s="524"/>
      <c r="AK325" s="524"/>
      <c r="AL325" s="524"/>
      <c r="AM325" s="524"/>
      <c r="AN325" s="524"/>
      <c r="AO325" s="524"/>
      <c r="AP325" s="524"/>
      <c r="AQ325" s="524"/>
      <c r="AR325" s="524"/>
      <c r="AS325" s="524"/>
    </row>
    <row r="326" spans="2:45">
      <c r="B326" s="524"/>
      <c r="C326" s="524"/>
      <c r="D326" s="524"/>
      <c r="E326" s="524"/>
      <c r="F326" s="524"/>
      <c r="G326" s="524"/>
      <c r="H326" s="524"/>
      <c r="I326" s="524"/>
      <c r="J326" s="524"/>
      <c r="K326" s="524"/>
      <c r="L326" s="524"/>
      <c r="M326" s="524"/>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4"/>
      <c r="AP326" s="524"/>
      <c r="AQ326" s="524"/>
      <c r="AR326" s="524"/>
      <c r="AS326" s="524"/>
    </row>
    <row r="327" spans="2:45">
      <c r="B327" s="524"/>
      <c r="C327" s="524"/>
      <c r="D327" s="524"/>
      <c r="E327" s="524"/>
      <c r="F327" s="524"/>
      <c r="G327" s="524"/>
      <c r="H327" s="524"/>
      <c r="I327" s="524"/>
      <c r="J327" s="524"/>
      <c r="K327" s="524"/>
      <c r="L327" s="524"/>
      <c r="M327" s="524"/>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4"/>
      <c r="AP327" s="524"/>
      <c r="AQ327" s="524"/>
      <c r="AR327" s="524"/>
      <c r="AS327" s="524"/>
    </row>
    <row r="328" spans="2:45">
      <c r="B328" s="524"/>
      <c r="C328" s="524"/>
      <c r="D328" s="524"/>
      <c r="E328" s="524"/>
      <c r="F328" s="524"/>
      <c r="G328" s="524"/>
      <c r="H328" s="524"/>
      <c r="I328" s="524"/>
      <c r="J328" s="524"/>
      <c r="K328" s="524"/>
      <c r="L328" s="524"/>
      <c r="M328" s="524"/>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4"/>
      <c r="AK328" s="524"/>
      <c r="AL328" s="524"/>
      <c r="AM328" s="524"/>
      <c r="AN328" s="524"/>
      <c r="AO328" s="524"/>
      <c r="AP328" s="524"/>
      <c r="AQ328" s="524"/>
      <c r="AR328" s="524"/>
      <c r="AS328" s="524"/>
    </row>
    <row r="329" spans="2:45">
      <c r="B329" s="524"/>
      <c r="C329" s="524"/>
      <c r="D329" s="524"/>
      <c r="E329" s="524"/>
      <c r="F329" s="524"/>
      <c r="G329" s="524"/>
      <c r="H329" s="524"/>
      <c r="I329" s="524"/>
      <c r="J329" s="524"/>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4"/>
      <c r="AP329" s="524"/>
      <c r="AQ329" s="524"/>
      <c r="AR329" s="524"/>
      <c r="AS329" s="524"/>
    </row>
    <row r="330" spans="2:45">
      <c r="B330" s="524"/>
      <c r="C330" s="524"/>
      <c r="D330" s="524"/>
      <c r="E330" s="524"/>
      <c r="F330" s="524"/>
      <c r="G330" s="524"/>
      <c r="H330" s="524"/>
      <c r="I330" s="524"/>
      <c r="J330" s="524"/>
      <c r="K330" s="524"/>
      <c r="L330" s="524"/>
      <c r="M330" s="524"/>
      <c r="N330" s="524"/>
      <c r="O330" s="524"/>
      <c r="P330" s="524"/>
      <c r="Q330" s="524"/>
      <c r="R330" s="524"/>
      <c r="S330" s="524"/>
      <c r="T330" s="524"/>
      <c r="U330" s="524"/>
      <c r="V330" s="524"/>
      <c r="W330" s="524"/>
      <c r="X330" s="524"/>
      <c r="Y330" s="524"/>
      <c r="Z330" s="524"/>
      <c r="AA330" s="524"/>
      <c r="AB330" s="524"/>
      <c r="AC330" s="524"/>
      <c r="AD330" s="524"/>
      <c r="AE330" s="524"/>
      <c r="AF330" s="524"/>
      <c r="AG330" s="524"/>
      <c r="AH330" s="524"/>
      <c r="AI330" s="524"/>
      <c r="AJ330" s="524"/>
      <c r="AK330" s="524"/>
      <c r="AL330" s="524"/>
      <c r="AM330" s="524"/>
      <c r="AN330" s="524"/>
      <c r="AO330" s="524"/>
      <c r="AP330" s="524"/>
      <c r="AQ330" s="524"/>
      <c r="AR330" s="524"/>
      <c r="AS330" s="524"/>
    </row>
    <row r="331" spans="2:45">
      <c r="B331" s="524"/>
      <c r="C331" s="524"/>
      <c r="D331" s="524"/>
      <c r="E331" s="524"/>
      <c r="F331" s="524"/>
      <c r="G331" s="524"/>
      <c r="H331" s="524"/>
      <c r="I331" s="524"/>
      <c r="J331" s="524"/>
      <c r="K331" s="524"/>
      <c r="L331" s="524"/>
      <c r="M331" s="524"/>
      <c r="N331" s="524"/>
      <c r="O331" s="524"/>
      <c r="P331" s="524"/>
      <c r="Q331" s="524"/>
      <c r="R331" s="524"/>
      <c r="S331" s="524"/>
      <c r="T331" s="524"/>
      <c r="U331" s="524"/>
      <c r="V331" s="524"/>
      <c r="W331" s="524"/>
      <c r="X331" s="524"/>
      <c r="Y331" s="524"/>
      <c r="Z331" s="524"/>
      <c r="AA331" s="524"/>
      <c r="AB331" s="524"/>
      <c r="AC331" s="524"/>
      <c r="AD331" s="524"/>
      <c r="AE331" s="524"/>
      <c r="AF331" s="524"/>
      <c r="AG331" s="524"/>
      <c r="AH331" s="524"/>
      <c r="AI331" s="524"/>
      <c r="AJ331" s="524"/>
      <c r="AK331" s="524"/>
      <c r="AL331" s="524"/>
      <c r="AM331" s="524"/>
      <c r="AN331" s="524"/>
      <c r="AO331" s="524"/>
      <c r="AP331" s="524"/>
      <c r="AQ331" s="524"/>
      <c r="AR331" s="524"/>
      <c r="AS331" s="524"/>
    </row>
    <row r="332" spans="2:45">
      <c r="B332" s="524"/>
      <c r="C332" s="524"/>
      <c r="D332" s="524"/>
      <c r="E332" s="524"/>
      <c r="F332" s="524"/>
      <c r="G332" s="524"/>
      <c r="H332" s="524"/>
      <c r="I332" s="524"/>
      <c r="J332" s="524"/>
      <c r="K332" s="524"/>
      <c r="L332" s="524"/>
      <c r="M332" s="524"/>
      <c r="N332" s="524"/>
      <c r="O332" s="524"/>
      <c r="P332" s="524"/>
      <c r="Q332" s="524"/>
      <c r="R332" s="524"/>
      <c r="S332" s="524"/>
      <c r="T332" s="524"/>
      <c r="U332" s="524"/>
      <c r="V332" s="524"/>
      <c r="W332" s="524"/>
      <c r="X332" s="524"/>
      <c r="Y332" s="524"/>
      <c r="Z332" s="524"/>
      <c r="AA332" s="524"/>
      <c r="AB332" s="524"/>
      <c r="AC332" s="524"/>
      <c r="AD332" s="524"/>
      <c r="AE332" s="524"/>
      <c r="AF332" s="524"/>
      <c r="AG332" s="524"/>
      <c r="AH332" s="524"/>
      <c r="AI332" s="524"/>
      <c r="AJ332" s="524"/>
      <c r="AK332" s="524"/>
      <c r="AL332" s="524"/>
      <c r="AM332" s="524"/>
      <c r="AN332" s="524"/>
      <c r="AO332" s="524"/>
      <c r="AP332" s="524"/>
      <c r="AQ332" s="524"/>
      <c r="AR332" s="524"/>
      <c r="AS332" s="524"/>
    </row>
    <row r="333" spans="2:45">
      <c r="B333" s="524"/>
      <c r="C333" s="524"/>
      <c r="D333" s="524"/>
      <c r="E333" s="524"/>
      <c r="F333" s="524"/>
      <c r="G333" s="524"/>
      <c r="H333" s="524"/>
      <c r="I333" s="524"/>
      <c r="J333" s="524"/>
      <c r="K333" s="524"/>
      <c r="L333" s="524"/>
      <c r="M333" s="524"/>
      <c r="N333" s="524"/>
      <c r="O333" s="524"/>
      <c r="P333" s="524"/>
      <c r="Q333" s="524"/>
      <c r="R333" s="524"/>
      <c r="S333" s="524"/>
      <c r="T333" s="524"/>
      <c r="U333" s="524"/>
      <c r="V333" s="524"/>
      <c r="W333" s="524"/>
      <c r="X333" s="524"/>
      <c r="Y333" s="524"/>
      <c r="Z333" s="524"/>
      <c r="AA333" s="524"/>
      <c r="AB333" s="524"/>
      <c r="AC333" s="524"/>
      <c r="AD333" s="524"/>
      <c r="AE333" s="524"/>
      <c r="AF333" s="524"/>
      <c r="AG333" s="524"/>
      <c r="AH333" s="524"/>
      <c r="AI333" s="524"/>
      <c r="AJ333" s="524"/>
      <c r="AK333" s="524"/>
      <c r="AL333" s="524"/>
      <c r="AM333" s="524"/>
      <c r="AN333" s="524"/>
      <c r="AO333" s="524"/>
      <c r="AP333" s="524"/>
      <c r="AQ333" s="524"/>
      <c r="AR333" s="524"/>
      <c r="AS333" s="524"/>
    </row>
    <row r="334" spans="2:45">
      <c r="B334" s="524"/>
      <c r="C334" s="524"/>
      <c r="D334" s="524"/>
      <c r="E334" s="524"/>
      <c r="F334" s="524"/>
      <c r="G334" s="524"/>
      <c r="H334" s="524"/>
      <c r="I334" s="524"/>
      <c r="J334" s="524"/>
      <c r="K334" s="524"/>
      <c r="L334" s="524"/>
      <c r="M334" s="524"/>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4"/>
      <c r="AP334" s="524"/>
      <c r="AQ334" s="524"/>
      <c r="AR334" s="524"/>
      <c r="AS334" s="524"/>
    </row>
    <row r="335" spans="2:45">
      <c r="B335" s="524"/>
      <c r="C335" s="524"/>
      <c r="D335" s="524"/>
      <c r="E335" s="524"/>
      <c r="F335" s="524"/>
      <c r="G335" s="524"/>
      <c r="H335" s="524"/>
      <c r="I335" s="524"/>
      <c r="J335" s="524"/>
      <c r="K335" s="524"/>
      <c r="L335" s="524"/>
      <c r="M335" s="524"/>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4"/>
      <c r="AP335" s="524"/>
      <c r="AQ335" s="524"/>
      <c r="AR335" s="524"/>
      <c r="AS335" s="524"/>
    </row>
    <row r="336" spans="2:45">
      <c r="B336" s="524"/>
      <c r="C336" s="524"/>
      <c r="D336" s="524"/>
      <c r="E336" s="524"/>
      <c r="F336" s="524"/>
      <c r="G336" s="524"/>
      <c r="H336" s="524"/>
      <c r="I336" s="524"/>
      <c r="J336" s="524"/>
      <c r="K336" s="524"/>
      <c r="L336" s="524"/>
      <c r="M336" s="524"/>
      <c r="N336" s="524"/>
      <c r="O336" s="524"/>
      <c r="P336" s="524"/>
      <c r="Q336" s="524"/>
      <c r="R336" s="524"/>
      <c r="S336" s="524"/>
      <c r="T336" s="524"/>
      <c r="U336" s="524"/>
      <c r="V336" s="524"/>
      <c r="W336" s="524"/>
      <c r="X336" s="524"/>
      <c r="Y336" s="524"/>
      <c r="Z336" s="524"/>
      <c r="AA336" s="524"/>
      <c r="AB336" s="524"/>
      <c r="AC336" s="524"/>
      <c r="AD336" s="524"/>
      <c r="AE336" s="524"/>
      <c r="AF336" s="524"/>
      <c r="AG336" s="524"/>
      <c r="AH336" s="524"/>
      <c r="AI336" s="524"/>
      <c r="AJ336" s="524"/>
      <c r="AK336" s="524"/>
      <c r="AL336" s="524"/>
      <c r="AM336" s="524"/>
      <c r="AN336" s="524"/>
      <c r="AO336" s="524"/>
      <c r="AP336" s="524"/>
      <c r="AQ336" s="524"/>
      <c r="AR336" s="524"/>
      <c r="AS336" s="524"/>
    </row>
    <row r="337" spans="2:45">
      <c r="B337" s="524"/>
      <c r="C337" s="524"/>
      <c r="D337" s="524"/>
      <c r="E337" s="524"/>
      <c r="F337" s="524"/>
      <c r="G337" s="524"/>
      <c r="H337" s="524"/>
      <c r="I337" s="524"/>
      <c r="J337" s="524"/>
      <c r="K337" s="524"/>
      <c r="L337" s="524"/>
      <c r="M337" s="524"/>
      <c r="N337" s="524"/>
      <c r="O337" s="524"/>
      <c r="P337" s="524"/>
      <c r="Q337" s="524"/>
      <c r="R337" s="524"/>
      <c r="S337" s="524"/>
      <c r="T337" s="524"/>
      <c r="U337" s="524"/>
      <c r="V337" s="524"/>
      <c r="W337" s="524"/>
      <c r="X337" s="524"/>
      <c r="Y337" s="524"/>
      <c r="Z337" s="524"/>
      <c r="AA337" s="524"/>
      <c r="AB337" s="524"/>
      <c r="AC337" s="524"/>
      <c r="AD337" s="524"/>
      <c r="AE337" s="524"/>
      <c r="AF337" s="524"/>
      <c r="AG337" s="524"/>
      <c r="AH337" s="524"/>
      <c r="AI337" s="524"/>
      <c r="AJ337" s="524"/>
      <c r="AK337" s="524"/>
      <c r="AL337" s="524"/>
      <c r="AM337" s="524"/>
      <c r="AN337" s="524"/>
      <c r="AO337" s="524"/>
      <c r="AP337" s="524"/>
      <c r="AQ337" s="524"/>
      <c r="AR337" s="524"/>
      <c r="AS337" s="524"/>
    </row>
    <row r="338" spans="2:45">
      <c r="B338" s="524"/>
      <c r="C338" s="524"/>
      <c r="D338" s="524"/>
      <c r="E338" s="524"/>
      <c r="F338" s="524"/>
      <c r="G338" s="524"/>
      <c r="H338" s="524"/>
      <c r="I338" s="524"/>
      <c r="J338" s="524"/>
      <c r="K338" s="524"/>
      <c r="L338" s="524"/>
      <c r="M338" s="524"/>
      <c r="N338" s="524"/>
      <c r="O338" s="524"/>
      <c r="P338" s="524"/>
      <c r="Q338" s="524"/>
      <c r="R338" s="524"/>
      <c r="S338" s="524"/>
      <c r="T338" s="524"/>
      <c r="U338" s="524"/>
      <c r="V338" s="524"/>
      <c r="W338" s="524"/>
      <c r="X338" s="524"/>
      <c r="Y338" s="524"/>
      <c r="Z338" s="524"/>
      <c r="AA338" s="524"/>
      <c r="AB338" s="524"/>
      <c r="AC338" s="524"/>
      <c r="AD338" s="524"/>
      <c r="AE338" s="524"/>
      <c r="AF338" s="524"/>
      <c r="AG338" s="524"/>
      <c r="AH338" s="524"/>
      <c r="AI338" s="524"/>
      <c r="AJ338" s="524"/>
      <c r="AK338" s="524"/>
      <c r="AL338" s="524"/>
      <c r="AM338" s="524"/>
      <c r="AN338" s="524"/>
      <c r="AO338" s="524"/>
      <c r="AP338" s="524"/>
      <c r="AQ338" s="524"/>
      <c r="AR338" s="524"/>
      <c r="AS338" s="524"/>
    </row>
    <row r="339" spans="2:45">
      <c r="B339" s="524"/>
      <c r="C339" s="524"/>
      <c r="D339" s="524"/>
      <c r="E339" s="524"/>
      <c r="F339" s="524"/>
      <c r="G339" s="524"/>
      <c r="H339" s="524"/>
      <c r="I339" s="524"/>
      <c r="J339" s="524"/>
      <c r="K339" s="524"/>
      <c r="L339" s="524"/>
      <c r="M339" s="524"/>
      <c r="N339" s="524"/>
      <c r="O339" s="524"/>
      <c r="P339" s="524"/>
      <c r="Q339" s="524"/>
      <c r="R339" s="524"/>
      <c r="S339" s="524"/>
      <c r="T339" s="524"/>
      <c r="U339" s="524"/>
      <c r="V339" s="524"/>
      <c r="W339" s="524"/>
      <c r="X339" s="524"/>
      <c r="Y339" s="524"/>
      <c r="Z339" s="524"/>
      <c r="AA339" s="524"/>
      <c r="AB339" s="524"/>
      <c r="AC339" s="524"/>
      <c r="AD339" s="524"/>
      <c r="AE339" s="524"/>
      <c r="AF339" s="524"/>
      <c r="AG339" s="524"/>
      <c r="AH339" s="524"/>
      <c r="AI339" s="524"/>
      <c r="AJ339" s="524"/>
      <c r="AK339" s="524"/>
      <c r="AL339" s="524"/>
      <c r="AM339" s="524"/>
      <c r="AN339" s="524"/>
      <c r="AO339" s="524"/>
      <c r="AP339" s="524"/>
      <c r="AQ339" s="524"/>
      <c r="AR339" s="524"/>
      <c r="AS339" s="524"/>
    </row>
    <row r="340" spans="2:45">
      <c r="B340" s="524"/>
      <c r="C340" s="524"/>
      <c r="D340" s="524"/>
      <c r="E340" s="524"/>
      <c r="F340" s="524"/>
      <c r="G340" s="524"/>
      <c r="H340" s="524"/>
      <c r="I340" s="524"/>
      <c r="J340" s="524"/>
      <c r="K340" s="524"/>
      <c r="L340" s="524"/>
      <c r="M340" s="524"/>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c r="AP340" s="524"/>
      <c r="AQ340" s="524"/>
      <c r="AR340" s="524"/>
      <c r="AS340" s="524"/>
    </row>
    <row r="341" spans="2:45">
      <c r="B341" s="524"/>
      <c r="C341" s="524"/>
      <c r="D341" s="524"/>
      <c r="E341" s="524"/>
      <c r="F341" s="524"/>
      <c r="G341" s="524"/>
      <c r="H341" s="524"/>
      <c r="I341" s="524"/>
      <c r="J341" s="524"/>
      <c r="K341" s="524"/>
      <c r="L341" s="524"/>
      <c r="M341" s="524"/>
      <c r="N341" s="524"/>
      <c r="O341" s="524"/>
      <c r="P341" s="524"/>
      <c r="Q341" s="524"/>
      <c r="R341" s="524"/>
      <c r="S341" s="524"/>
      <c r="T341" s="524"/>
      <c r="U341" s="524"/>
      <c r="V341" s="524"/>
      <c r="W341" s="524"/>
      <c r="X341" s="524"/>
      <c r="Y341" s="524"/>
      <c r="Z341" s="524"/>
      <c r="AA341" s="524"/>
      <c r="AB341" s="524"/>
      <c r="AC341" s="524"/>
      <c r="AD341" s="524"/>
      <c r="AE341" s="524"/>
      <c r="AF341" s="524"/>
      <c r="AG341" s="524"/>
      <c r="AH341" s="524"/>
      <c r="AI341" s="524"/>
      <c r="AJ341" s="524"/>
      <c r="AK341" s="524"/>
      <c r="AL341" s="524"/>
      <c r="AM341" s="524"/>
      <c r="AN341" s="524"/>
      <c r="AO341" s="524"/>
      <c r="AP341" s="524"/>
      <c r="AQ341" s="524"/>
      <c r="AR341" s="524"/>
      <c r="AS341" s="524"/>
    </row>
    <row r="342" spans="2:45">
      <c r="B342" s="524"/>
      <c r="C342" s="524"/>
      <c r="D342" s="524"/>
      <c r="E342" s="524"/>
      <c r="F342" s="524"/>
      <c r="G342" s="524"/>
      <c r="H342" s="524"/>
      <c r="I342" s="524"/>
      <c r="J342" s="524"/>
      <c r="K342" s="524"/>
      <c r="L342" s="524"/>
      <c r="M342" s="524"/>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524"/>
      <c r="AP342" s="524"/>
      <c r="AQ342" s="524"/>
      <c r="AR342" s="524"/>
      <c r="AS342" s="524"/>
    </row>
    <row r="343" spans="2:45">
      <c r="B343" s="524"/>
      <c r="C343" s="524"/>
      <c r="D343" s="524"/>
      <c r="E343" s="524"/>
      <c r="F343" s="524"/>
      <c r="G343" s="524"/>
      <c r="H343" s="524"/>
      <c r="I343" s="524"/>
      <c r="J343" s="524"/>
      <c r="K343" s="524"/>
      <c r="L343" s="524"/>
      <c r="M343" s="524"/>
      <c r="N343" s="524"/>
      <c r="O343" s="524"/>
      <c r="P343" s="524"/>
      <c r="Q343" s="524"/>
      <c r="R343" s="524"/>
      <c r="S343" s="524"/>
      <c r="T343" s="524"/>
      <c r="U343" s="524"/>
      <c r="V343" s="524"/>
      <c r="W343" s="524"/>
      <c r="X343" s="524"/>
      <c r="Y343" s="524"/>
      <c r="Z343" s="524"/>
      <c r="AA343" s="524"/>
      <c r="AB343" s="524"/>
      <c r="AC343" s="524"/>
      <c r="AD343" s="524"/>
      <c r="AE343" s="524"/>
      <c r="AF343" s="524"/>
      <c r="AG343" s="524"/>
      <c r="AH343" s="524"/>
      <c r="AI343" s="524"/>
      <c r="AJ343" s="524"/>
      <c r="AK343" s="524"/>
      <c r="AL343" s="524"/>
      <c r="AM343" s="524"/>
      <c r="AN343" s="524"/>
      <c r="AO343" s="524"/>
      <c r="AP343" s="524"/>
      <c r="AQ343" s="524"/>
      <c r="AR343" s="524"/>
      <c r="AS343" s="524"/>
    </row>
    <row r="344" spans="2:45">
      <c r="B344" s="524"/>
      <c r="C344" s="524"/>
      <c r="D344" s="524"/>
      <c r="E344" s="524"/>
      <c r="F344" s="524"/>
      <c r="G344" s="524"/>
      <c r="H344" s="524"/>
      <c r="I344" s="524"/>
      <c r="J344" s="524"/>
      <c r="K344" s="524"/>
      <c r="L344" s="524"/>
      <c r="M344" s="524"/>
      <c r="N344" s="524"/>
      <c r="O344" s="524"/>
      <c r="P344" s="524"/>
      <c r="Q344" s="524"/>
      <c r="R344" s="524"/>
      <c r="S344" s="524"/>
      <c r="T344" s="524"/>
      <c r="U344" s="524"/>
      <c r="V344" s="524"/>
      <c r="W344" s="524"/>
      <c r="X344" s="524"/>
      <c r="Y344" s="524"/>
      <c r="Z344" s="524"/>
      <c r="AA344" s="524"/>
      <c r="AB344" s="524"/>
      <c r="AC344" s="524"/>
      <c r="AD344" s="524"/>
      <c r="AE344" s="524"/>
      <c r="AF344" s="524"/>
      <c r="AG344" s="524"/>
      <c r="AH344" s="524"/>
      <c r="AI344" s="524"/>
      <c r="AJ344" s="524"/>
      <c r="AK344" s="524"/>
      <c r="AL344" s="524"/>
      <c r="AM344" s="524"/>
      <c r="AN344" s="524"/>
      <c r="AO344" s="524"/>
      <c r="AP344" s="524"/>
      <c r="AQ344" s="524"/>
      <c r="AR344" s="524"/>
      <c r="AS344" s="524"/>
    </row>
    <row r="345" spans="2:45">
      <c r="B345" s="524"/>
      <c r="C345" s="524"/>
      <c r="D345" s="524"/>
      <c r="E345" s="524"/>
      <c r="F345" s="524"/>
      <c r="G345" s="524"/>
      <c r="H345" s="524"/>
      <c r="I345" s="524"/>
      <c r="J345" s="524"/>
      <c r="K345" s="524"/>
      <c r="L345" s="524"/>
      <c r="M345" s="524"/>
      <c r="N345" s="524"/>
      <c r="O345" s="524"/>
      <c r="P345" s="524"/>
      <c r="Q345" s="524"/>
      <c r="R345" s="524"/>
      <c r="S345" s="524"/>
      <c r="T345" s="524"/>
      <c r="U345" s="524"/>
      <c r="V345" s="524"/>
      <c r="W345" s="524"/>
      <c r="X345" s="524"/>
      <c r="Y345" s="524"/>
      <c r="Z345" s="524"/>
      <c r="AA345" s="524"/>
      <c r="AB345" s="524"/>
      <c r="AC345" s="524"/>
      <c r="AD345" s="524"/>
      <c r="AE345" s="524"/>
      <c r="AF345" s="524"/>
      <c r="AG345" s="524"/>
      <c r="AH345" s="524"/>
      <c r="AI345" s="524"/>
      <c r="AJ345" s="524"/>
      <c r="AK345" s="524"/>
      <c r="AL345" s="524"/>
      <c r="AM345" s="524"/>
      <c r="AN345" s="524"/>
      <c r="AO345" s="524"/>
      <c r="AP345" s="524"/>
      <c r="AQ345" s="524"/>
      <c r="AR345" s="524"/>
      <c r="AS345" s="524"/>
    </row>
    <row r="346" spans="2:45">
      <c r="B346" s="524"/>
      <c r="C346" s="524"/>
      <c r="D346" s="524"/>
      <c r="E346" s="524"/>
      <c r="F346" s="524"/>
      <c r="G346" s="524"/>
      <c r="H346" s="524"/>
      <c r="I346" s="524"/>
      <c r="J346" s="524"/>
      <c r="K346" s="524"/>
      <c r="L346" s="524"/>
      <c r="M346" s="524"/>
      <c r="N346" s="524"/>
      <c r="O346" s="524"/>
      <c r="P346" s="524"/>
      <c r="Q346" s="524"/>
      <c r="R346" s="524"/>
      <c r="S346" s="524"/>
      <c r="T346" s="524"/>
      <c r="U346" s="524"/>
      <c r="V346" s="524"/>
      <c r="W346" s="524"/>
      <c r="X346" s="524"/>
      <c r="Y346" s="524"/>
      <c r="Z346" s="524"/>
      <c r="AA346" s="524"/>
      <c r="AB346" s="524"/>
      <c r="AC346" s="524"/>
      <c r="AD346" s="524"/>
      <c r="AE346" s="524"/>
      <c r="AF346" s="524"/>
      <c r="AG346" s="524"/>
      <c r="AH346" s="524"/>
      <c r="AI346" s="524"/>
      <c r="AJ346" s="524"/>
      <c r="AK346" s="524"/>
      <c r="AL346" s="524"/>
      <c r="AM346" s="524"/>
      <c r="AN346" s="524"/>
      <c r="AO346" s="524"/>
      <c r="AP346" s="524"/>
      <c r="AQ346" s="524"/>
      <c r="AR346" s="524"/>
      <c r="AS346" s="524"/>
    </row>
    <row r="347" spans="2:45">
      <c r="B347" s="524"/>
      <c r="C347" s="524"/>
      <c r="D347" s="524"/>
      <c r="E347" s="524"/>
      <c r="F347" s="524"/>
      <c r="G347" s="524"/>
      <c r="H347" s="524"/>
      <c r="I347" s="524"/>
      <c r="J347" s="524"/>
      <c r="K347" s="524"/>
      <c r="L347" s="524"/>
      <c r="M347" s="524"/>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c r="AP347" s="524"/>
      <c r="AQ347" s="524"/>
      <c r="AR347" s="524"/>
      <c r="AS347" s="524"/>
    </row>
    <row r="348" spans="2:45">
      <c r="B348" s="524"/>
      <c r="C348" s="524"/>
      <c r="D348" s="524"/>
      <c r="E348" s="524"/>
      <c r="F348" s="524"/>
      <c r="G348" s="524"/>
      <c r="H348" s="524"/>
      <c r="I348" s="524"/>
      <c r="J348" s="524"/>
      <c r="K348" s="524"/>
      <c r="L348" s="524"/>
      <c r="M348" s="524"/>
      <c r="N348" s="524"/>
      <c r="O348" s="524"/>
      <c r="P348" s="524"/>
      <c r="Q348" s="524"/>
      <c r="R348" s="524"/>
      <c r="S348" s="524"/>
      <c r="T348" s="524"/>
      <c r="U348" s="524"/>
      <c r="V348" s="524"/>
      <c r="W348" s="524"/>
      <c r="X348" s="524"/>
      <c r="Y348" s="524"/>
      <c r="Z348" s="524"/>
      <c r="AA348" s="524"/>
      <c r="AB348" s="524"/>
      <c r="AC348" s="524"/>
      <c r="AD348" s="524"/>
      <c r="AE348" s="524"/>
      <c r="AF348" s="524"/>
      <c r="AG348" s="524"/>
      <c r="AH348" s="524"/>
      <c r="AI348" s="524"/>
      <c r="AJ348" s="524"/>
      <c r="AK348" s="524"/>
      <c r="AL348" s="524"/>
      <c r="AM348" s="524"/>
      <c r="AN348" s="524"/>
      <c r="AO348" s="524"/>
      <c r="AP348" s="524"/>
      <c r="AQ348" s="524"/>
      <c r="AR348" s="524"/>
      <c r="AS348" s="524"/>
    </row>
    <row r="349" spans="2:45">
      <c r="B349" s="524"/>
      <c r="C349" s="524"/>
      <c r="D349" s="524"/>
      <c r="E349" s="524"/>
      <c r="F349" s="524"/>
      <c r="G349" s="524"/>
      <c r="H349" s="524"/>
      <c r="I349" s="524"/>
      <c r="J349" s="524"/>
      <c r="K349" s="524"/>
      <c r="L349" s="524"/>
      <c r="M349" s="524"/>
      <c r="N349" s="524"/>
      <c r="O349" s="524"/>
      <c r="P349" s="524"/>
      <c r="Q349" s="524"/>
      <c r="R349" s="524"/>
      <c r="S349" s="524"/>
      <c r="T349" s="524"/>
      <c r="U349" s="524"/>
      <c r="V349" s="524"/>
      <c r="W349" s="524"/>
      <c r="X349" s="524"/>
      <c r="Y349" s="524"/>
      <c r="Z349" s="524"/>
      <c r="AA349" s="524"/>
      <c r="AB349" s="524"/>
      <c r="AC349" s="524"/>
      <c r="AD349" s="524"/>
      <c r="AE349" s="524"/>
      <c r="AF349" s="524"/>
      <c r="AG349" s="524"/>
      <c r="AH349" s="524"/>
      <c r="AI349" s="524"/>
      <c r="AJ349" s="524"/>
      <c r="AK349" s="524"/>
      <c r="AL349" s="524"/>
      <c r="AM349" s="524"/>
      <c r="AN349" s="524"/>
      <c r="AO349" s="524"/>
      <c r="AP349" s="524"/>
      <c r="AQ349" s="524"/>
      <c r="AR349" s="524"/>
      <c r="AS349" s="524"/>
    </row>
    <row r="350" spans="2:45">
      <c r="B350" s="524"/>
      <c r="C350" s="524"/>
      <c r="D350" s="524"/>
      <c r="E350" s="524"/>
      <c r="F350" s="524"/>
      <c r="G350" s="524"/>
      <c r="H350" s="524"/>
      <c r="I350" s="524"/>
      <c r="J350" s="524"/>
      <c r="K350" s="524"/>
      <c r="L350" s="524"/>
      <c r="M350" s="524"/>
      <c r="N350" s="524"/>
      <c r="O350" s="524"/>
      <c r="P350" s="524"/>
      <c r="Q350" s="524"/>
      <c r="R350" s="524"/>
      <c r="S350" s="524"/>
      <c r="T350" s="524"/>
      <c r="U350" s="524"/>
      <c r="V350" s="524"/>
      <c r="W350" s="524"/>
      <c r="X350" s="524"/>
      <c r="Y350" s="524"/>
      <c r="Z350" s="524"/>
      <c r="AA350" s="524"/>
      <c r="AB350" s="524"/>
      <c r="AC350" s="524"/>
      <c r="AD350" s="524"/>
      <c r="AE350" s="524"/>
      <c r="AF350" s="524"/>
      <c r="AG350" s="524"/>
      <c r="AH350" s="524"/>
      <c r="AI350" s="524"/>
      <c r="AJ350" s="524"/>
      <c r="AK350" s="524"/>
      <c r="AL350" s="524"/>
      <c r="AM350" s="524"/>
      <c r="AN350" s="524"/>
      <c r="AO350" s="524"/>
      <c r="AP350" s="524"/>
      <c r="AQ350" s="524"/>
      <c r="AR350" s="524"/>
      <c r="AS350" s="524"/>
    </row>
    <row r="351" spans="2:45">
      <c r="B351" s="524"/>
      <c r="C351" s="524"/>
      <c r="D351" s="524"/>
      <c r="E351" s="524"/>
      <c r="F351" s="524"/>
      <c r="G351" s="524"/>
      <c r="H351" s="524"/>
      <c r="I351" s="524"/>
      <c r="J351" s="524"/>
      <c r="K351" s="524"/>
      <c r="L351" s="524"/>
      <c r="M351" s="524"/>
      <c r="N351" s="524"/>
      <c r="O351" s="524"/>
      <c r="P351" s="524"/>
      <c r="Q351" s="524"/>
      <c r="R351" s="524"/>
      <c r="S351" s="524"/>
      <c r="T351" s="524"/>
      <c r="U351" s="524"/>
      <c r="V351" s="524"/>
      <c r="W351" s="524"/>
      <c r="X351" s="524"/>
      <c r="Y351" s="524"/>
      <c r="Z351" s="524"/>
      <c r="AA351" s="524"/>
      <c r="AB351" s="524"/>
      <c r="AC351" s="524"/>
      <c r="AD351" s="524"/>
      <c r="AE351" s="524"/>
      <c r="AF351" s="524"/>
      <c r="AG351" s="524"/>
      <c r="AH351" s="524"/>
      <c r="AI351" s="524"/>
      <c r="AJ351" s="524"/>
      <c r="AK351" s="524"/>
      <c r="AL351" s="524"/>
      <c r="AM351" s="524"/>
      <c r="AN351" s="524"/>
      <c r="AO351" s="524"/>
      <c r="AP351" s="524"/>
      <c r="AQ351" s="524"/>
      <c r="AR351" s="524"/>
      <c r="AS351" s="524"/>
    </row>
    <row r="352" spans="2:45">
      <c r="B352" s="524"/>
      <c r="C352" s="524"/>
      <c r="D352" s="524"/>
      <c r="E352" s="524"/>
      <c r="F352" s="524"/>
      <c r="G352" s="524"/>
      <c r="H352" s="524"/>
      <c r="I352" s="524"/>
      <c r="J352" s="524"/>
      <c r="K352" s="524"/>
      <c r="L352" s="524"/>
      <c r="M352" s="524"/>
      <c r="N352" s="524"/>
      <c r="O352" s="524"/>
      <c r="P352" s="524"/>
      <c r="Q352" s="524"/>
      <c r="R352" s="524"/>
      <c r="S352" s="524"/>
      <c r="T352" s="524"/>
      <c r="U352" s="524"/>
      <c r="V352" s="524"/>
      <c r="W352" s="524"/>
      <c r="X352" s="524"/>
      <c r="Y352" s="524"/>
      <c r="Z352" s="524"/>
      <c r="AA352" s="524"/>
      <c r="AB352" s="524"/>
      <c r="AC352" s="524"/>
      <c r="AD352" s="524"/>
      <c r="AE352" s="524"/>
      <c r="AF352" s="524"/>
      <c r="AG352" s="524"/>
      <c r="AH352" s="524"/>
      <c r="AI352" s="524"/>
      <c r="AJ352" s="524"/>
      <c r="AK352" s="524"/>
      <c r="AL352" s="524"/>
      <c r="AM352" s="524"/>
      <c r="AN352" s="524"/>
      <c r="AO352" s="524"/>
      <c r="AP352" s="524"/>
      <c r="AQ352" s="524"/>
      <c r="AR352" s="524"/>
      <c r="AS352" s="524"/>
    </row>
    <row r="353" spans="2:45">
      <c r="B353" s="524"/>
      <c r="C353" s="524"/>
      <c r="D353" s="524"/>
      <c r="E353" s="524"/>
      <c r="F353" s="524"/>
      <c r="G353" s="524"/>
      <c r="H353" s="524"/>
      <c r="I353" s="524"/>
      <c r="J353" s="524"/>
      <c r="K353" s="524"/>
      <c r="L353" s="524"/>
      <c r="M353" s="524"/>
      <c r="N353" s="524"/>
      <c r="O353" s="524"/>
      <c r="P353" s="524"/>
      <c r="Q353" s="524"/>
      <c r="R353" s="524"/>
      <c r="S353" s="524"/>
      <c r="T353" s="524"/>
      <c r="U353" s="524"/>
      <c r="V353" s="524"/>
      <c r="W353" s="524"/>
      <c r="X353" s="524"/>
      <c r="Y353" s="524"/>
      <c r="Z353" s="524"/>
      <c r="AA353" s="524"/>
      <c r="AB353" s="524"/>
      <c r="AC353" s="524"/>
      <c r="AD353" s="524"/>
      <c r="AE353" s="524"/>
      <c r="AF353" s="524"/>
      <c r="AG353" s="524"/>
      <c r="AH353" s="524"/>
      <c r="AI353" s="524"/>
      <c r="AJ353" s="524"/>
      <c r="AK353" s="524"/>
      <c r="AL353" s="524"/>
      <c r="AM353" s="524"/>
      <c r="AN353" s="524"/>
      <c r="AO353" s="524"/>
      <c r="AP353" s="524"/>
      <c r="AQ353" s="524"/>
      <c r="AR353" s="524"/>
      <c r="AS353" s="524"/>
    </row>
    <row r="354" spans="2:45">
      <c r="B354" s="524"/>
      <c r="C354" s="524"/>
      <c r="D354" s="524"/>
      <c r="E354" s="524"/>
      <c r="F354" s="524"/>
      <c r="G354" s="524"/>
      <c r="H354" s="524"/>
      <c r="I354" s="524"/>
      <c r="J354" s="524"/>
      <c r="K354" s="524"/>
      <c r="L354" s="524"/>
      <c r="M354" s="524"/>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c r="AQ354" s="524"/>
      <c r="AR354" s="524"/>
      <c r="AS354" s="524"/>
    </row>
    <row r="355" spans="2:45">
      <c r="B355" s="524"/>
      <c r="C355" s="524"/>
      <c r="D355" s="524"/>
      <c r="E355" s="524"/>
      <c r="F355" s="524"/>
      <c r="G355" s="524"/>
      <c r="H355" s="524"/>
      <c r="I355" s="524"/>
      <c r="J355" s="524"/>
      <c r="K355" s="524"/>
      <c r="L355" s="524"/>
      <c r="M355" s="524"/>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c r="AQ355" s="524"/>
      <c r="AR355" s="524"/>
      <c r="AS355" s="524"/>
    </row>
    <row r="356" spans="2:45">
      <c r="B356" s="524"/>
      <c r="C356" s="524"/>
      <c r="D356" s="524"/>
      <c r="E356" s="524"/>
      <c r="F356" s="524"/>
      <c r="G356" s="524"/>
      <c r="H356" s="524"/>
      <c r="I356" s="524"/>
      <c r="J356" s="524"/>
      <c r="K356" s="524"/>
      <c r="L356" s="524"/>
      <c r="M356" s="524"/>
      <c r="N356" s="524"/>
      <c r="O356" s="524"/>
      <c r="P356" s="524"/>
      <c r="Q356" s="524"/>
      <c r="R356" s="524"/>
      <c r="S356" s="524"/>
      <c r="T356" s="524"/>
      <c r="U356" s="524"/>
      <c r="V356" s="524"/>
      <c r="W356" s="524"/>
      <c r="X356" s="524"/>
      <c r="Y356" s="524"/>
      <c r="Z356" s="524"/>
      <c r="AA356" s="524"/>
      <c r="AB356" s="524"/>
      <c r="AC356" s="524"/>
      <c r="AD356" s="524"/>
      <c r="AE356" s="524"/>
      <c r="AF356" s="524"/>
      <c r="AG356" s="524"/>
      <c r="AH356" s="524"/>
      <c r="AI356" s="524"/>
      <c r="AJ356" s="524"/>
      <c r="AK356" s="524"/>
      <c r="AL356" s="524"/>
      <c r="AM356" s="524"/>
      <c r="AN356" s="524"/>
      <c r="AO356" s="524"/>
      <c r="AP356" s="524"/>
      <c r="AQ356" s="524"/>
      <c r="AR356" s="524"/>
      <c r="AS356" s="524"/>
    </row>
    <row r="357" spans="2:45">
      <c r="B357" s="524"/>
      <c r="C357" s="524"/>
      <c r="D357" s="524"/>
      <c r="E357" s="524"/>
      <c r="F357" s="524"/>
      <c r="G357" s="524"/>
      <c r="H357" s="524"/>
      <c r="I357" s="524"/>
      <c r="J357" s="524"/>
      <c r="K357" s="524"/>
      <c r="L357" s="524"/>
      <c r="M357" s="524"/>
      <c r="N357" s="524"/>
      <c r="O357" s="524"/>
      <c r="P357" s="524"/>
      <c r="Q357" s="524"/>
      <c r="R357" s="524"/>
      <c r="S357" s="524"/>
      <c r="T357" s="524"/>
      <c r="U357" s="524"/>
      <c r="V357" s="524"/>
      <c r="W357" s="524"/>
      <c r="X357" s="524"/>
      <c r="Y357" s="524"/>
      <c r="Z357" s="524"/>
      <c r="AA357" s="524"/>
      <c r="AB357" s="524"/>
      <c r="AC357" s="524"/>
      <c r="AD357" s="524"/>
      <c r="AE357" s="524"/>
      <c r="AF357" s="524"/>
      <c r="AG357" s="524"/>
      <c r="AH357" s="524"/>
      <c r="AI357" s="524"/>
      <c r="AJ357" s="524"/>
      <c r="AK357" s="524"/>
      <c r="AL357" s="524"/>
      <c r="AM357" s="524"/>
      <c r="AN357" s="524"/>
      <c r="AO357" s="524"/>
      <c r="AP357" s="524"/>
      <c r="AQ357" s="524"/>
      <c r="AR357" s="524"/>
      <c r="AS357" s="524"/>
    </row>
    <row r="358" spans="2:45">
      <c r="B358" s="524"/>
      <c r="C358" s="524"/>
      <c r="D358" s="524"/>
      <c r="E358" s="524"/>
      <c r="F358" s="524"/>
      <c r="G358" s="524"/>
      <c r="H358" s="524"/>
      <c r="I358" s="524"/>
      <c r="J358" s="524"/>
      <c r="K358" s="524"/>
      <c r="L358" s="524"/>
      <c r="M358" s="524"/>
      <c r="N358" s="524"/>
      <c r="O358" s="524"/>
      <c r="P358" s="524"/>
      <c r="Q358" s="524"/>
      <c r="R358" s="524"/>
      <c r="S358" s="524"/>
      <c r="T358" s="524"/>
      <c r="U358" s="524"/>
      <c r="V358" s="524"/>
      <c r="W358" s="524"/>
      <c r="X358" s="524"/>
      <c r="Y358" s="524"/>
      <c r="Z358" s="524"/>
      <c r="AA358" s="524"/>
      <c r="AB358" s="524"/>
      <c r="AC358" s="524"/>
      <c r="AD358" s="524"/>
      <c r="AE358" s="524"/>
      <c r="AF358" s="524"/>
      <c r="AG358" s="524"/>
      <c r="AH358" s="524"/>
      <c r="AI358" s="524"/>
      <c r="AJ358" s="524"/>
      <c r="AK358" s="524"/>
      <c r="AL358" s="524"/>
      <c r="AM358" s="524"/>
      <c r="AN358" s="524"/>
      <c r="AO358" s="524"/>
      <c r="AP358" s="524"/>
      <c r="AQ358" s="524"/>
      <c r="AR358" s="524"/>
      <c r="AS358" s="524"/>
    </row>
    <row r="359" spans="2:45">
      <c r="B359" s="524"/>
      <c r="C359" s="524"/>
      <c r="D359" s="524"/>
      <c r="E359" s="524"/>
      <c r="F359" s="524"/>
      <c r="G359" s="524"/>
      <c r="H359" s="524"/>
      <c r="I359" s="524"/>
      <c r="J359" s="524"/>
      <c r="K359" s="524"/>
      <c r="L359" s="524"/>
      <c r="M359" s="524"/>
      <c r="N359" s="524"/>
      <c r="O359" s="524"/>
      <c r="P359" s="524"/>
      <c r="Q359" s="524"/>
      <c r="R359" s="524"/>
      <c r="S359" s="524"/>
      <c r="T359" s="524"/>
      <c r="U359" s="524"/>
      <c r="V359" s="524"/>
      <c r="W359" s="524"/>
      <c r="X359" s="524"/>
      <c r="Y359" s="524"/>
      <c r="Z359" s="524"/>
      <c r="AA359" s="524"/>
      <c r="AB359" s="524"/>
      <c r="AC359" s="524"/>
      <c r="AD359" s="524"/>
      <c r="AE359" s="524"/>
      <c r="AF359" s="524"/>
      <c r="AG359" s="524"/>
      <c r="AH359" s="524"/>
      <c r="AI359" s="524"/>
      <c r="AJ359" s="524"/>
      <c r="AK359" s="524"/>
      <c r="AL359" s="524"/>
      <c r="AM359" s="524"/>
      <c r="AN359" s="524"/>
      <c r="AO359" s="524"/>
      <c r="AP359" s="524"/>
      <c r="AQ359" s="524"/>
      <c r="AR359" s="524"/>
      <c r="AS359" s="524"/>
    </row>
    <row r="360" spans="2:45">
      <c r="B360" s="524"/>
      <c r="C360" s="524"/>
      <c r="D360" s="524"/>
      <c r="E360" s="524"/>
      <c r="F360" s="524"/>
      <c r="G360" s="524"/>
      <c r="H360" s="524"/>
      <c r="I360" s="524"/>
      <c r="J360" s="524"/>
      <c r="K360" s="524"/>
      <c r="L360" s="524"/>
      <c r="M360" s="524"/>
      <c r="N360" s="524"/>
      <c r="O360" s="524"/>
      <c r="P360" s="524"/>
      <c r="Q360" s="524"/>
      <c r="R360" s="524"/>
      <c r="S360" s="524"/>
      <c r="T360" s="524"/>
      <c r="U360" s="524"/>
      <c r="V360" s="524"/>
      <c r="W360" s="524"/>
      <c r="X360" s="524"/>
      <c r="Y360" s="524"/>
      <c r="Z360" s="524"/>
      <c r="AA360" s="524"/>
      <c r="AB360" s="524"/>
      <c r="AC360" s="524"/>
      <c r="AD360" s="524"/>
      <c r="AE360" s="524"/>
      <c r="AF360" s="524"/>
      <c r="AG360" s="524"/>
      <c r="AH360" s="524"/>
      <c r="AI360" s="524"/>
      <c r="AJ360" s="524"/>
      <c r="AK360" s="524"/>
      <c r="AL360" s="524"/>
      <c r="AM360" s="524"/>
      <c r="AN360" s="524"/>
      <c r="AO360" s="524"/>
      <c r="AP360" s="524"/>
      <c r="AQ360" s="524"/>
      <c r="AR360" s="524"/>
      <c r="AS360" s="524"/>
    </row>
    <row r="361" spans="2:45">
      <c r="B361" s="524"/>
      <c r="C361" s="524"/>
      <c r="D361" s="524"/>
      <c r="E361" s="524"/>
      <c r="F361" s="524"/>
      <c r="G361" s="524"/>
      <c r="H361" s="524"/>
      <c r="I361" s="524"/>
      <c r="J361" s="524"/>
      <c r="K361" s="524"/>
      <c r="L361" s="524"/>
      <c r="M361" s="524"/>
      <c r="N361" s="524"/>
      <c r="O361" s="524"/>
      <c r="P361" s="524"/>
      <c r="Q361" s="524"/>
      <c r="R361" s="524"/>
      <c r="S361" s="524"/>
      <c r="T361" s="524"/>
      <c r="U361" s="524"/>
      <c r="V361" s="524"/>
      <c r="W361" s="524"/>
      <c r="X361" s="524"/>
      <c r="Y361" s="524"/>
      <c r="Z361" s="524"/>
      <c r="AA361" s="524"/>
      <c r="AB361" s="524"/>
      <c r="AC361" s="524"/>
      <c r="AD361" s="524"/>
      <c r="AE361" s="524"/>
      <c r="AF361" s="524"/>
      <c r="AG361" s="524"/>
      <c r="AH361" s="524"/>
      <c r="AI361" s="524"/>
      <c r="AJ361" s="524"/>
      <c r="AK361" s="524"/>
      <c r="AL361" s="524"/>
      <c r="AM361" s="524"/>
      <c r="AN361" s="524"/>
      <c r="AO361" s="524"/>
      <c r="AP361" s="524"/>
      <c r="AQ361" s="524"/>
      <c r="AR361" s="524"/>
      <c r="AS361" s="524"/>
    </row>
    <row r="362" spans="2:45">
      <c r="B362" s="524"/>
      <c r="C362" s="524"/>
      <c r="D362" s="524"/>
      <c r="E362" s="524"/>
      <c r="F362" s="524"/>
      <c r="G362" s="524"/>
      <c r="H362" s="524"/>
      <c r="I362" s="524"/>
      <c r="J362" s="524"/>
      <c r="K362" s="524"/>
      <c r="L362" s="524"/>
      <c r="M362" s="524"/>
      <c r="N362" s="524"/>
      <c r="O362" s="524"/>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c r="AQ362" s="524"/>
      <c r="AR362" s="524"/>
      <c r="AS362" s="524"/>
    </row>
    <row r="363" spans="2:45">
      <c r="B363" s="524"/>
      <c r="C363" s="524"/>
      <c r="D363" s="524"/>
      <c r="E363" s="524"/>
      <c r="F363" s="524"/>
      <c r="G363" s="524"/>
      <c r="H363" s="524"/>
      <c r="I363" s="524"/>
      <c r="J363" s="524"/>
      <c r="K363" s="524"/>
      <c r="L363" s="524"/>
      <c r="M363" s="524"/>
      <c r="N363" s="524"/>
      <c r="O363" s="524"/>
      <c r="P363" s="524"/>
      <c r="Q363" s="524"/>
      <c r="R363" s="524"/>
      <c r="S363" s="524"/>
      <c r="T363" s="524"/>
      <c r="U363" s="524"/>
      <c r="V363" s="524"/>
      <c r="W363" s="524"/>
      <c r="X363" s="524"/>
      <c r="Y363" s="524"/>
      <c r="Z363" s="524"/>
      <c r="AA363" s="524"/>
      <c r="AB363" s="524"/>
      <c r="AC363" s="524"/>
      <c r="AD363" s="524"/>
      <c r="AE363" s="524"/>
      <c r="AF363" s="524"/>
      <c r="AG363" s="524"/>
      <c r="AH363" s="524"/>
      <c r="AI363" s="524"/>
      <c r="AJ363" s="524"/>
      <c r="AK363" s="524"/>
      <c r="AL363" s="524"/>
      <c r="AM363" s="524"/>
      <c r="AN363" s="524"/>
      <c r="AO363" s="524"/>
      <c r="AP363" s="524"/>
      <c r="AQ363" s="524"/>
      <c r="AR363" s="524"/>
      <c r="AS363" s="524"/>
    </row>
    <row r="364" spans="2:45">
      <c r="B364" s="524"/>
      <c r="C364" s="524"/>
      <c r="D364" s="524"/>
      <c r="E364" s="524"/>
      <c r="F364" s="524"/>
      <c r="G364" s="524"/>
      <c r="H364" s="524"/>
      <c r="I364" s="524"/>
      <c r="J364" s="524"/>
      <c r="K364" s="524"/>
      <c r="L364" s="524"/>
      <c r="M364" s="524"/>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4"/>
      <c r="AN364" s="524"/>
      <c r="AO364" s="524"/>
      <c r="AP364" s="524"/>
      <c r="AQ364" s="524"/>
      <c r="AR364" s="524"/>
      <c r="AS364" s="524"/>
    </row>
    <row r="365" spans="2:45">
      <c r="B365" s="524"/>
      <c r="C365" s="524"/>
      <c r="D365" s="524"/>
      <c r="E365" s="524"/>
      <c r="F365" s="524"/>
      <c r="G365" s="524"/>
      <c r="H365" s="524"/>
      <c r="I365" s="524"/>
      <c r="J365" s="524"/>
      <c r="K365" s="524"/>
      <c r="L365" s="524"/>
      <c r="M365" s="524"/>
      <c r="N365" s="524"/>
      <c r="O365" s="524"/>
      <c r="P365" s="524"/>
      <c r="Q365" s="524"/>
      <c r="R365" s="524"/>
      <c r="S365" s="524"/>
      <c r="T365" s="524"/>
      <c r="U365" s="524"/>
      <c r="V365" s="524"/>
      <c r="W365" s="524"/>
      <c r="X365" s="524"/>
      <c r="Y365" s="524"/>
      <c r="Z365" s="524"/>
      <c r="AA365" s="524"/>
      <c r="AB365" s="524"/>
      <c r="AC365" s="524"/>
      <c r="AD365" s="524"/>
      <c r="AE365" s="524"/>
      <c r="AF365" s="524"/>
      <c r="AG365" s="524"/>
      <c r="AH365" s="524"/>
      <c r="AI365" s="524"/>
      <c r="AJ365" s="524"/>
      <c r="AK365" s="524"/>
      <c r="AL365" s="524"/>
      <c r="AM365" s="524"/>
      <c r="AN365" s="524"/>
      <c r="AO365" s="524"/>
      <c r="AP365" s="524"/>
      <c r="AQ365" s="524"/>
      <c r="AR365" s="524"/>
      <c r="AS365" s="524"/>
    </row>
    <row r="366" spans="2:45">
      <c r="B366" s="524"/>
      <c r="C366" s="524"/>
      <c r="D366" s="524"/>
      <c r="E366" s="524"/>
      <c r="F366" s="524"/>
      <c r="G366" s="524"/>
      <c r="H366" s="524"/>
      <c r="I366" s="524"/>
      <c r="J366" s="524"/>
      <c r="K366" s="524"/>
      <c r="L366" s="524"/>
      <c r="M366" s="524"/>
      <c r="N366" s="524"/>
      <c r="O366" s="524"/>
      <c r="P366" s="524"/>
      <c r="Q366" s="524"/>
      <c r="R366" s="524"/>
      <c r="S366" s="524"/>
      <c r="T366" s="524"/>
      <c r="U366" s="524"/>
      <c r="V366" s="524"/>
      <c r="W366" s="524"/>
      <c r="X366" s="524"/>
      <c r="Y366" s="524"/>
      <c r="Z366" s="524"/>
      <c r="AA366" s="524"/>
      <c r="AB366" s="524"/>
      <c r="AC366" s="524"/>
      <c r="AD366" s="524"/>
      <c r="AE366" s="524"/>
      <c r="AF366" s="524"/>
      <c r="AG366" s="524"/>
      <c r="AH366" s="524"/>
      <c r="AI366" s="524"/>
      <c r="AJ366" s="524"/>
      <c r="AK366" s="524"/>
      <c r="AL366" s="524"/>
      <c r="AM366" s="524"/>
      <c r="AN366" s="524"/>
      <c r="AO366" s="524"/>
      <c r="AP366" s="524"/>
      <c r="AQ366" s="524"/>
      <c r="AR366" s="524"/>
      <c r="AS366" s="524"/>
    </row>
    <row r="367" spans="2:45">
      <c r="B367" s="524"/>
      <c r="C367" s="524"/>
      <c r="D367" s="524"/>
      <c r="E367" s="524"/>
      <c r="F367" s="524"/>
      <c r="G367" s="524"/>
      <c r="H367" s="524"/>
      <c r="I367" s="524"/>
      <c r="J367" s="524"/>
      <c r="K367" s="524"/>
      <c r="L367" s="524"/>
      <c r="M367" s="524"/>
      <c r="N367" s="524"/>
      <c r="O367" s="524"/>
      <c r="P367" s="524"/>
      <c r="Q367" s="524"/>
      <c r="R367" s="524"/>
      <c r="S367" s="524"/>
      <c r="T367" s="524"/>
      <c r="U367" s="524"/>
      <c r="V367" s="524"/>
      <c r="W367" s="524"/>
      <c r="X367" s="524"/>
      <c r="Y367" s="524"/>
      <c r="Z367" s="524"/>
      <c r="AA367" s="524"/>
      <c r="AB367" s="524"/>
      <c r="AC367" s="524"/>
      <c r="AD367" s="524"/>
      <c r="AE367" s="524"/>
      <c r="AF367" s="524"/>
      <c r="AG367" s="524"/>
      <c r="AH367" s="524"/>
      <c r="AI367" s="524"/>
      <c r="AJ367" s="524"/>
      <c r="AK367" s="524"/>
      <c r="AL367" s="524"/>
      <c r="AM367" s="524"/>
      <c r="AN367" s="524"/>
      <c r="AO367" s="524"/>
      <c r="AP367" s="524"/>
      <c r="AQ367" s="524"/>
      <c r="AR367" s="524"/>
      <c r="AS367" s="524"/>
    </row>
    <row r="368" spans="2:45">
      <c r="B368" s="524"/>
      <c r="C368" s="524"/>
      <c r="D368" s="524"/>
      <c r="E368" s="524"/>
      <c r="F368" s="524"/>
      <c r="G368" s="524"/>
      <c r="H368" s="524"/>
      <c r="I368" s="524"/>
      <c r="J368" s="524"/>
      <c r="K368" s="524"/>
      <c r="L368" s="524"/>
      <c r="M368" s="524"/>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c r="AP368" s="524"/>
      <c r="AQ368" s="524"/>
      <c r="AR368" s="524"/>
      <c r="AS368" s="524"/>
    </row>
    <row r="369" spans="2:45">
      <c r="B369" s="524"/>
      <c r="C369" s="524"/>
      <c r="D369" s="524"/>
      <c r="E369" s="524"/>
      <c r="F369" s="524"/>
      <c r="G369" s="524"/>
      <c r="H369" s="524"/>
      <c r="I369" s="524"/>
      <c r="J369" s="524"/>
      <c r="K369" s="524"/>
      <c r="L369" s="524"/>
      <c r="M369" s="524"/>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c r="AP369" s="524"/>
      <c r="AQ369" s="524"/>
      <c r="AR369" s="524"/>
      <c r="AS369" s="524"/>
    </row>
    <row r="370" spans="2:45">
      <c r="B370" s="524"/>
      <c r="C370" s="524"/>
      <c r="D370" s="524"/>
      <c r="E370" s="524"/>
      <c r="F370" s="524"/>
      <c r="G370" s="524"/>
      <c r="H370" s="524"/>
      <c r="I370" s="524"/>
      <c r="J370" s="524"/>
      <c r="K370" s="524"/>
      <c r="L370" s="524"/>
      <c r="M370" s="524"/>
      <c r="N370" s="524"/>
      <c r="O370" s="524"/>
      <c r="P370" s="524"/>
      <c r="Q370" s="524"/>
      <c r="R370" s="524"/>
      <c r="S370" s="524"/>
      <c r="T370" s="524"/>
      <c r="U370" s="524"/>
      <c r="V370" s="524"/>
      <c r="W370" s="524"/>
      <c r="X370" s="524"/>
      <c r="Y370" s="524"/>
      <c r="Z370" s="524"/>
      <c r="AA370" s="524"/>
      <c r="AB370" s="524"/>
      <c r="AC370" s="524"/>
      <c r="AD370" s="524"/>
      <c r="AE370" s="524"/>
      <c r="AF370" s="524"/>
      <c r="AG370" s="524"/>
      <c r="AH370" s="524"/>
      <c r="AI370" s="524"/>
      <c r="AJ370" s="524"/>
      <c r="AK370" s="524"/>
      <c r="AL370" s="524"/>
      <c r="AM370" s="524"/>
      <c r="AN370" s="524"/>
      <c r="AO370" s="524"/>
      <c r="AP370" s="524"/>
      <c r="AQ370" s="524"/>
      <c r="AR370" s="524"/>
      <c r="AS370" s="524"/>
    </row>
    <row r="371" spans="2:45">
      <c r="B371" s="524"/>
      <c r="C371" s="524"/>
      <c r="D371" s="524"/>
      <c r="E371" s="524"/>
      <c r="F371" s="524"/>
      <c r="G371" s="524"/>
      <c r="H371" s="524"/>
      <c r="I371" s="524"/>
      <c r="J371" s="524"/>
      <c r="K371" s="524"/>
      <c r="L371" s="524"/>
      <c r="M371" s="524"/>
      <c r="N371" s="524"/>
      <c r="O371" s="524"/>
      <c r="P371" s="524"/>
      <c r="Q371" s="524"/>
      <c r="R371" s="524"/>
      <c r="S371" s="524"/>
      <c r="T371" s="524"/>
      <c r="U371" s="524"/>
      <c r="V371" s="524"/>
      <c r="W371" s="524"/>
      <c r="X371" s="524"/>
      <c r="Y371" s="524"/>
      <c r="Z371" s="524"/>
      <c r="AA371" s="524"/>
      <c r="AB371" s="524"/>
      <c r="AC371" s="524"/>
      <c r="AD371" s="524"/>
      <c r="AE371" s="524"/>
      <c r="AF371" s="524"/>
      <c r="AG371" s="524"/>
      <c r="AH371" s="524"/>
      <c r="AI371" s="524"/>
      <c r="AJ371" s="524"/>
      <c r="AK371" s="524"/>
      <c r="AL371" s="524"/>
      <c r="AM371" s="524"/>
      <c r="AN371" s="524"/>
      <c r="AO371" s="524"/>
      <c r="AP371" s="524"/>
      <c r="AQ371" s="524"/>
      <c r="AR371" s="524"/>
      <c r="AS371" s="524"/>
    </row>
    <row r="372" spans="2:45">
      <c r="B372" s="524"/>
      <c r="C372" s="524"/>
      <c r="D372" s="524"/>
      <c r="E372" s="524"/>
      <c r="F372" s="524"/>
      <c r="G372" s="524"/>
      <c r="H372" s="524"/>
      <c r="I372" s="524"/>
      <c r="J372" s="524"/>
      <c r="K372" s="524"/>
      <c r="L372" s="524"/>
      <c r="M372" s="524"/>
      <c r="N372" s="524"/>
      <c r="O372" s="524"/>
      <c r="P372" s="524"/>
      <c r="Q372" s="524"/>
      <c r="R372" s="524"/>
      <c r="S372" s="524"/>
      <c r="T372" s="524"/>
      <c r="U372" s="524"/>
      <c r="V372" s="524"/>
      <c r="W372" s="524"/>
      <c r="X372" s="524"/>
      <c r="Y372" s="524"/>
      <c r="Z372" s="524"/>
      <c r="AA372" s="524"/>
      <c r="AB372" s="524"/>
      <c r="AC372" s="524"/>
      <c r="AD372" s="524"/>
      <c r="AE372" s="524"/>
      <c r="AF372" s="524"/>
      <c r="AG372" s="524"/>
      <c r="AH372" s="524"/>
      <c r="AI372" s="524"/>
      <c r="AJ372" s="524"/>
      <c r="AK372" s="524"/>
      <c r="AL372" s="524"/>
      <c r="AM372" s="524"/>
      <c r="AN372" s="524"/>
      <c r="AO372" s="524"/>
      <c r="AP372" s="524"/>
      <c r="AQ372" s="524"/>
      <c r="AR372" s="524"/>
      <c r="AS372" s="524"/>
    </row>
    <row r="373" spans="2:45">
      <c r="B373" s="524"/>
      <c r="C373" s="524"/>
      <c r="D373" s="524"/>
      <c r="E373" s="524"/>
      <c r="F373" s="524"/>
      <c r="G373" s="524"/>
      <c r="H373" s="524"/>
      <c r="I373" s="524"/>
      <c r="J373" s="524"/>
      <c r="K373" s="524"/>
      <c r="L373" s="524"/>
      <c r="M373" s="524"/>
      <c r="N373" s="524"/>
      <c r="O373" s="524"/>
      <c r="P373" s="524"/>
      <c r="Q373" s="524"/>
      <c r="R373" s="524"/>
      <c r="S373" s="524"/>
      <c r="T373" s="524"/>
      <c r="U373" s="524"/>
      <c r="V373" s="524"/>
      <c r="W373" s="524"/>
      <c r="X373" s="524"/>
      <c r="Y373" s="524"/>
      <c r="Z373" s="524"/>
      <c r="AA373" s="524"/>
      <c r="AB373" s="524"/>
      <c r="AC373" s="524"/>
      <c r="AD373" s="524"/>
      <c r="AE373" s="524"/>
      <c r="AF373" s="524"/>
      <c r="AG373" s="524"/>
      <c r="AH373" s="524"/>
      <c r="AI373" s="524"/>
      <c r="AJ373" s="524"/>
      <c r="AK373" s="524"/>
      <c r="AL373" s="524"/>
      <c r="AM373" s="524"/>
      <c r="AN373" s="524"/>
      <c r="AO373" s="524"/>
      <c r="AP373" s="524"/>
      <c r="AQ373" s="524"/>
      <c r="AR373" s="524"/>
      <c r="AS373" s="524"/>
    </row>
    <row r="374" spans="2:45">
      <c r="B374" s="524"/>
      <c r="C374" s="524"/>
      <c r="D374" s="524"/>
      <c r="E374" s="524"/>
      <c r="F374" s="524"/>
      <c r="G374" s="524"/>
      <c r="H374" s="524"/>
      <c r="I374" s="524"/>
      <c r="J374" s="524"/>
      <c r="K374" s="524"/>
      <c r="L374" s="524"/>
      <c r="M374" s="524"/>
      <c r="N374" s="524"/>
      <c r="O374" s="524"/>
      <c r="P374" s="524"/>
      <c r="Q374" s="524"/>
      <c r="R374" s="524"/>
      <c r="S374" s="524"/>
      <c r="T374" s="524"/>
      <c r="U374" s="524"/>
      <c r="V374" s="524"/>
      <c r="W374" s="524"/>
      <c r="X374" s="524"/>
      <c r="Y374" s="524"/>
      <c r="Z374" s="524"/>
      <c r="AA374" s="524"/>
      <c r="AB374" s="524"/>
      <c r="AC374" s="524"/>
      <c r="AD374" s="524"/>
      <c r="AE374" s="524"/>
      <c r="AF374" s="524"/>
      <c r="AG374" s="524"/>
      <c r="AH374" s="524"/>
      <c r="AI374" s="524"/>
      <c r="AJ374" s="524"/>
      <c r="AK374" s="524"/>
      <c r="AL374" s="524"/>
      <c r="AM374" s="524"/>
      <c r="AN374" s="524"/>
      <c r="AO374" s="524"/>
      <c r="AP374" s="524"/>
      <c r="AQ374" s="524"/>
      <c r="AR374" s="524"/>
      <c r="AS374" s="524"/>
    </row>
    <row r="375" spans="2:45">
      <c r="B375" s="524"/>
      <c r="C375" s="524"/>
      <c r="D375" s="524"/>
      <c r="E375" s="524"/>
      <c r="F375" s="524"/>
      <c r="G375" s="524"/>
      <c r="H375" s="524"/>
      <c r="I375" s="524"/>
      <c r="J375" s="524"/>
      <c r="K375" s="524"/>
      <c r="L375" s="524"/>
      <c r="M375" s="524"/>
      <c r="N375" s="524"/>
      <c r="O375" s="524"/>
      <c r="P375" s="524"/>
      <c r="Q375" s="524"/>
      <c r="R375" s="524"/>
      <c r="S375" s="524"/>
      <c r="T375" s="524"/>
      <c r="U375" s="524"/>
      <c r="V375" s="524"/>
      <c r="W375" s="524"/>
      <c r="X375" s="524"/>
      <c r="Y375" s="524"/>
      <c r="Z375" s="524"/>
      <c r="AA375" s="524"/>
      <c r="AB375" s="524"/>
      <c r="AC375" s="524"/>
      <c r="AD375" s="524"/>
      <c r="AE375" s="524"/>
      <c r="AF375" s="524"/>
      <c r="AG375" s="524"/>
      <c r="AH375" s="524"/>
      <c r="AI375" s="524"/>
      <c r="AJ375" s="524"/>
      <c r="AK375" s="524"/>
      <c r="AL375" s="524"/>
      <c r="AM375" s="524"/>
      <c r="AN375" s="524"/>
      <c r="AO375" s="524"/>
      <c r="AP375" s="524"/>
      <c r="AQ375" s="524"/>
      <c r="AR375" s="524"/>
      <c r="AS375" s="524"/>
    </row>
    <row r="376" spans="2:45">
      <c r="B376" s="524"/>
      <c r="C376" s="524"/>
      <c r="D376" s="524"/>
      <c r="E376" s="524"/>
      <c r="F376" s="524"/>
      <c r="G376" s="524"/>
      <c r="H376" s="524"/>
      <c r="I376" s="524"/>
      <c r="J376" s="524"/>
      <c r="K376" s="524"/>
      <c r="L376" s="524"/>
      <c r="M376" s="524"/>
      <c r="N376" s="524"/>
      <c r="O376" s="524"/>
      <c r="P376" s="524"/>
      <c r="Q376" s="524"/>
      <c r="R376" s="524"/>
      <c r="S376" s="524"/>
      <c r="T376" s="524"/>
      <c r="U376" s="524"/>
      <c r="V376" s="524"/>
      <c r="W376" s="524"/>
      <c r="X376" s="524"/>
      <c r="Y376" s="524"/>
      <c r="Z376" s="524"/>
      <c r="AA376" s="524"/>
      <c r="AB376" s="524"/>
      <c r="AC376" s="524"/>
      <c r="AD376" s="524"/>
      <c r="AE376" s="524"/>
      <c r="AF376" s="524"/>
      <c r="AG376" s="524"/>
      <c r="AH376" s="524"/>
      <c r="AI376" s="524"/>
      <c r="AJ376" s="524"/>
      <c r="AK376" s="524"/>
      <c r="AL376" s="524"/>
      <c r="AM376" s="524"/>
      <c r="AN376" s="524"/>
      <c r="AO376" s="524"/>
      <c r="AP376" s="524"/>
      <c r="AQ376" s="524"/>
      <c r="AR376" s="524"/>
      <c r="AS376" s="524"/>
    </row>
    <row r="377" spans="2:45">
      <c r="B377" s="524"/>
      <c r="C377" s="524"/>
      <c r="D377" s="524"/>
      <c r="E377" s="524"/>
      <c r="F377" s="524"/>
      <c r="G377" s="524"/>
      <c r="H377" s="524"/>
      <c r="I377" s="524"/>
      <c r="J377" s="524"/>
      <c r="K377" s="524"/>
      <c r="L377" s="524"/>
      <c r="M377" s="524"/>
      <c r="N377" s="524"/>
      <c r="O377" s="524"/>
      <c r="P377" s="524"/>
      <c r="Q377" s="524"/>
      <c r="R377" s="524"/>
      <c r="S377" s="524"/>
      <c r="T377" s="524"/>
      <c r="U377" s="524"/>
      <c r="V377" s="524"/>
      <c r="W377" s="524"/>
      <c r="X377" s="524"/>
      <c r="Y377" s="524"/>
      <c r="Z377" s="524"/>
      <c r="AA377" s="524"/>
      <c r="AB377" s="524"/>
      <c r="AC377" s="524"/>
      <c r="AD377" s="524"/>
      <c r="AE377" s="524"/>
      <c r="AF377" s="524"/>
      <c r="AG377" s="524"/>
      <c r="AH377" s="524"/>
      <c r="AI377" s="524"/>
      <c r="AJ377" s="524"/>
      <c r="AK377" s="524"/>
      <c r="AL377" s="524"/>
      <c r="AM377" s="524"/>
      <c r="AN377" s="524"/>
      <c r="AO377" s="524"/>
      <c r="AP377" s="524"/>
      <c r="AQ377" s="524"/>
      <c r="AR377" s="524"/>
      <c r="AS377" s="524"/>
    </row>
    <row r="378" spans="2:45">
      <c r="B378" s="524"/>
      <c r="C378" s="524"/>
      <c r="D378" s="524"/>
      <c r="E378" s="524"/>
      <c r="F378" s="524"/>
      <c r="G378" s="524"/>
      <c r="H378" s="524"/>
      <c r="I378" s="524"/>
      <c r="J378" s="524"/>
      <c r="K378" s="524"/>
      <c r="L378" s="524"/>
      <c r="M378" s="524"/>
      <c r="N378" s="524"/>
      <c r="O378" s="524"/>
      <c r="P378" s="524"/>
      <c r="Q378" s="524"/>
      <c r="R378" s="524"/>
      <c r="S378" s="524"/>
      <c r="T378" s="524"/>
      <c r="U378" s="524"/>
      <c r="V378" s="524"/>
      <c r="W378" s="524"/>
      <c r="X378" s="524"/>
      <c r="Y378" s="524"/>
      <c r="Z378" s="524"/>
      <c r="AA378" s="524"/>
      <c r="AB378" s="524"/>
      <c r="AC378" s="524"/>
      <c r="AD378" s="524"/>
      <c r="AE378" s="524"/>
      <c r="AF378" s="524"/>
      <c r="AG378" s="524"/>
      <c r="AH378" s="524"/>
      <c r="AI378" s="524"/>
      <c r="AJ378" s="524"/>
      <c r="AK378" s="524"/>
      <c r="AL378" s="524"/>
      <c r="AM378" s="524"/>
      <c r="AN378" s="524"/>
      <c r="AO378" s="524"/>
      <c r="AP378" s="524"/>
      <c r="AQ378" s="524"/>
      <c r="AR378" s="524"/>
      <c r="AS378" s="524"/>
    </row>
    <row r="379" spans="2:45">
      <c r="B379" s="524"/>
      <c r="C379" s="524"/>
      <c r="D379" s="524"/>
      <c r="E379" s="524"/>
      <c r="F379" s="524"/>
      <c r="G379" s="524"/>
      <c r="H379" s="524"/>
      <c r="I379" s="524"/>
      <c r="J379" s="524"/>
      <c r="K379" s="524"/>
      <c r="L379" s="524"/>
      <c r="M379" s="524"/>
      <c r="N379" s="524"/>
      <c r="O379" s="524"/>
      <c r="P379" s="524"/>
      <c r="Q379" s="524"/>
      <c r="R379" s="524"/>
      <c r="S379" s="524"/>
      <c r="T379" s="524"/>
      <c r="U379" s="524"/>
      <c r="V379" s="524"/>
      <c r="W379" s="524"/>
      <c r="X379" s="524"/>
      <c r="Y379" s="524"/>
      <c r="Z379" s="524"/>
      <c r="AA379" s="524"/>
      <c r="AB379" s="524"/>
      <c r="AC379" s="524"/>
      <c r="AD379" s="524"/>
      <c r="AE379" s="524"/>
      <c r="AF379" s="524"/>
      <c r="AG379" s="524"/>
      <c r="AH379" s="524"/>
      <c r="AI379" s="524"/>
      <c r="AJ379" s="524"/>
      <c r="AK379" s="524"/>
      <c r="AL379" s="524"/>
      <c r="AM379" s="524"/>
      <c r="AN379" s="524"/>
      <c r="AO379" s="524"/>
      <c r="AP379" s="524"/>
      <c r="AQ379" s="524"/>
      <c r="AR379" s="524"/>
      <c r="AS379" s="524"/>
    </row>
    <row r="380" spans="2:45">
      <c r="B380" s="524"/>
      <c r="C380" s="524"/>
      <c r="D380" s="524"/>
      <c r="E380" s="524"/>
      <c r="F380" s="524"/>
      <c r="G380" s="524"/>
      <c r="H380" s="524"/>
      <c r="I380" s="524"/>
      <c r="J380" s="524"/>
      <c r="K380" s="524"/>
      <c r="L380" s="524"/>
      <c r="M380" s="524"/>
      <c r="N380" s="524"/>
      <c r="O380" s="524"/>
      <c r="P380" s="524"/>
      <c r="Q380" s="524"/>
      <c r="R380" s="524"/>
      <c r="S380" s="524"/>
      <c r="T380" s="524"/>
      <c r="U380" s="524"/>
      <c r="V380" s="524"/>
      <c r="W380" s="524"/>
      <c r="X380" s="524"/>
      <c r="Y380" s="524"/>
      <c r="Z380" s="524"/>
      <c r="AA380" s="524"/>
      <c r="AB380" s="524"/>
      <c r="AC380" s="524"/>
      <c r="AD380" s="524"/>
      <c r="AE380" s="524"/>
      <c r="AF380" s="524"/>
      <c r="AG380" s="524"/>
      <c r="AH380" s="524"/>
      <c r="AI380" s="524"/>
      <c r="AJ380" s="524"/>
      <c r="AK380" s="524"/>
      <c r="AL380" s="524"/>
      <c r="AM380" s="524"/>
      <c r="AN380" s="524"/>
      <c r="AO380" s="524"/>
      <c r="AP380" s="524"/>
      <c r="AQ380" s="524"/>
      <c r="AR380" s="524"/>
      <c r="AS380" s="524"/>
    </row>
    <row r="381" spans="2:45">
      <c r="B381" s="524"/>
      <c r="C381" s="524"/>
      <c r="D381" s="524"/>
      <c r="E381" s="524"/>
      <c r="F381" s="524"/>
      <c r="G381" s="524"/>
      <c r="H381" s="524"/>
      <c r="I381" s="524"/>
      <c r="J381" s="524"/>
      <c r="K381" s="524"/>
      <c r="L381" s="524"/>
      <c r="M381" s="524"/>
      <c r="N381" s="524"/>
      <c r="O381" s="524"/>
      <c r="P381" s="524"/>
      <c r="Q381" s="524"/>
      <c r="R381" s="524"/>
      <c r="S381" s="524"/>
      <c r="T381" s="524"/>
      <c r="U381" s="524"/>
      <c r="V381" s="524"/>
      <c r="W381" s="524"/>
      <c r="X381" s="524"/>
      <c r="Y381" s="524"/>
      <c r="Z381" s="524"/>
      <c r="AA381" s="524"/>
      <c r="AB381" s="524"/>
      <c r="AC381" s="524"/>
      <c r="AD381" s="524"/>
      <c r="AE381" s="524"/>
      <c r="AF381" s="524"/>
      <c r="AG381" s="524"/>
      <c r="AH381" s="524"/>
      <c r="AI381" s="524"/>
      <c r="AJ381" s="524"/>
      <c r="AK381" s="524"/>
      <c r="AL381" s="524"/>
      <c r="AM381" s="524"/>
      <c r="AN381" s="524"/>
      <c r="AO381" s="524"/>
      <c r="AP381" s="524"/>
      <c r="AQ381" s="524"/>
      <c r="AR381" s="524"/>
      <c r="AS381" s="524"/>
    </row>
    <row r="382" spans="2:45">
      <c r="B382" s="524"/>
      <c r="C382" s="524"/>
      <c r="D382" s="524"/>
      <c r="E382" s="524"/>
      <c r="F382" s="524"/>
      <c r="G382" s="524"/>
      <c r="H382" s="524"/>
      <c r="I382" s="524"/>
      <c r="J382" s="524"/>
      <c r="K382" s="524"/>
      <c r="L382" s="524"/>
      <c r="M382" s="524"/>
      <c r="N382" s="524"/>
      <c r="O382" s="524"/>
      <c r="P382" s="524"/>
      <c r="Q382" s="524"/>
      <c r="R382" s="524"/>
      <c r="S382" s="524"/>
      <c r="T382" s="524"/>
      <c r="U382" s="524"/>
      <c r="V382" s="524"/>
      <c r="W382" s="524"/>
      <c r="X382" s="524"/>
      <c r="Y382" s="524"/>
      <c r="Z382" s="524"/>
      <c r="AA382" s="524"/>
      <c r="AB382" s="524"/>
      <c r="AC382" s="524"/>
      <c r="AD382" s="524"/>
      <c r="AE382" s="524"/>
      <c r="AF382" s="524"/>
      <c r="AG382" s="524"/>
      <c r="AH382" s="524"/>
      <c r="AI382" s="524"/>
      <c r="AJ382" s="524"/>
      <c r="AK382" s="524"/>
      <c r="AL382" s="524"/>
      <c r="AM382" s="524"/>
      <c r="AN382" s="524"/>
      <c r="AO382" s="524"/>
      <c r="AP382" s="524"/>
      <c r="AQ382" s="524"/>
      <c r="AR382" s="524"/>
      <c r="AS382" s="524"/>
    </row>
    <row r="383" spans="2:45">
      <c r="B383" s="524"/>
      <c r="C383" s="524"/>
      <c r="D383" s="524"/>
      <c r="E383" s="524"/>
      <c r="F383" s="524"/>
      <c r="G383" s="524"/>
      <c r="H383" s="524"/>
      <c r="I383" s="524"/>
      <c r="J383" s="524"/>
      <c r="K383" s="524"/>
      <c r="L383" s="524"/>
      <c r="M383" s="524"/>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4"/>
      <c r="AI383" s="524"/>
      <c r="AJ383" s="524"/>
      <c r="AK383" s="524"/>
      <c r="AL383" s="524"/>
      <c r="AM383" s="524"/>
      <c r="AN383" s="524"/>
      <c r="AO383" s="524"/>
      <c r="AP383" s="524"/>
      <c r="AQ383" s="524"/>
      <c r="AR383" s="524"/>
      <c r="AS383" s="524"/>
    </row>
    <row r="384" spans="2:45">
      <c r="B384" s="524"/>
      <c r="C384" s="524"/>
      <c r="D384" s="524"/>
      <c r="E384" s="524"/>
      <c r="F384" s="524"/>
      <c r="G384" s="524"/>
      <c r="H384" s="524"/>
      <c r="I384" s="524"/>
      <c r="J384" s="524"/>
      <c r="K384" s="524"/>
      <c r="L384" s="524"/>
      <c r="M384" s="524"/>
      <c r="N384" s="524"/>
      <c r="O384" s="524"/>
      <c r="P384" s="524"/>
      <c r="Q384" s="524"/>
      <c r="R384" s="524"/>
      <c r="S384" s="524"/>
      <c r="T384" s="524"/>
      <c r="U384" s="524"/>
      <c r="V384" s="524"/>
      <c r="W384" s="524"/>
      <c r="X384" s="524"/>
      <c r="Y384" s="524"/>
      <c r="Z384" s="524"/>
      <c r="AA384" s="524"/>
      <c r="AB384" s="524"/>
      <c r="AC384" s="524"/>
      <c r="AD384" s="524"/>
      <c r="AE384" s="524"/>
      <c r="AF384" s="524"/>
      <c r="AG384" s="524"/>
      <c r="AH384" s="524"/>
      <c r="AI384" s="524"/>
      <c r="AJ384" s="524"/>
      <c r="AK384" s="524"/>
      <c r="AL384" s="524"/>
      <c r="AM384" s="524"/>
      <c r="AN384" s="524"/>
      <c r="AO384" s="524"/>
      <c r="AP384" s="524"/>
      <c r="AQ384" s="524"/>
      <c r="AR384" s="524"/>
      <c r="AS384" s="524"/>
    </row>
    <row r="385" spans="2:45">
      <c r="B385" s="524"/>
      <c r="C385" s="524"/>
      <c r="D385" s="524"/>
      <c r="E385" s="524"/>
      <c r="F385" s="524"/>
      <c r="G385" s="524"/>
      <c r="H385" s="524"/>
      <c r="I385" s="524"/>
      <c r="J385" s="524"/>
      <c r="K385" s="524"/>
      <c r="L385" s="524"/>
      <c r="M385" s="524"/>
      <c r="N385" s="524"/>
      <c r="O385" s="524"/>
      <c r="P385" s="524"/>
      <c r="Q385" s="524"/>
      <c r="R385" s="524"/>
      <c r="S385" s="524"/>
      <c r="T385" s="524"/>
      <c r="U385" s="524"/>
      <c r="V385" s="524"/>
      <c r="W385" s="524"/>
      <c r="X385" s="524"/>
      <c r="Y385" s="524"/>
      <c r="Z385" s="524"/>
      <c r="AA385" s="524"/>
      <c r="AB385" s="524"/>
      <c r="AC385" s="524"/>
      <c r="AD385" s="524"/>
      <c r="AE385" s="524"/>
      <c r="AF385" s="524"/>
      <c r="AG385" s="524"/>
      <c r="AH385" s="524"/>
      <c r="AI385" s="524"/>
      <c r="AJ385" s="524"/>
      <c r="AK385" s="524"/>
      <c r="AL385" s="524"/>
      <c r="AM385" s="524"/>
      <c r="AN385" s="524"/>
      <c r="AO385" s="524"/>
      <c r="AP385" s="524"/>
      <c r="AQ385" s="524"/>
      <c r="AR385" s="524"/>
      <c r="AS385" s="524"/>
    </row>
    <row r="386" spans="2:45">
      <c r="B386" s="524"/>
      <c r="C386" s="524"/>
      <c r="D386" s="524"/>
      <c r="E386" s="524"/>
      <c r="F386" s="524"/>
      <c r="G386" s="524"/>
      <c r="H386" s="524"/>
      <c r="I386" s="524"/>
      <c r="J386" s="524"/>
      <c r="K386" s="524"/>
      <c r="L386" s="524"/>
      <c r="M386" s="524"/>
      <c r="N386" s="524"/>
      <c r="O386" s="524"/>
      <c r="P386" s="524"/>
      <c r="Q386" s="524"/>
      <c r="R386" s="524"/>
      <c r="S386" s="524"/>
      <c r="T386" s="524"/>
      <c r="U386" s="524"/>
      <c r="V386" s="524"/>
      <c r="W386" s="524"/>
      <c r="X386" s="524"/>
      <c r="Y386" s="524"/>
      <c r="Z386" s="524"/>
      <c r="AA386" s="524"/>
      <c r="AB386" s="524"/>
      <c r="AC386" s="524"/>
      <c r="AD386" s="524"/>
      <c r="AE386" s="524"/>
      <c r="AF386" s="524"/>
      <c r="AG386" s="524"/>
      <c r="AH386" s="524"/>
      <c r="AI386" s="524"/>
      <c r="AJ386" s="524"/>
      <c r="AK386" s="524"/>
      <c r="AL386" s="524"/>
      <c r="AM386" s="524"/>
      <c r="AN386" s="524"/>
      <c r="AO386" s="524"/>
      <c r="AP386" s="524"/>
      <c r="AQ386" s="524"/>
      <c r="AR386" s="524"/>
      <c r="AS386" s="524"/>
    </row>
    <row r="387" spans="2:45">
      <c r="B387" s="524"/>
      <c r="C387" s="524"/>
      <c r="D387" s="524"/>
      <c r="E387" s="524"/>
      <c r="F387" s="524"/>
      <c r="G387" s="524"/>
      <c r="H387" s="524"/>
      <c r="I387" s="524"/>
      <c r="J387" s="524"/>
      <c r="K387" s="524"/>
      <c r="L387" s="524"/>
      <c r="M387" s="524"/>
      <c r="N387" s="524"/>
      <c r="O387" s="524"/>
      <c r="P387" s="524"/>
      <c r="Q387" s="524"/>
      <c r="R387" s="524"/>
      <c r="S387" s="524"/>
      <c r="T387" s="524"/>
      <c r="U387" s="524"/>
      <c r="V387" s="524"/>
      <c r="W387" s="524"/>
      <c r="X387" s="524"/>
      <c r="Y387" s="524"/>
      <c r="Z387" s="524"/>
      <c r="AA387" s="524"/>
      <c r="AB387" s="524"/>
      <c r="AC387" s="524"/>
      <c r="AD387" s="524"/>
      <c r="AE387" s="524"/>
      <c r="AF387" s="524"/>
      <c r="AG387" s="524"/>
      <c r="AH387" s="524"/>
      <c r="AI387" s="524"/>
      <c r="AJ387" s="524"/>
      <c r="AK387" s="524"/>
      <c r="AL387" s="524"/>
      <c r="AM387" s="524"/>
      <c r="AN387" s="524"/>
      <c r="AO387" s="524"/>
      <c r="AP387" s="524"/>
      <c r="AQ387" s="524"/>
      <c r="AR387" s="524"/>
      <c r="AS387" s="524"/>
    </row>
    <row r="388" spans="2:45">
      <c r="B388" s="524"/>
      <c r="C388" s="524"/>
      <c r="D388" s="524"/>
      <c r="E388" s="524"/>
      <c r="F388" s="524"/>
      <c r="G388" s="524"/>
      <c r="H388" s="524"/>
      <c r="I388" s="524"/>
      <c r="J388" s="524"/>
      <c r="K388" s="524"/>
      <c r="L388" s="524"/>
      <c r="M388" s="524"/>
      <c r="N388" s="524"/>
      <c r="O388" s="524"/>
      <c r="P388" s="524"/>
      <c r="Q388" s="524"/>
      <c r="R388" s="524"/>
      <c r="S388" s="524"/>
      <c r="T388" s="524"/>
      <c r="U388" s="524"/>
      <c r="V388" s="524"/>
      <c r="W388" s="524"/>
      <c r="X388" s="524"/>
      <c r="Y388" s="524"/>
      <c r="Z388" s="524"/>
      <c r="AA388" s="524"/>
      <c r="AB388" s="524"/>
      <c r="AC388" s="524"/>
      <c r="AD388" s="524"/>
      <c r="AE388" s="524"/>
      <c r="AF388" s="524"/>
      <c r="AG388" s="524"/>
      <c r="AH388" s="524"/>
      <c r="AI388" s="524"/>
      <c r="AJ388" s="524"/>
      <c r="AK388" s="524"/>
      <c r="AL388" s="524"/>
      <c r="AM388" s="524"/>
      <c r="AN388" s="524"/>
      <c r="AO388" s="524"/>
      <c r="AP388" s="524"/>
      <c r="AQ388" s="524"/>
      <c r="AR388" s="524"/>
      <c r="AS388" s="524"/>
    </row>
    <row r="389" spans="2:45">
      <c r="B389" s="524"/>
      <c r="C389" s="524"/>
      <c r="D389" s="524"/>
      <c r="E389" s="524"/>
      <c r="F389" s="524"/>
      <c r="G389" s="524"/>
      <c r="H389" s="524"/>
      <c r="I389" s="524"/>
      <c r="J389" s="524"/>
      <c r="K389" s="524"/>
      <c r="L389" s="524"/>
      <c r="M389" s="524"/>
      <c r="N389" s="524"/>
      <c r="O389" s="524"/>
      <c r="P389" s="524"/>
      <c r="Q389" s="524"/>
      <c r="R389" s="524"/>
      <c r="S389" s="524"/>
      <c r="T389" s="524"/>
      <c r="U389" s="524"/>
      <c r="V389" s="524"/>
      <c r="W389" s="524"/>
      <c r="X389" s="524"/>
      <c r="Y389" s="524"/>
      <c r="Z389" s="524"/>
      <c r="AA389" s="524"/>
      <c r="AB389" s="524"/>
      <c r="AC389" s="524"/>
      <c r="AD389" s="524"/>
      <c r="AE389" s="524"/>
      <c r="AF389" s="524"/>
      <c r="AG389" s="524"/>
      <c r="AH389" s="524"/>
      <c r="AI389" s="524"/>
      <c r="AJ389" s="524"/>
      <c r="AK389" s="524"/>
      <c r="AL389" s="524"/>
      <c r="AM389" s="524"/>
      <c r="AN389" s="524"/>
      <c r="AO389" s="524"/>
      <c r="AP389" s="524"/>
      <c r="AQ389" s="524"/>
      <c r="AR389" s="524"/>
      <c r="AS389" s="524"/>
    </row>
    <row r="390" spans="2:45">
      <c r="B390" s="524"/>
      <c r="C390" s="524"/>
      <c r="D390" s="524"/>
      <c r="E390" s="524"/>
      <c r="F390" s="524"/>
      <c r="G390" s="524"/>
      <c r="H390" s="524"/>
      <c r="I390" s="524"/>
      <c r="J390" s="524"/>
      <c r="K390" s="524"/>
      <c r="L390" s="524"/>
      <c r="M390" s="524"/>
      <c r="N390" s="524"/>
      <c r="O390" s="524"/>
      <c r="P390" s="524"/>
      <c r="Q390" s="524"/>
      <c r="R390" s="524"/>
      <c r="S390" s="524"/>
      <c r="T390" s="524"/>
      <c r="U390" s="524"/>
      <c r="V390" s="524"/>
      <c r="W390" s="524"/>
      <c r="X390" s="524"/>
      <c r="Y390" s="524"/>
      <c r="Z390" s="524"/>
      <c r="AA390" s="524"/>
      <c r="AB390" s="524"/>
      <c r="AC390" s="524"/>
      <c r="AD390" s="524"/>
      <c r="AE390" s="524"/>
      <c r="AF390" s="524"/>
      <c r="AG390" s="524"/>
      <c r="AH390" s="524"/>
      <c r="AI390" s="524"/>
      <c r="AJ390" s="524"/>
      <c r="AK390" s="524"/>
      <c r="AL390" s="524"/>
      <c r="AM390" s="524"/>
      <c r="AN390" s="524"/>
      <c r="AO390" s="524"/>
      <c r="AP390" s="524"/>
      <c r="AQ390" s="524"/>
      <c r="AR390" s="524"/>
      <c r="AS390" s="524"/>
    </row>
    <row r="391" spans="2:45">
      <c r="B391" s="524"/>
      <c r="C391" s="524"/>
      <c r="D391" s="524"/>
      <c r="E391" s="524"/>
      <c r="F391" s="524"/>
      <c r="G391" s="524"/>
      <c r="H391" s="524"/>
      <c r="I391" s="524"/>
      <c r="J391" s="524"/>
      <c r="K391" s="524"/>
      <c r="L391" s="524"/>
      <c r="M391" s="524"/>
      <c r="N391" s="524"/>
      <c r="O391" s="524"/>
      <c r="P391" s="524"/>
      <c r="Q391" s="524"/>
      <c r="R391" s="524"/>
      <c r="S391" s="524"/>
      <c r="T391" s="524"/>
      <c r="U391" s="524"/>
      <c r="V391" s="524"/>
      <c r="W391" s="524"/>
      <c r="X391" s="524"/>
      <c r="Y391" s="524"/>
      <c r="Z391" s="524"/>
      <c r="AA391" s="524"/>
      <c r="AB391" s="524"/>
      <c r="AC391" s="524"/>
      <c r="AD391" s="524"/>
      <c r="AE391" s="524"/>
      <c r="AF391" s="524"/>
      <c r="AG391" s="524"/>
      <c r="AH391" s="524"/>
      <c r="AI391" s="524"/>
      <c r="AJ391" s="524"/>
      <c r="AK391" s="524"/>
      <c r="AL391" s="524"/>
      <c r="AM391" s="524"/>
      <c r="AN391" s="524"/>
      <c r="AO391" s="524"/>
      <c r="AP391" s="524"/>
      <c r="AQ391" s="524"/>
      <c r="AR391" s="524"/>
      <c r="AS391" s="524"/>
    </row>
    <row r="392" spans="2:45">
      <c r="B392" s="524"/>
      <c r="C392" s="524"/>
      <c r="D392" s="524"/>
      <c r="E392" s="524"/>
      <c r="F392" s="524"/>
      <c r="G392" s="524"/>
      <c r="H392" s="524"/>
      <c r="I392" s="524"/>
      <c r="J392" s="524"/>
      <c r="K392" s="524"/>
      <c r="L392" s="524"/>
      <c r="M392" s="524"/>
      <c r="N392" s="524"/>
      <c r="O392" s="524"/>
      <c r="P392" s="524"/>
      <c r="Q392" s="524"/>
      <c r="R392" s="524"/>
      <c r="S392" s="524"/>
      <c r="T392" s="524"/>
      <c r="U392" s="524"/>
      <c r="V392" s="524"/>
      <c r="W392" s="524"/>
      <c r="X392" s="524"/>
      <c r="Y392" s="524"/>
      <c r="Z392" s="524"/>
      <c r="AA392" s="524"/>
      <c r="AB392" s="524"/>
      <c r="AC392" s="524"/>
      <c r="AD392" s="524"/>
      <c r="AE392" s="524"/>
      <c r="AF392" s="524"/>
      <c r="AG392" s="524"/>
      <c r="AH392" s="524"/>
      <c r="AI392" s="524"/>
      <c r="AJ392" s="524"/>
      <c r="AK392" s="524"/>
      <c r="AL392" s="524"/>
      <c r="AM392" s="524"/>
      <c r="AN392" s="524"/>
      <c r="AO392" s="524"/>
      <c r="AP392" s="524"/>
      <c r="AQ392" s="524"/>
      <c r="AR392" s="524"/>
      <c r="AS392" s="524"/>
    </row>
    <row r="393" spans="2:45">
      <c r="B393" s="524"/>
      <c r="C393" s="524"/>
      <c r="D393" s="524"/>
      <c r="E393" s="524"/>
      <c r="F393" s="524"/>
      <c r="G393" s="524"/>
      <c r="H393" s="524"/>
      <c r="I393" s="524"/>
      <c r="J393" s="524"/>
      <c r="K393" s="524"/>
      <c r="L393" s="524"/>
      <c r="M393" s="524"/>
      <c r="N393" s="524"/>
      <c r="O393" s="524"/>
      <c r="P393" s="524"/>
      <c r="Q393" s="524"/>
      <c r="R393" s="524"/>
      <c r="S393" s="524"/>
      <c r="T393" s="524"/>
      <c r="U393" s="524"/>
      <c r="V393" s="524"/>
      <c r="W393" s="524"/>
      <c r="X393" s="524"/>
      <c r="Y393" s="524"/>
      <c r="Z393" s="524"/>
      <c r="AA393" s="524"/>
      <c r="AB393" s="524"/>
      <c r="AC393" s="524"/>
      <c r="AD393" s="524"/>
      <c r="AE393" s="524"/>
      <c r="AF393" s="524"/>
      <c r="AG393" s="524"/>
      <c r="AH393" s="524"/>
      <c r="AI393" s="524"/>
      <c r="AJ393" s="524"/>
      <c r="AK393" s="524"/>
      <c r="AL393" s="524"/>
      <c r="AM393" s="524"/>
      <c r="AN393" s="524"/>
      <c r="AO393" s="524"/>
      <c r="AP393" s="524"/>
      <c r="AQ393" s="524"/>
      <c r="AR393" s="524"/>
      <c r="AS393" s="524"/>
    </row>
    <row r="394" spans="2:45">
      <c r="B394" s="524"/>
      <c r="C394" s="524"/>
      <c r="D394" s="524"/>
      <c r="E394" s="524"/>
      <c r="F394" s="524"/>
      <c r="G394" s="524"/>
      <c r="H394" s="524"/>
      <c r="I394" s="524"/>
      <c r="J394" s="524"/>
      <c r="K394" s="524"/>
      <c r="L394" s="524"/>
      <c r="M394" s="524"/>
      <c r="N394" s="524"/>
      <c r="O394" s="524"/>
      <c r="P394" s="524"/>
      <c r="Q394" s="524"/>
      <c r="R394" s="524"/>
      <c r="S394" s="524"/>
      <c r="T394" s="524"/>
      <c r="U394" s="524"/>
      <c r="V394" s="524"/>
      <c r="W394" s="524"/>
      <c r="X394" s="524"/>
      <c r="Y394" s="524"/>
      <c r="Z394" s="524"/>
      <c r="AA394" s="524"/>
      <c r="AB394" s="524"/>
      <c r="AC394" s="524"/>
      <c r="AD394" s="524"/>
      <c r="AE394" s="524"/>
      <c r="AF394" s="524"/>
      <c r="AG394" s="524"/>
      <c r="AH394" s="524"/>
      <c r="AI394" s="524"/>
      <c r="AJ394" s="524"/>
      <c r="AK394" s="524"/>
      <c r="AL394" s="524"/>
      <c r="AM394" s="524"/>
      <c r="AN394" s="524"/>
      <c r="AO394" s="524"/>
      <c r="AP394" s="524"/>
      <c r="AQ394" s="524"/>
      <c r="AR394" s="524"/>
      <c r="AS394" s="524"/>
    </row>
    <row r="395" spans="2:45">
      <c r="B395" s="524"/>
      <c r="C395" s="524"/>
      <c r="D395" s="524"/>
      <c r="E395" s="524"/>
      <c r="F395" s="524"/>
      <c r="G395" s="524"/>
      <c r="H395" s="524"/>
      <c r="I395" s="524"/>
      <c r="J395" s="524"/>
      <c r="K395" s="524"/>
      <c r="L395" s="524"/>
      <c r="M395" s="524"/>
      <c r="N395" s="524"/>
      <c r="O395" s="524"/>
      <c r="P395" s="524"/>
      <c r="Q395" s="524"/>
      <c r="R395" s="524"/>
      <c r="S395" s="524"/>
      <c r="T395" s="524"/>
      <c r="U395" s="524"/>
      <c r="V395" s="524"/>
      <c r="W395" s="524"/>
      <c r="X395" s="524"/>
      <c r="Y395" s="524"/>
      <c r="Z395" s="524"/>
      <c r="AA395" s="524"/>
      <c r="AB395" s="524"/>
      <c r="AC395" s="524"/>
      <c r="AD395" s="524"/>
      <c r="AE395" s="524"/>
      <c r="AF395" s="524"/>
      <c r="AG395" s="524"/>
      <c r="AH395" s="524"/>
      <c r="AI395" s="524"/>
      <c r="AJ395" s="524"/>
      <c r="AK395" s="524"/>
      <c r="AL395" s="524"/>
      <c r="AM395" s="524"/>
      <c r="AN395" s="524"/>
      <c r="AO395" s="524"/>
      <c r="AP395" s="524"/>
      <c r="AQ395" s="524"/>
      <c r="AR395" s="524"/>
      <c r="AS395" s="524"/>
    </row>
    <row r="396" spans="2:45">
      <c r="B396" s="524"/>
      <c r="C396" s="524"/>
      <c r="D396" s="524"/>
      <c r="E396" s="524"/>
      <c r="F396" s="524"/>
      <c r="G396" s="524"/>
      <c r="H396" s="524"/>
      <c r="I396" s="524"/>
      <c r="J396" s="524"/>
      <c r="K396" s="524"/>
      <c r="L396" s="524"/>
      <c r="M396" s="524"/>
      <c r="N396" s="524"/>
      <c r="O396" s="524"/>
      <c r="P396" s="524"/>
      <c r="Q396" s="524"/>
      <c r="R396" s="524"/>
      <c r="S396" s="524"/>
      <c r="T396" s="524"/>
      <c r="U396" s="524"/>
      <c r="V396" s="524"/>
      <c r="W396" s="524"/>
      <c r="X396" s="524"/>
      <c r="Y396" s="524"/>
      <c r="Z396" s="524"/>
      <c r="AA396" s="524"/>
      <c r="AB396" s="524"/>
      <c r="AC396" s="524"/>
      <c r="AD396" s="524"/>
      <c r="AE396" s="524"/>
      <c r="AF396" s="524"/>
      <c r="AG396" s="524"/>
      <c r="AH396" s="524"/>
      <c r="AI396" s="524"/>
      <c r="AJ396" s="524"/>
      <c r="AK396" s="524"/>
      <c r="AL396" s="524"/>
      <c r="AM396" s="524"/>
      <c r="AN396" s="524"/>
      <c r="AO396" s="524"/>
      <c r="AP396" s="524"/>
      <c r="AQ396" s="524"/>
      <c r="AR396" s="524"/>
      <c r="AS396" s="524"/>
    </row>
    <row r="397" spans="2:45">
      <c r="B397" s="524"/>
      <c r="C397" s="524"/>
      <c r="D397" s="524"/>
      <c r="E397" s="524"/>
      <c r="F397" s="524"/>
      <c r="G397" s="524"/>
      <c r="H397" s="524"/>
      <c r="I397" s="524"/>
      <c r="J397" s="524"/>
      <c r="K397" s="524"/>
      <c r="L397" s="524"/>
      <c r="M397" s="524"/>
      <c r="N397" s="524"/>
      <c r="O397" s="524"/>
      <c r="P397" s="524"/>
      <c r="Q397" s="524"/>
      <c r="R397" s="524"/>
      <c r="S397" s="524"/>
      <c r="T397" s="524"/>
      <c r="U397" s="524"/>
      <c r="V397" s="524"/>
      <c r="W397" s="524"/>
      <c r="X397" s="524"/>
      <c r="Y397" s="524"/>
      <c r="Z397" s="524"/>
      <c r="AA397" s="524"/>
      <c r="AB397" s="524"/>
      <c r="AC397" s="524"/>
      <c r="AD397" s="524"/>
      <c r="AE397" s="524"/>
      <c r="AF397" s="524"/>
      <c r="AG397" s="524"/>
      <c r="AH397" s="524"/>
      <c r="AI397" s="524"/>
      <c r="AJ397" s="524"/>
      <c r="AK397" s="524"/>
      <c r="AL397" s="524"/>
      <c r="AM397" s="524"/>
      <c r="AN397" s="524"/>
      <c r="AO397" s="524"/>
      <c r="AP397" s="524"/>
      <c r="AQ397" s="524"/>
      <c r="AR397" s="524"/>
      <c r="AS397" s="524"/>
    </row>
    <row r="398" spans="2:45">
      <c r="B398" s="524"/>
      <c r="C398" s="524"/>
      <c r="D398" s="524"/>
      <c r="E398" s="524"/>
      <c r="F398" s="524"/>
      <c r="G398" s="524"/>
      <c r="H398" s="524"/>
      <c r="I398" s="524"/>
      <c r="J398" s="524"/>
      <c r="K398" s="524"/>
      <c r="L398" s="524"/>
      <c r="M398" s="524"/>
      <c r="N398" s="524"/>
      <c r="O398" s="524"/>
      <c r="P398" s="524"/>
      <c r="Q398" s="524"/>
      <c r="R398" s="524"/>
      <c r="S398" s="524"/>
      <c r="T398" s="524"/>
      <c r="U398" s="524"/>
      <c r="V398" s="524"/>
      <c r="W398" s="524"/>
      <c r="X398" s="524"/>
      <c r="Y398" s="524"/>
      <c r="Z398" s="524"/>
      <c r="AA398" s="524"/>
      <c r="AB398" s="524"/>
      <c r="AC398" s="524"/>
      <c r="AD398" s="524"/>
      <c r="AE398" s="524"/>
      <c r="AF398" s="524"/>
      <c r="AG398" s="524"/>
      <c r="AH398" s="524"/>
      <c r="AI398" s="524"/>
      <c r="AJ398" s="524"/>
      <c r="AK398" s="524"/>
      <c r="AL398" s="524"/>
      <c r="AM398" s="524"/>
      <c r="AN398" s="524"/>
      <c r="AO398" s="524"/>
      <c r="AP398" s="524"/>
      <c r="AQ398" s="524"/>
      <c r="AR398" s="524"/>
      <c r="AS398" s="524"/>
    </row>
    <row r="399" spans="2:45">
      <c r="B399" s="524"/>
      <c r="C399" s="524"/>
      <c r="D399" s="524"/>
      <c r="E399" s="524"/>
      <c r="F399" s="524"/>
      <c r="G399" s="524"/>
      <c r="H399" s="524"/>
      <c r="I399" s="524"/>
      <c r="J399" s="524"/>
      <c r="K399" s="524"/>
      <c r="L399" s="524"/>
      <c r="M399" s="524"/>
      <c r="N399" s="524"/>
      <c r="O399" s="524"/>
      <c r="P399" s="524"/>
      <c r="Q399" s="524"/>
      <c r="R399" s="524"/>
      <c r="S399" s="524"/>
      <c r="T399" s="524"/>
      <c r="U399" s="524"/>
      <c r="V399" s="524"/>
      <c r="W399" s="524"/>
      <c r="X399" s="524"/>
      <c r="Y399" s="524"/>
      <c r="Z399" s="524"/>
      <c r="AA399" s="524"/>
      <c r="AB399" s="524"/>
      <c r="AC399" s="524"/>
      <c r="AD399" s="524"/>
      <c r="AE399" s="524"/>
      <c r="AF399" s="524"/>
      <c r="AG399" s="524"/>
      <c r="AH399" s="524"/>
      <c r="AI399" s="524"/>
      <c r="AJ399" s="524"/>
      <c r="AK399" s="524"/>
      <c r="AL399" s="524"/>
      <c r="AM399" s="524"/>
      <c r="AN399" s="524"/>
      <c r="AO399" s="524"/>
      <c r="AP399" s="524"/>
      <c r="AQ399" s="524"/>
      <c r="AR399" s="524"/>
      <c r="AS399" s="524"/>
    </row>
    <row r="400" spans="2:45">
      <c r="B400" s="524"/>
      <c r="C400" s="524"/>
      <c r="D400" s="524"/>
      <c r="E400" s="524"/>
      <c r="F400" s="524"/>
      <c r="G400" s="524"/>
      <c r="H400" s="524"/>
      <c r="I400" s="524"/>
      <c r="J400" s="524"/>
      <c r="K400" s="524"/>
      <c r="L400" s="524"/>
      <c r="M400" s="524"/>
      <c r="N400" s="524"/>
      <c r="O400" s="524"/>
      <c r="P400" s="524"/>
      <c r="Q400" s="524"/>
      <c r="R400" s="524"/>
      <c r="S400" s="524"/>
      <c r="T400" s="524"/>
      <c r="U400" s="524"/>
      <c r="V400" s="524"/>
      <c r="W400" s="524"/>
      <c r="X400" s="524"/>
      <c r="Y400" s="524"/>
      <c r="Z400" s="524"/>
      <c r="AA400" s="524"/>
      <c r="AB400" s="524"/>
      <c r="AC400" s="524"/>
      <c r="AD400" s="524"/>
      <c r="AE400" s="524"/>
      <c r="AF400" s="524"/>
      <c r="AG400" s="524"/>
      <c r="AH400" s="524"/>
      <c r="AI400" s="524"/>
      <c r="AJ400" s="524"/>
      <c r="AK400" s="524"/>
      <c r="AL400" s="524"/>
      <c r="AM400" s="524"/>
      <c r="AN400" s="524"/>
      <c r="AO400" s="524"/>
      <c r="AP400" s="524"/>
      <c r="AQ400" s="524"/>
      <c r="AR400" s="524"/>
      <c r="AS400" s="524"/>
    </row>
    <row r="401" spans="2:45">
      <c r="B401" s="524"/>
      <c r="C401" s="524"/>
      <c r="D401" s="524"/>
      <c r="E401" s="524"/>
      <c r="F401" s="524"/>
      <c r="G401" s="524"/>
      <c r="H401" s="524"/>
      <c r="I401" s="524"/>
      <c r="J401" s="524"/>
      <c r="K401" s="524"/>
      <c r="L401" s="524"/>
      <c r="M401" s="524"/>
      <c r="N401" s="524"/>
      <c r="O401" s="524"/>
      <c r="P401" s="524"/>
      <c r="Q401" s="524"/>
      <c r="R401" s="524"/>
      <c r="S401" s="524"/>
      <c r="T401" s="524"/>
      <c r="U401" s="524"/>
      <c r="V401" s="524"/>
      <c r="W401" s="524"/>
      <c r="X401" s="524"/>
      <c r="Y401" s="524"/>
      <c r="Z401" s="524"/>
      <c r="AA401" s="524"/>
      <c r="AB401" s="524"/>
      <c r="AC401" s="524"/>
      <c r="AD401" s="524"/>
      <c r="AE401" s="524"/>
      <c r="AF401" s="524"/>
      <c r="AG401" s="524"/>
      <c r="AH401" s="524"/>
      <c r="AI401" s="524"/>
      <c r="AJ401" s="524"/>
      <c r="AK401" s="524"/>
      <c r="AL401" s="524"/>
      <c r="AM401" s="524"/>
      <c r="AN401" s="524"/>
      <c r="AO401" s="524"/>
      <c r="AP401" s="524"/>
      <c r="AQ401" s="524"/>
      <c r="AR401" s="524"/>
      <c r="AS401" s="524"/>
    </row>
    <row r="402" spans="2:45">
      <c r="B402" s="524"/>
      <c r="C402" s="524"/>
      <c r="D402" s="524"/>
      <c r="E402" s="524"/>
      <c r="F402" s="524"/>
      <c r="G402" s="524"/>
      <c r="H402" s="524"/>
      <c r="I402" s="524"/>
      <c r="J402" s="524"/>
      <c r="K402" s="524"/>
      <c r="L402" s="524"/>
      <c r="M402" s="524"/>
      <c r="N402" s="524"/>
      <c r="O402" s="524"/>
      <c r="P402" s="524"/>
      <c r="Q402" s="524"/>
      <c r="R402" s="524"/>
      <c r="S402" s="524"/>
      <c r="T402" s="524"/>
      <c r="U402" s="524"/>
      <c r="V402" s="524"/>
      <c r="W402" s="524"/>
      <c r="X402" s="524"/>
      <c r="Y402" s="524"/>
      <c r="Z402" s="524"/>
      <c r="AA402" s="524"/>
      <c r="AB402" s="524"/>
      <c r="AC402" s="524"/>
      <c r="AD402" s="524"/>
      <c r="AE402" s="524"/>
      <c r="AF402" s="524"/>
      <c r="AG402" s="524"/>
      <c r="AH402" s="524"/>
      <c r="AI402" s="524"/>
      <c r="AJ402" s="524"/>
      <c r="AK402" s="524"/>
      <c r="AL402" s="524"/>
      <c r="AM402" s="524"/>
      <c r="AN402" s="524"/>
      <c r="AO402" s="524"/>
      <c r="AP402" s="524"/>
      <c r="AQ402" s="524"/>
      <c r="AR402" s="524"/>
      <c r="AS402" s="524"/>
    </row>
    <row r="403" spans="2:45">
      <c r="B403" s="524"/>
      <c r="C403" s="524"/>
      <c r="D403" s="524"/>
      <c r="E403" s="524"/>
      <c r="F403" s="524"/>
      <c r="G403" s="524"/>
      <c r="H403" s="524"/>
      <c r="I403" s="524"/>
      <c r="J403" s="524"/>
      <c r="K403" s="524"/>
      <c r="L403" s="524"/>
      <c r="M403" s="524"/>
      <c r="N403" s="524"/>
      <c r="O403" s="524"/>
      <c r="P403" s="524"/>
      <c r="Q403" s="524"/>
      <c r="R403" s="524"/>
      <c r="S403" s="524"/>
      <c r="T403" s="524"/>
      <c r="U403" s="524"/>
      <c r="V403" s="524"/>
      <c r="W403" s="524"/>
      <c r="X403" s="524"/>
      <c r="Y403" s="524"/>
      <c r="Z403" s="524"/>
      <c r="AA403" s="524"/>
      <c r="AB403" s="524"/>
      <c r="AC403" s="524"/>
      <c r="AD403" s="524"/>
      <c r="AE403" s="524"/>
      <c r="AF403" s="524"/>
      <c r="AG403" s="524"/>
      <c r="AH403" s="524"/>
      <c r="AI403" s="524"/>
      <c r="AJ403" s="524"/>
      <c r="AK403" s="524"/>
      <c r="AL403" s="524"/>
      <c r="AM403" s="524"/>
      <c r="AN403" s="524"/>
      <c r="AO403" s="524"/>
      <c r="AP403" s="524"/>
      <c r="AQ403" s="524"/>
      <c r="AR403" s="524"/>
      <c r="AS403" s="524"/>
    </row>
    <row r="404" spans="2:45">
      <c r="B404" s="524"/>
      <c r="C404" s="524"/>
      <c r="D404" s="524"/>
      <c r="E404" s="524"/>
      <c r="F404" s="524"/>
      <c r="G404" s="524"/>
      <c r="H404" s="524"/>
      <c r="I404" s="524"/>
      <c r="J404" s="524"/>
      <c r="K404" s="524"/>
      <c r="L404" s="524"/>
      <c r="M404" s="524"/>
      <c r="N404" s="524"/>
      <c r="O404" s="524"/>
      <c r="P404" s="524"/>
      <c r="Q404" s="524"/>
      <c r="R404" s="524"/>
      <c r="S404" s="524"/>
      <c r="T404" s="524"/>
      <c r="U404" s="524"/>
      <c r="V404" s="524"/>
      <c r="W404" s="524"/>
      <c r="X404" s="524"/>
      <c r="Y404" s="524"/>
      <c r="Z404" s="524"/>
      <c r="AA404" s="524"/>
      <c r="AB404" s="524"/>
      <c r="AC404" s="524"/>
      <c r="AD404" s="524"/>
      <c r="AE404" s="524"/>
      <c r="AF404" s="524"/>
      <c r="AG404" s="524"/>
      <c r="AH404" s="524"/>
      <c r="AI404" s="524"/>
      <c r="AJ404" s="524"/>
      <c r="AK404" s="524"/>
      <c r="AL404" s="524"/>
      <c r="AM404" s="524"/>
      <c r="AN404" s="524"/>
      <c r="AO404" s="524"/>
      <c r="AP404" s="524"/>
      <c r="AQ404" s="524"/>
      <c r="AR404" s="524"/>
      <c r="AS404" s="524"/>
    </row>
    <row r="405" spans="2:45">
      <c r="B405" s="524"/>
      <c r="C405" s="524"/>
      <c r="D405" s="524"/>
      <c r="E405" s="524"/>
      <c r="F405" s="524"/>
      <c r="G405" s="524"/>
      <c r="H405" s="524"/>
      <c r="I405" s="524"/>
      <c r="J405" s="524"/>
      <c r="K405" s="524"/>
      <c r="L405" s="524"/>
      <c r="M405" s="524"/>
      <c r="N405" s="524"/>
      <c r="O405" s="524"/>
      <c r="P405" s="524"/>
      <c r="Q405" s="524"/>
      <c r="R405" s="524"/>
      <c r="S405" s="524"/>
      <c r="T405" s="524"/>
      <c r="U405" s="524"/>
      <c r="V405" s="524"/>
      <c r="W405" s="524"/>
      <c r="X405" s="524"/>
      <c r="Y405" s="524"/>
      <c r="Z405" s="524"/>
      <c r="AA405" s="524"/>
      <c r="AB405" s="524"/>
      <c r="AC405" s="524"/>
      <c r="AD405" s="524"/>
      <c r="AE405" s="524"/>
      <c r="AF405" s="524"/>
      <c r="AG405" s="524"/>
      <c r="AH405" s="524"/>
      <c r="AI405" s="524"/>
      <c r="AJ405" s="524"/>
      <c r="AK405" s="524"/>
      <c r="AL405" s="524"/>
      <c r="AM405" s="524"/>
      <c r="AN405" s="524"/>
      <c r="AO405" s="524"/>
      <c r="AP405" s="524"/>
      <c r="AQ405" s="524"/>
      <c r="AR405" s="524"/>
      <c r="AS405" s="524"/>
    </row>
    <row r="406" spans="2:45">
      <c r="B406" s="524"/>
      <c r="C406" s="524"/>
      <c r="D406" s="524"/>
      <c r="E406" s="524"/>
      <c r="F406" s="524"/>
      <c r="G406" s="524"/>
      <c r="H406" s="524"/>
      <c r="I406" s="524"/>
      <c r="J406" s="524"/>
      <c r="K406" s="524"/>
      <c r="L406" s="524"/>
      <c r="M406" s="524"/>
      <c r="N406" s="524"/>
      <c r="O406" s="524"/>
      <c r="P406" s="524"/>
      <c r="Q406" s="524"/>
      <c r="R406" s="524"/>
      <c r="S406" s="524"/>
      <c r="T406" s="524"/>
      <c r="U406" s="524"/>
      <c r="V406" s="524"/>
      <c r="W406" s="524"/>
      <c r="X406" s="524"/>
      <c r="Y406" s="524"/>
      <c r="Z406" s="524"/>
      <c r="AA406" s="524"/>
      <c r="AB406" s="524"/>
      <c r="AC406" s="524"/>
      <c r="AD406" s="524"/>
      <c r="AE406" s="524"/>
      <c r="AF406" s="524"/>
      <c r="AG406" s="524"/>
      <c r="AH406" s="524"/>
      <c r="AI406" s="524"/>
      <c r="AJ406" s="524"/>
      <c r="AK406" s="524"/>
      <c r="AL406" s="524"/>
      <c r="AM406" s="524"/>
      <c r="AN406" s="524"/>
      <c r="AO406" s="524"/>
      <c r="AP406" s="524"/>
      <c r="AQ406" s="524"/>
      <c r="AR406" s="524"/>
      <c r="AS406" s="524"/>
    </row>
    <row r="407" spans="2:45">
      <c r="B407" s="524"/>
      <c r="C407" s="524"/>
      <c r="D407" s="524"/>
      <c r="E407" s="524"/>
      <c r="F407" s="524"/>
      <c r="G407" s="524"/>
      <c r="H407" s="524"/>
      <c r="I407" s="524"/>
      <c r="J407" s="524"/>
      <c r="K407" s="524"/>
      <c r="L407" s="524"/>
      <c r="M407" s="524"/>
      <c r="N407" s="524"/>
      <c r="O407" s="524"/>
      <c r="P407" s="524"/>
      <c r="Q407" s="524"/>
      <c r="R407" s="524"/>
      <c r="S407" s="524"/>
      <c r="T407" s="524"/>
      <c r="U407" s="524"/>
      <c r="V407" s="524"/>
      <c r="W407" s="524"/>
      <c r="X407" s="524"/>
      <c r="Y407" s="524"/>
      <c r="Z407" s="524"/>
      <c r="AA407" s="524"/>
      <c r="AB407" s="524"/>
      <c r="AC407" s="524"/>
      <c r="AD407" s="524"/>
      <c r="AE407" s="524"/>
      <c r="AF407" s="524"/>
      <c r="AG407" s="524"/>
      <c r="AH407" s="524"/>
      <c r="AI407" s="524"/>
      <c r="AJ407" s="524"/>
      <c r="AK407" s="524"/>
      <c r="AL407" s="524"/>
      <c r="AM407" s="524"/>
      <c r="AN407" s="524"/>
      <c r="AO407" s="524"/>
      <c r="AP407" s="524"/>
      <c r="AQ407" s="524"/>
      <c r="AR407" s="524"/>
      <c r="AS407" s="524"/>
    </row>
    <row r="408" spans="2:45">
      <c r="B408" s="524"/>
      <c r="C408" s="524"/>
      <c r="D408" s="524"/>
      <c r="E408" s="524"/>
      <c r="F408" s="524"/>
      <c r="G408" s="524"/>
      <c r="H408" s="524"/>
      <c r="I408" s="524"/>
      <c r="J408" s="524"/>
      <c r="K408" s="524"/>
      <c r="L408" s="524"/>
      <c r="M408" s="524"/>
      <c r="N408" s="524"/>
      <c r="O408" s="524"/>
      <c r="P408" s="524"/>
      <c r="Q408" s="524"/>
      <c r="R408" s="524"/>
      <c r="S408" s="524"/>
      <c r="T408" s="524"/>
      <c r="U408" s="524"/>
      <c r="V408" s="524"/>
      <c r="W408" s="524"/>
      <c r="X408" s="524"/>
      <c r="Y408" s="524"/>
      <c r="Z408" s="524"/>
      <c r="AA408" s="524"/>
      <c r="AB408" s="524"/>
      <c r="AC408" s="524"/>
      <c r="AD408" s="524"/>
      <c r="AE408" s="524"/>
      <c r="AF408" s="524"/>
      <c r="AG408" s="524"/>
      <c r="AH408" s="524"/>
      <c r="AI408" s="524"/>
      <c r="AJ408" s="524"/>
      <c r="AK408" s="524"/>
      <c r="AL408" s="524"/>
      <c r="AM408" s="524"/>
      <c r="AN408" s="524"/>
      <c r="AO408" s="524"/>
      <c r="AP408" s="524"/>
      <c r="AQ408" s="524"/>
      <c r="AR408" s="524"/>
      <c r="AS408" s="524"/>
    </row>
    <row r="409" spans="2:45">
      <c r="B409" s="524"/>
      <c r="C409" s="524"/>
      <c r="D409" s="524"/>
      <c r="E409" s="524"/>
      <c r="F409" s="524"/>
      <c r="G409" s="524"/>
      <c r="H409" s="524"/>
      <c r="I409" s="524"/>
      <c r="J409" s="524"/>
      <c r="K409" s="524"/>
      <c r="L409" s="524"/>
      <c r="M409" s="524"/>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c r="AP409" s="524"/>
      <c r="AQ409" s="524"/>
      <c r="AR409" s="524"/>
      <c r="AS409" s="524"/>
    </row>
    <row r="410" spans="2:45">
      <c r="B410" s="524"/>
      <c r="C410" s="524"/>
      <c r="D410" s="524"/>
      <c r="E410" s="524"/>
      <c r="F410" s="524"/>
      <c r="G410" s="524"/>
      <c r="H410" s="524"/>
      <c r="I410" s="524"/>
      <c r="J410" s="524"/>
      <c r="K410" s="524"/>
      <c r="L410" s="524"/>
      <c r="M410" s="524"/>
      <c r="N410" s="524"/>
      <c r="O410" s="524"/>
      <c r="P410" s="524"/>
      <c r="Q410" s="524"/>
      <c r="R410" s="524"/>
      <c r="S410" s="524"/>
      <c r="T410" s="524"/>
      <c r="U410" s="524"/>
      <c r="V410" s="524"/>
      <c r="W410" s="524"/>
      <c r="X410" s="524"/>
      <c r="Y410" s="524"/>
      <c r="Z410" s="524"/>
      <c r="AA410" s="524"/>
      <c r="AB410" s="524"/>
      <c r="AC410" s="524"/>
      <c r="AD410" s="524"/>
      <c r="AE410" s="524"/>
      <c r="AF410" s="524"/>
      <c r="AG410" s="524"/>
      <c r="AH410" s="524"/>
      <c r="AI410" s="524"/>
      <c r="AJ410" s="524"/>
      <c r="AK410" s="524"/>
      <c r="AL410" s="524"/>
      <c r="AM410" s="524"/>
      <c r="AN410" s="524"/>
      <c r="AO410" s="524"/>
      <c r="AP410" s="524"/>
      <c r="AQ410" s="524"/>
      <c r="AR410" s="524"/>
      <c r="AS410" s="524"/>
    </row>
    <row r="411" spans="2:45">
      <c r="B411" s="524"/>
      <c r="C411" s="524"/>
      <c r="D411" s="524"/>
      <c r="E411" s="524"/>
      <c r="F411" s="524"/>
      <c r="G411" s="524"/>
      <c r="H411" s="524"/>
      <c r="I411" s="524"/>
      <c r="J411" s="524"/>
      <c r="K411" s="524"/>
      <c r="L411" s="524"/>
      <c r="M411" s="524"/>
      <c r="N411" s="524"/>
      <c r="O411" s="524"/>
      <c r="P411" s="524"/>
      <c r="Q411" s="524"/>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c r="AP411" s="524"/>
      <c r="AQ411" s="524"/>
      <c r="AR411" s="524"/>
      <c r="AS411" s="524"/>
    </row>
    <row r="412" spans="2:45">
      <c r="B412" s="524"/>
      <c r="C412" s="524"/>
      <c r="D412" s="524"/>
      <c r="E412" s="524"/>
      <c r="F412" s="524"/>
      <c r="G412" s="524"/>
      <c r="H412" s="524"/>
      <c r="I412" s="524"/>
      <c r="J412" s="524"/>
      <c r="K412" s="524"/>
      <c r="L412" s="524"/>
      <c r="M412" s="524"/>
      <c r="N412" s="524"/>
      <c r="O412" s="524"/>
      <c r="P412" s="524"/>
      <c r="Q412" s="524"/>
      <c r="R412" s="524"/>
      <c r="S412" s="524"/>
      <c r="T412" s="524"/>
      <c r="U412" s="524"/>
      <c r="V412" s="524"/>
      <c r="W412" s="524"/>
      <c r="X412" s="524"/>
      <c r="Y412" s="524"/>
      <c r="Z412" s="524"/>
      <c r="AA412" s="524"/>
      <c r="AB412" s="524"/>
      <c r="AC412" s="524"/>
      <c r="AD412" s="524"/>
      <c r="AE412" s="524"/>
      <c r="AF412" s="524"/>
      <c r="AG412" s="524"/>
      <c r="AH412" s="524"/>
      <c r="AI412" s="524"/>
      <c r="AJ412" s="524"/>
      <c r="AK412" s="524"/>
      <c r="AL412" s="524"/>
      <c r="AM412" s="524"/>
      <c r="AN412" s="524"/>
      <c r="AO412" s="524"/>
      <c r="AP412" s="524"/>
      <c r="AQ412" s="524"/>
      <c r="AR412" s="524"/>
      <c r="AS412" s="524"/>
    </row>
    <row r="413" spans="2:45">
      <c r="B413" s="524"/>
      <c r="C413" s="524"/>
      <c r="D413" s="524"/>
      <c r="E413" s="524"/>
      <c r="F413" s="524"/>
      <c r="G413" s="524"/>
      <c r="H413" s="524"/>
      <c r="I413" s="524"/>
      <c r="J413" s="524"/>
      <c r="K413" s="524"/>
      <c r="L413" s="524"/>
      <c r="M413" s="524"/>
      <c r="N413" s="524"/>
      <c r="O413" s="524"/>
      <c r="P413" s="524"/>
      <c r="Q413" s="524"/>
      <c r="R413" s="524"/>
      <c r="S413" s="524"/>
      <c r="T413" s="524"/>
      <c r="U413" s="524"/>
      <c r="V413" s="524"/>
      <c r="W413" s="524"/>
      <c r="X413" s="524"/>
      <c r="Y413" s="524"/>
      <c r="Z413" s="524"/>
      <c r="AA413" s="524"/>
      <c r="AB413" s="524"/>
      <c r="AC413" s="524"/>
      <c r="AD413" s="524"/>
      <c r="AE413" s="524"/>
      <c r="AF413" s="524"/>
      <c r="AG413" s="524"/>
      <c r="AH413" s="524"/>
      <c r="AI413" s="524"/>
      <c r="AJ413" s="524"/>
      <c r="AK413" s="524"/>
      <c r="AL413" s="524"/>
      <c r="AM413" s="524"/>
      <c r="AN413" s="524"/>
      <c r="AO413" s="524"/>
      <c r="AP413" s="524"/>
      <c r="AQ413" s="524"/>
      <c r="AR413" s="524"/>
      <c r="AS413" s="524"/>
    </row>
    <row r="414" spans="2:45">
      <c r="B414" s="524"/>
      <c r="C414" s="524"/>
      <c r="D414" s="524"/>
      <c r="E414" s="524"/>
      <c r="F414" s="524"/>
      <c r="G414" s="524"/>
      <c r="H414" s="524"/>
      <c r="I414" s="524"/>
      <c r="J414" s="524"/>
      <c r="K414" s="524"/>
      <c r="L414" s="524"/>
      <c r="M414" s="524"/>
      <c r="N414" s="524"/>
      <c r="O414" s="524"/>
      <c r="P414" s="524"/>
      <c r="Q414" s="524"/>
      <c r="R414" s="524"/>
      <c r="S414" s="524"/>
      <c r="T414" s="524"/>
      <c r="U414" s="524"/>
      <c r="V414" s="524"/>
      <c r="W414" s="524"/>
      <c r="X414" s="524"/>
      <c r="Y414" s="524"/>
      <c r="Z414" s="524"/>
      <c r="AA414" s="524"/>
      <c r="AB414" s="524"/>
      <c r="AC414" s="524"/>
      <c r="AD414" s="524"/>
      <c r="AE414" s="524"/>
      <c r="AF414" s="524"/>
      <c r="AG414" s="524"/>
      <c r="AH414" s="524"/>
      <c r="AI414" s="524"/>
      <c r="AJ414" s="524"/>
      <c r="AK414" s="524"/>
      <c r="AL414" s="524"/>
      <c r="AM414" s="524"/>
      <c r="AN414" s="524"/>
      <c r="AO414" s="524"/>
      <c r="AP414" s="524"/>
      <c r="AQ414" s="524"/>
      <c r="AR414" s="524"/>
      <c r="AS414" s="524"/>
    </row>
    <row r="415" spans="2:45">
      <c r="B415" s="524"/>
      <c r="C415" s="524"/>
      <c r="D415" s="524"/>
      <c r="E415" s="524"/>
      <c r="F415" s="524"/>
      <c r="G415" s="524"/>
      <c r="H415" s="524"/>
      <c r="I415" s="524"/>
      <c r="J415" s="524"/>
      <c r="K415" s="524"/>
      <c r="L415" s="524"/>
      <c r="M415" s="524"/>
      <c r="N415" s="524"/>
      <c r="O415" s="524"/>
      <c r="P415" s="524"/>
      <c r="Q415" s="524"/>
      <c r="R415" s="524"/>
      <c r="S415" s="524"/>
      <c r="T415" s="524"/>
      <c r="U415" s="524"/>
      <c r="V415" s="524"/>
      <c r="W415" s="524"/>
      <c r="X415" s="524"/>
      <c r="Y415" s="524"/>
      <c r="Z415" s="524"/>
      <c r="AA415" s="524"/>
      <c r="AB415" s="524"/>
      <c r="AC415" s="524"/>
      <c r="AD415" s="524"/>
      <c r="AE415" s="524"/>
      <c r="AF415" s="524"/>
      <c r="AG415" s="524"/>
      <c r="AH415" s="524"/>
      <c r="AI415" s="524"/>
      <c r="AJ415" s="524"/>
      <c r="AK415" s="524"/>
      <c r="AL415" s="524"/>
      <c r="AM415" s="524"/>
      <c r="AN415" s="524"/>
      <c r="AO415" s="524"/>
      <c r="AP415" s="524"/>
      <c r="AQ415" s="524"/>
      <c r="AR415" s="524"/>
      <c r="AS415" s="524"/>
    </row>
    <row r="416" spans="2:45">
      <c r="B416" s="524"/>
      <c r="C416" s="524"/>
      <c r="D416" s="524"/>
      <c r="E416" s="524"/>
      <c r="F416" s="524"/>
      <c r="G416" s="524"/>
      <c r="H416" s="524"/>
      <c r="I416" s="524"/>
      <c r="J416" s="524"/>
      <c r="K416" s="524"/>
      <c r="L416" s="524"/>
      <c r="M416" s="524"/>
      <c r="N416" s="524"/>
      <c r="O416" s="524"/>
      <c r="P416" s="524"/>
      <c r="Q416" s="524"/>
      <c r="R416" s="524"/>
      <c r="S416" s="524"/>
      <c r="T416" s="524"/>
      <c r="U416" s="524"/>
      <c r="V416" s="524"/>
      <c r="W416" s="524"/>
      <c r="X416" s="524"/>
      <c r="Y416" s="524"/>
      <c r="Z416" s="524"/>
      <c r="AA416" s="524"/>
      <c r="AB416" s="524"/>
      <c r="AC416" s="524"/>
      <c r="AD416" s="524"/>
      <c r="AE416" s="524"/>
      <c r="AF416" s="524"/>
      <c r="AG416" s="524"/>
      <c r="AH416" s="524"/>
      <c r="AI416" s="524"/>
      <c r="AJ416" s="524"/>
      <c r="AK416" s="524"/>
      <c r="AL416" s="524"/>
      <c r="AM416" s="524"/>
      <c r="AN416" s="524"/>
      <c r="AO416" s="524"/>
      <c r="AP416" s="524"/>
      <c r="AQ416" s="524"/>
      <c r="AR416" s="524"/>
      <c r="AS416" s="524"/>
    </row>
  </sheetData>
  <mergeCells count="14">
    <mergeCell ref="A1:AP1"/>
    <mergeCell ref="A2:AP2"/>
    <mergeCell ref="A3:AP3"/>
    <mergeCell ref="B7:E7"/>
    <mergeCell ref="F7:I7"/>
    <mergeCell ref="J7:M7"/>
    <mergeCell ref="N7:Q7"/>
    <mergeCell ref="AM7:AP7"/>
    <mergeCell ref="AC7:AF7"/>
    <mergeCell ref="R7:U7"/>
    <mergeCell ref="V7:Y7"/>
    <mergeCell ref="AG7:AI7"/>
    <mergeCell ref="AJ7:AL7"/>
    <mergeCell ref="Z7:AB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ignoredErrors>
    <ignoredError sqref="AM32"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0"/>
  <sheetViews>
    <sheetView topLeftCell="A7" zoomScaleNormal="100" workbookViewId="0">
      <pane xSplit="1" ySplit="2" topLeftCell="AA30" activePane="bottomRight" state="frozen"/>
      <selection activeCell="A7" sqref="A7"/>
      <selection pane="topRight" activeCell="B7" sqref="B7"/>
      <selection pane="bottomLeft" activeCell="A9" sqref="A9"/>
      <selection pane="bottomRight" activeCell="AN38" sqref="AN38:AP38"/>
    </sheetView>
  </sheetViews>
  <sheetFormatPr baseColWidth="10" defaultColWidth="26.77734375" defaultRowHeight="11.4"/>
  <cols>
    <col min="1" max="1" width="26.77734375" style="204" customWidth="1"/>
    <col min="2" max="24" width="7.21875" style="204" customWidth="1"/>
    <col min="25" max="27" width="10.77734375" style="204" customWidth="1"/>
    <col min="28" max="28" width="12.5546875" style="204" customWidth="1"/>
    <col min="29" max="37" width="7.21875" style="204" customWidth="1"/>
    <col min="38" max="38" width="9" style="204" customWidth="1"/>
    <col min="39" max="87" width="7.21875" style="204" customWidth="1"/>
    <col min="88" max="16384" width="26.77734375" style="204"/>
  </cols>
  <sheetData>
    <row r="1" spans="1:42" ht="12">
      <c r="A1" s="1616" t="s">
        <v>1434</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row>
    <row r="2" spans="1:42" ht="12">
      <c r="A2" s="1616" t="s">
        <v>1005</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row>
    <row r="3" spans="1:42"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row>
    <row r="6" spans="1:42" ht="12">
      <c r="A6" s="379" t="s">
        <v>964</v>
      </c>
    </row>
    <row r="7" spans="1:42" s="8" customFormat="1" ht="18" customHeight="1">
      <c r="A7" s="332" t="s">
        <v>965</v>
      </c>
      <c r="B7" s="1641" t="s">
        <v>966</v>
      </c>
      <c r="C7" s="1630"/>
      <c r="D7" s="1630"/>
      <c r="E7" s="1630"/>
      <c r="F7" s="1641" t="s">
        <v>885</v>
      </c>
      <c r="G7" s="1630"/>
      <c r="H7" s="1630"/>
      <c r="I7" s="1642"/>
      <c r="J7" s="1630" t="s">
        <v>967</v>
      </c>
      <c r="K7" s="1630"/>
      <c r="L7" s="1630"/>
      <c r="M7" s="1630"/>
      <c r="N7" s="1641" t="s">
        <v>933</v>
      </c>
      <c r="O7" s="1630"/>
      <c r="P7" s="1630"/>
      <c r="Q7" s="1642"/>
      <c r="R7" s="1641" t="s">
        <v>1194</v>
      </c>
      <c r="S7" s="1630"/>
      <c r="T7" s="1630"/>
      <c r="U7" s="1642"/>
      <c r="V7" s="1641" t="s">
        <v>1460</v>
      </c>
      <c r="W7" s="1630"/>
      <c r="X7" s="1630"/>
      <c r="Y7" s="1630"/>
      <c r="Z7" s="1641" t="s">
        <v>1573</v>
      </c>
      <c r="AA7" s="1630"/>
      <c r="AB7" s="1642"/>
      <c r="AC7" s="1630" t="s">
        <v>1459</v>
      </c>
      <c r="AD7" s="1612"/>
      <c r="AE7" s="1612"/>
      <c r="AF7" s="1613"/>
      <c r="AG7" s="1597" t="s">
        <v>1575</v>
      </c>
      <c r="AH7" s="1612"/>
      <c r="AI7" s="1612"/>
      <c r="AJ7" s="1522"/>
      <c r="AK7" s="1630" t="s">
        <v>1576</v>
      </c>
      <c r="AL7" s="1642"/>
      <c r="AM7" s="1630" t="s">
        <v>637</v>
      </c>
      <c r="AN7" s="1630"/>
      <c r="AO7" s="1630"/>
      <c r="AP7" s="1642"/>
    </row>
    <row r="8" spans="1:42" s="8" customFormat="1" ht="18" customHeight="1">
      <c r="A8" s="14"/>
      <c r="B8" s="295">
        <f>+'50'!B8</f>
        <v>2017</v>
      </c>
      <c r="C8" s="295">
        <f>+'50'!C8</f>
        <v>2018</v>
      </c>
      <c r="D8" s="295">
        <f>+'50'!D8</f>
        <v>2019</v>
      </c>
      <c r="E8" s="295">
        <f>+'50'!E8</f>
        <v>2020</v>
      </c>
      <c r="F8" s="516">
        <f>+'50'!F8</f>
        <v>2017</v>
      </c>
      <c r="G8" s="513">
        <f>+'50'!G8</f>
        <v>2018</v>
      </c>
      <c r="H8" s="513">
        <f>+'50'!H8</f>
        <v>2019</v>
      </c>
      <c r="I8" s="514">
        <f>+'50'!I8</f>
        <v>2020</v>
      </c>
      <c r="J8" s="295">
        <f>+'50'!J8</f>
        <v>2017</v>
      </c>
      <c r="K8" s="295">
        <f>+'50'!K8</f>
        <v>2018</v>
      </c>
      <c r="L8" s="295">
        <f>+'50'!L8</f>
        <v>2019</v>
      </c>
      <c r="M8" s="295">
        <f>+'50'!M8</f>
        <v>2020</v>
      </c>
      <c r="N8" s="516">
        <f>+'50'!N8</f>
        <v>2017</v>
      </c>
      <c r="O8" s="513">
        <f>+'50'!O8</f>
        <v>2018</v>
      </c>
      <c r="P8" s="513">
        <f>+'50'!P8</f>
        <v>2019</v>
      </c>
      <c r="Q8" s="513">
        <f>+'50'!Q8</f>
        <v>2020</v>
      </c>
      <c r="R8" s="342">
        <f>+N8</f>
        <v>2017</v>
      </c>
      <c r="S8" s="343">
        <f>+O8</f>
        <v>2018</v>
      </c>
      <c r="T8" s="343">
        <f>+P8</f>
        <v>2019</v>
      </c>
      <c r="U8" s="343">
        <f>+Q8</f>
        <v>2020</v>
      </c>
      <c r="V8" s="1438">
        <v>2017</v>
      </c>
      <c r="W8" s="1536">
        <v>2018</v>
      </c>
      <c r="X8" s="1479">
        <f>+T8</f>
        <v>2019</v>
      </c>
      <c r="Y8" s="1479">
        <f>+U8</f>
        <v>2020</v>
      </c>
      <c r="Z8" s="347">
        <v>2018</v>
      </c>
      <c r="AA8" s="343">
        <v>2019</v>
      </c>
      <c r="AB8" s="349">
        <v>2020</v>
      </c>
      <c r="AC8" s="1440">
        <f>+'50'!AC8</f>
        <v>2017</v>
      </c>
      <c r="AD8" s="505">
        <f>+'50'!AD8</f>
        <v>2018</v>
      </c>
      <c r="AE8" s="505">
        <f>+'50'!AE8</f>
        <v>2019</v>
      </c>
      <c r="AF8" s="510">
        <f>+'50'!AF8</f>
        <v>2020</v>
      </c>
      <c r="AG8" s="1465">
        <f>+AC8</f>
        <v>2017</v>
      </c>
      <c r="AH8" s="1466">
        <f>+AD8</f>
        <v>2018</v>
      </c>
      <c r="AI8" s="1466">
        <f>+AE8</f>
        <v>2019</v>
      </c>
      <c r="AJ8" s="342">
        <v>2018</v>
      </c>
      <c r="AK8" s="1525">
        <v>2019</v>
      </c>
      <c r="AL8" s="1526">
        <f>+Q8</f>
        <v>2020</v>
      </c>
      <c r="AM8" s="505">
        <f>+'50'!AM8</f>
        <v>2017</v>
      </c>
      <c r="AN8" s="505">
        <f>+'50'!AN8</f>
        <v>2018</v>
      </c>
      <c r="AO8" s="505">
        <f>+'50'!AO8</f>
        <v>2019</v>
      </c>
      <c r="AP8" s="510">
        <f>+'50'!AP8</f>
        <v>2020</v>
      </c>
    </row>
    <row r="9" spans="1:42" s="8" customFormat="1" ht="18" customHeight="1">
      <c r="A9" s="332" t="s">
        <v>968</v>
      </c>
      <c r="B9" s="533"/>
      <c r="C9" s="533"/>
      <c r="D9" s="535">
        <v>2</v>
      </c>
      <c r="E9" s="13"/>
      <c r="F9" s="532"/>
      <c r="G9" s="533"/>
      <c r="H9" s="533"/>
      <c r="I9" s="531"/>
      <c r="J9" s="532"/>
      <c r="K9" s="533"/>
      <c r="L9" s="533"/>
      <c r="M9" s="13"/>
      <c r="N9" s="533"/>
      <c r="O9" s="533"/>
      <c r="P9" s="533"/>
      <c r="Q9" s="533"/>
      <c r="R9" s="532"/>
      <c r="S9" s="469"/>
      <c r="T9" s="469"/>
      <c r="U9" s="469"/>
      <c r="V9" s="352"/>
      <c r="W9" s="353"/>
      <c r="X9" s="353"/>
      <c r="Y9" s="353"/>
      <c r="Z9" s="352"/>
      <c r="AA9" s="353"/>
      <c r="AB9" s="466"/>
      <c r="AC9" s="535"/>
      <c r="AD9" s="535"/>
      <c r="AE9" s="535"/>
      <c r="AF9" s="105"/>
      <c r="AG9" s="535"/>
      <c r="AH9" s="535"/>
      <c r="AI9" s="535"/>
      <c r="AJ9" s="534"/>
      <c r="AK9" s="533"/>
      <c r="AL9" s="13"/>
      <c r="AM9" s="522">
        <f t="shared" ref="AM9:AM22" si="0">+N9+J9+F9+B9+AC9+AG9</f>
        <v>0</v>
      </c>
      <c r="AN9" s="522">
        <f t="shared" ref="AN9:AN22" si="1">+O9+K9+G9+C9+AD9+AH9</f>
        <v>0</v>
      </c>
      <c r="AO9" s="522">
        <f t="shared" ref="AO9:AO22" si="2">+P9+L9+H9+D9+AE9+AI9</f>
        <v>2</v>
      </c>
      <c r="AP9" s="507">
        <f t="shared" ref="AP9:AP22" si="3">+Q9+M9+I9+E9+AF9+AL9</f>
        <v>0</v>
      </c>
    </row>
    <row r="10" spans="1:42" s="8" customFormat="1" ht="18" customHeight="1">
      <c r="A10" s="92" t="s">
        <v>969</v>
      </c>
      <c r="B10" s="522">
        <v>7354</v>
      </c>
      <c r="C10" s="522">
        <v>7210</v>
      </c>
      <c r="D10" s="522">
        <v>7357</v>
      </c>
      <c r="E10" s="507">
        <v>4548</v>
      </c>
      <c r="F10" s="522">
        <v>4149</v>
      </c>
      <c r="G10" s="522">
        <v>3652</v>
      </c>
      <c r="H10" s="522">
        <v>4563</v>
      </c>
      <c r="I10" s="507">
        <v>2418</v>
      </c>
      <c r="J10" s="523"/>
      <c r="K10" s="522"/>
      <c r="L10" s="522"/>
      <c r="M10" s="507"/>
      <c r="N10" s="522"/>
      <c r="O10" s="522"/>
      <c r="P10" s="522"/>
      <c r="Q10" s="522"/>
      <c r="R10" s="523"/>
      <c r="S10" s="353"/>
      <c r="T10" s="353"/>
      <c r="U10" s="353"/>
      <c r="V10" s="352"/>
      <c r="W10" s="353"/>
      <c r="X10" s="353"/>
      <c r="Y10" s="353"/>
      <c r="Z10" s="352"/>
      <c r="AA10" s="353"/>
      <c r="AB10" s="466"/>
      <c r="AC10" s="522"/>
      <c r="AD10" s="522"/>
      <c r="AE10" s="522"/>
      <c r="AF10" s="507"/>
      <c r="AG10" s="522"/>
      <c r="AH10" s="522"/>
      <c r="AI10" s="522"/>
      <c r="AJ10" s="523"/>
      <c r="AK10" s="522"/>
      <c r="AL10" s="507"/>
      <c r="AM10" s="522">
        <f t="shared" si="0"/>
        <v>11503</v>
      </c>
      <c r="AN10" s="522">
        <f t="shared" si="1"/>
        <v>10862</v>
      </c>
      <c r="AO10" s="522">
        <f t="shared" si="2"/>
        <v>11920</v>
      </c>
      <c r="AP10" s="507">
        <f t="shared" si="3"/>
        <v>6966</v>
      </c>
    </row>
    <row r="11" spans="1:42" s="8" customFormat="1" ht="18" customHeight="1">
      <c r="A11" s="92" t="s">
        <v>970</v>
      </c>
      <c r="B11" s="522"/>
      <c r="C11" s="522"/>
      <c r="D11" s="522"/>
      <c r="E11" s="507"/>
      <c r="F11" s="522"/>
      <c r="G11" s="522"/>
      <c r="H11" s="522"/>
      <c r="I11" s="507"/>
      <c r="J11" s="523"/>
      <c r="K11" s="522"/>
      <c r="L11" s="522"/>
      <c r="M11" s="507"/>
      <c r="N11" s="522"/>
      <c r="O11" s="522"/>
      <c r="P11" s="522"/>
      <c r="Q11" s="522"/>
      <c r="R11" s="523"/>
      <c r="S11" s="353"/>
      <c r="T11" s="353"/>
      <c r="U11" s="353"/>
      <c r="V11" s="352"/>
      <c r="W11" s="353"/>
      <c r="X11" s="353"/>
      <c r="Y11" s="353"/>
      <c r="Z11" s="352"/>
      <c r="AA11" s="353"/>
      <c r="AB11" s="466"/>
      <c r="AC11" s="522"/>
      <c r="AD11" s="522"/>
      <c r="AE11" s="522"/>
      <c r="AF11" s="507"/>
      <c r="AG11" s="522"/>
      <c r="AH11" s="522"/>
      <c r="AI11" s="522"/>
      <c r="AJ11" s="523"/>
      <c r="AK11" s="522"/>
      <c r="AL11" s="507"/>
      <c r="AM11" s="522">
        <f t="shared" si="0"/>
        <v>0</v>
      </c>
      <c r="AN11" s="522">
        <f t="shared" si="1"/>
        <v>0</v>
      </c>
      <c r="AO11" s="522">
        <f t="shared" si="2"/>
        <v>0</v>
      </c>
      <c r="AP11" s="507">
        <f t="shared" si="3"/>
        <v>0</v>
      </c>
    </row>
    <row r="12" spans="1:42" s="8" customFormat="1" ht="18" customHeight="1">
      <c r="A12" s="92" t="s">
        <v>971</v>
      </c>
      <c r="B12" s="522"/>
      <c r="C12" s="522"/>
      <c r="D12" s="522"/>
      <c r="E12" s="507"/>
      <c r="F12" s="522">
        <v>228</v>
      </c>
      <c r="G12" s="522">
        <v>288</v>
      </c>
      <c r="H12" s="522">
        <v>356</v>
      </c>
      <c r="I12" s="507">
        <v>323</v>
      </c>
      <c r="J12" s="523"/>
      <c r="K12" s="522"/>
      <c r="L12" s="522"/>
      <c r="M12" s="507"/>
      <c r="N12" s="522"/>
      <c r="O12" s="522"/>
      <c r="P12" s="522"/>
      <c r="Q12" s="522"/>
      <c r="R12" s="523"/>
      <c r="S12" s="353"/>
      <c r="T12" s="353"/>
      <c r="U12" s="353"/>
      <c r="V12" s="352"/>
      <c r="W12" s="353"/>
      <c r="X12" s="353"/>
      <c r="Y12" s="353"/>
      <c r="Z12" s="352"/>
      <c r="AA12" s="353"/>
      <c r="AB12" s="466"/>
      <c r="AC12" s="522"/>
      <c r="AD12" s="522"/>
      <c r="AE12" s="522"/>
      <c r="AF12" s="507"/>
      <c r="AG12" s="522"/>
      <c r="AH12" s="522"/>
      <c r="AI12" s="522"/>
      <c r="AJ12" s="523"/>
      <c r="AK12" s="522"/>
      <c r="AL12" s="507"/>
      <c r="AM12" s="522">
        <f t="shared" si="0"/>
        <v>228</v>
      </c>
      <c r="AN12" s="522">
        <f t="shared" si="1"/>
        <v>288</v>
      </c>
      <c r="AO12" s="522">
        <f t="shared" si="2"/>
        <v>356</v>
      </c>
      <c r="AP12" s="507">
        <f t="shared" si="3"/>
        <v>323</v>
      </c>
    </row>
    <row r="13" spans="1:42" s="8" customFormat="1" ht="18" customHeight="1">
      <c r="A13" s="92" t="s">
        <v>1004</v>
      </c>
      <c r="B13" s="522">
        <v>918</v>
      </c>
      <c r="C13" s="522">
        <v>828</v>
      </c>
      <c r="D13" s="522">
        <v>765</v>
      </c>
      <c r="E13" s="507">
        <v>326</v>
      </c>
      <c r="F13" s="522">
        <v>675</v>
      </c>
      <c r="G13" s="522">
        <v>802</v>
      </c>
      <c r="H13" s="522">
        <v>719</v>
      </c>
      <c r="I13" s="507">
        <v>420</v>
      </c>
      <c r="J13" s="523"/>
      <c r="K13" s="522"/>
      <c r="L13" s="522"/>
      <c r="M13" s="507"/>
      <c r="N13" s="522"/>
      <c r="O13" s="522"/>
      <c r="P13" s="522"/>
      <c r="Q13" s="522"/>
      <c r="R13" s="523"/>
      <c r="S13" s="353"/>
      <c r="T13" s="353"/>
      <c r="U13" s="353"/>
      <c r="V13" s="352"/>
      <c r="W13" s="353"/>
      <c r="X13" s="353"/>
      <c r="Y13" s="353"/>
      <c r="Z13" s="352"/>
      <c r="AA13" s="353"/>
      <c r="AB13" s="466"/>
      <c r="AC13" s="522"/>
      <c r="AD13" s="522"/>
      <c r="AE13" s="522"/>
      <c r="AF13" s="507"/>
      <c r="AG13" s="522"/>
      <c r="AH13" s="522"/>
      <c r="AI13" s="522"/>
      <c r="AJ13" s="523"/>
      <c r="AK13" s="522"/>
      <c r="AL13" s="507"/>
      <c r="AM13" s="522">
        <f t="shared" si="0"/>
        <v>1593</v>
      </c>
      <c r="AN13" s="522">
        <f t="shared" si="1"/>
        <v>1630</v>
      </c>
      <c r="AO13" s="522">
        <f t="shared" si="2"/>
        <v>1484</v>
      </c>
      <c r="AP13" s="507">
        <f t="shared" si="3"/>
        <v>746</v>
      </c>
    </row>
    <row r="14" spans="1:42" s="8" customFormat="1" ht="18" customHeight="1">
      <c r="A14" s="506" t="s">
        <v>973</v>
      </c>
      <c r="B14" s="522"/>
      <c r="C14" s="522"/>
      <c r="D14" s="522"/>
      <c r="E14" s="507"/>
      <c r="F14" s="522">
        <v>748</v>
      </c>
      <c r="G14" s="522">
        <v>775</v>
      </c>
      <c r="H14" s="522">
        <v>1556</v>
      </c>
      <c r="I14" s="507">
        <v>1080</v>
      </c>
      <c r="J14" s="523"/>
      <c r="K14" s="522"/>
      <c r="L14" s="522"/>
      <c r="M14" s="507"/>
      <c r="N14" s="522"/>
      <c r="O14" s="522"/>
      <c r="P14" s="522"/>
      <c r="Q14" s="522"/>
      <c r="R14" s="523"/>
      <c r="S14" s="353"/>
      <c r="T14" s="353"/>
      <c r="U14" s="353"/>
      <c r="V14" s="352"/>
      <c r="W14" s="353"/>
      <c r="X14" s="353"/>
      <c r="Y14" s="353"/>
      <c r="Z14" s="352"/>
      <c r="AA14" s="353"/>
      <c r="AB14" s="466"/>
      <c r="AC14" s="522"/>
      <c r="AD14" s="522"/>
      <c r="AE14" s="522"/>
      <c r="AF14" s="507"/>
      <c r="AG14" s="522"/>
      <c r="AH14" s="522"/>
      <c r="AI14" s="522"/>
      <c r="AJ14" s="523"/>
      <c r="AK14" s="522"/>
      <c r="AL14" s="507"/>
      <c r="AM14" s="522">
        <f t="shared" si="0"/>
        <v>748</v>
      </c>
      <c r="AN14" s="522">
        <f t="shared" si="1"/>
        <v>775</v>
      </c>
      <c r="AO14" s="522">
        <f t="shared" si="2"/>
        <v>1556</v>
      </c>
      <c r="AP14" s="507">
        <f t="shared" si="3"/>
        <v>1080</v>
      </c>
    </row>
    <row r="15" spans="1:42" s="8" customFormat="1" ht="18" customHeight="1">
      <c r="A15" s="506" t="s">
        <v>974</v>
      </c>
      <c r="B15" s="522">
        <v>470</v>
      </c>
      <c r="C15" s="522">
        <v>462</v>
      </c>
      <c r="D15" s="522">
        <v>438</v>
      </c>
      <c r="E15" s="507">
        <v>52</v>
      </c>
      <c r="F15" s="522">
        <v>507</v>
      </c>
      <c r="G15" s="522">
        <v>341</v>
      </c>
      <c r="H15" s="522">
        <v>333</v>
      </c>
      <c r="I15" s="507">
        <v>131</v>
      </c>
      <c r="J15" s="523"/>
      <c r="K15" s="522"/>
      <c r="L15" s="522"/>
      <c r="M15" s="507"/>
      <c r="N15" s="522"/>
      <c r="O15" s="522"/>
      <c r="P15" s="522"/>
      <c r="Q15" s="522"/>
      <c r="R15" s="523"/>
      <c r="S15" s="353"/>
      <c r="T15" s="353"/>
      <c r="U15" s="353"/>
      <c r="V15" s="352"/>
      <c r="W15" s="353"/>
      <c r="X15" s="353"/>
      <c r="Y15" s="353"/>
      <c r="Z15" s="352"/>
      <c r="AA15" s="353"/>
      <c r="AB15" s="466"/>
      <c r="AC15" s="522"/>
      <c r="AD15" s="522"/>
      <c r="AE15" s="522"/>
      <c r="AF15" s="507"/>
      <c r="AG15" s="522"/>
      <c r="AH15" s="522"/>
      <c r="AI15" s="522"/>
      <c r="AJ15" s="523"/>
      <c r="AK15" s="522"/>
      <c r="AL15" s="507"/>
      <c r="AM15" s="522">
        <f t="shared" si="0"/>
        <v>977</v>
      </c>
      <c r="AN15" s="522">
        <f t="shared" si="1"/>
        <v>803</v>
      </c>
      <c r="AO15" s="522">
        <f t="shared" si="2"/>
        <v>771</v>
      </c>
      <c r="AP15" s="507">
        <f t="shared" si="3"/>
        <v>183</v>
      </c>
    </row>
    <row r="16" spans="1:42" s="8" customFormat="1" ht="18" customHeight="1">
      <c r="A16" s="506" t="s">
        <v>975</v>
      </c>
      <c r="B16" s="522">
        <v>247</v>
      </c>
      <c r="C16" s="522"/>
      <c r="D16" s="522"/>
      <c r="E16" s="507"/>
      <c r="F16" s="522"/>
      <c r="G16" s="522"/>
      <c r="H16" s="522"/>
      <c r="I16" s="507"/>
      <c r="J16" s="523"/>
      <c r="K16" s="522"/>
      <c r="L16" s="522"/>
      <c r="M16" s="507"/>
      <c r="N16" s="522"/>
      <c r="O16" s="522"/>
      <c r="P16" s="522"/>
      <c r="Q16" s="522"/>
      <c r="R16" s="523"/>
      <c r="S16" s="353"/>
      <c r="T16" s="353"/>
      <c r="U16" s="353"/>
      <c r="V16" s="352"/>
      <c r="W16" s="353"/>
      <c r="X16" s="353"/>
      <c r="Y16" s="353"/>
      <c r="Z16" s="352"/>
      <c r="AA16" s="353"/>
      <c r="AB16" s="466"/>
      <c r="AC16" s="522"/>
      <c r="AD16" s="522"/>
      <c r="AE16" s="522"/>
      <c r="AF16" s="507"/>
      <c r="AG16" s="522"/>
      <c r="AH16" s="522"/>
      <c r="AI16" s="522"/>
      <c r="AJ16" s="523"/>
      <c r="AK16" s="522"/>
      <c r="AL16" s="507"/>
      <c r="AM16" s="522">
        <f t="shared" si="0"/>
        <v>247</v>
      </c>
      <c r="AN16" s="522">
        <f t="shared" si="1"/>
        <v>0</v>
      </c>
      <c r="AO16" s="522">
        <f t="shared" si="2"/>
        <v>0</v>
      </c>
      <c r="AP16" s="507">
        <f t="shared" si="3"/>
        <v>0</v>
      </c>
    </row>
    <row r="17" spans="1:42" s="8" customFormat="1" ht="18" customHeight="1">
      <c r="A17" s="506" t="s">
        <v>976</v>
      </c>
      <c r="B17" s="522">
        <v>363</v>
      </c>
      <c r="C17" s="522">
        <v>375</v>
      </c>
      <c r="D17" s="522">
        <v>376</v>
      </c>
      <c r="E17" s="507">
        <v>285</v>
      </c>
      <c r="F17" s="522"/>
      <c r="G17" s="522"/>
      <c r="H17" s="522"/>
      <c r="I17" s="507"/>
      <c r="J17" s="523"/>
      <c r="K17" s="522"/>
      <c r="L17" s="522"/>
      <c r="M17" s="507"/>
      <c r="N17" s="522"/>
      <c r="O17" s="522"/>
      <c r="P17" s="522"/>
      <c r="Q17" s="522"/>
      <c r="R17" s="523"/>
      <c r="S17" s="353"/>
      <c r="T17" s="353"/>
      <c r="U17" s="353"/>
      <c r="V17" s="352"/>
      <c r="W17" s="353"/>
      <c r="X17" s="353"/>
      <c r="Y17" s="353"/>
      <c r="Z17" s="352"/>
      <c r="AA17" s="353"/>
      <c r="AB17" s="466"/>
      <c r="AC17" s="522"/>
      <c r="AD17" s="522"/>
      <c r="AE17" s="522"/>
      <c r="AF17" s="507"/>
      <c r="AG17" s="522"/>
      <c r="AH17" s="522"/>
      <c r="AI17" s="522"/>
      <c r="AJ17" s="523"/>
      <c r="AK17" s="522"/>
      <c r="AL17" s="507"/>
      <c r="AM17" s="522">
        <f t="shared" si="0"/>
        <v>363</v>
      </c>
      <c r="AN17" s="522">
        <f t="shared" si="1"/>
        <v>375</v>
      </c>
      <c r="AO17" s="522">
        <f t="shared" si="2"/>
        <v>376</v>
      </c>
      <c r="AP17" s="507">
        <f t="shared" si="3"/>
        <v>285</v>
      </c>
    </row>
    <row r="18" spans="1:42" s="8" customFormat="1" ht="18" customHeight="1">
      <c r="A18" s="506" t="s">
        <v>977</v>
      </c>
      <c r="B18" s="522"/>
      <c r="C18" s="522"/>
      <c r="D18" s="522"/>
      <c r="E18" s="507"/>
      <c r="F18" s="522">
        <v>1638</v>
      </c>
      <c r="G18" s="522">
        <v>1752</v>
      </c>
      <c r="H18" s="522">
        <v>1897</v>
      </c>
      <c r="I18" s="507">
        <v>1030</v>
      </c>
      <c r="J18" s="523"/>
      <c r="K18" s="522"/>
      <c r="L18" s="522"/>
      <c r="M18" s="507"/>
      <c r="N18" s="522"/>
      <c r="O18" s="522"/>
      <c r="P18" s="522"/>
      <c r="Q18" s="522"/>
      <c r="R18" s="523"/>
      <c r="S18" s="353"/>
      <c r="T18" s="353"/>
      <c r="U18" s="353"/>
      <c r="V18" s="352"/>
      <c r="W18" s="353"/>
      <c r="X18" s="353"/>
      <c r="Y18" s="353"/>
      <c r="Z18" s="352"/>
      <c r="AA18" s="353"/>
      <c r="AB18" s="466"/>
      <c r="AC18" s="522"/>
      <c r="AD18" s="522"/>
      <c r="AE18" s="522"/>
      <c r="AF18" s="507"/>
      <c r="AG18" s="522"/>
      <c r="AH18" s="522"/>
      <c r="AI18" s="522"/>
      <c r="AJ18" s="523"/>
      <c r="AK18" s="522"/>
      <c r="AL18" s="507"/>
      <c r="AM18" s="522">
        <f t="shared" si="0"/>
        <v>1638</v>
      </c>
      <c r="AN18" s="522">
        <f t="shared" si="1"/>
        <v>1752</v>
      </c>
      <c r="AO18" s="522">
        <f t="shared" si="2"/>
        <v>1897</v>
      </c>
      <c r="AP18" s="507">
        <f t="shared" si="3"/>
        <v>1030</v>
      </c>
    </row>
    <row r="19" spans="1:42" s="8" customFormat="1" ht="18" customHeight="1">
      <c r="A19" s="92" t="s">
        <v>978</v>
      </c>
      <c r="B19" s="522"/>
      <c r="C19" s="522"/>
      <c r="D19" s="522"/>
      <c r="E19" s="507"/>
      <c r="F19" s="522">
        <v>1234</v>
      </c>
      <c r="G19" s="522">
        <v>1189</v>
      </c>
      <c r="H19" s="522">
        <v>1532</v>
      </c>
      <c r="I19" s="507">
        <v>298</v>
      </c>
      <c r="J19" s="523"/>
      <c r="K19" s="522"/>
      <c r="L19" s="522"/>
      <c r="M19" s="507"/>
      <c r="N19" s="522"/>
      <c r="O19" s="522"/>
      <c r="P19" s="522"/>
      <c r="Q19" s="522"/>
      <c r="R19" s="523"/>
      <c r="S19" s="353"/>
      <c r="T19" s="353"/>
      <c r="U19" s="353"/>
      <c r="V19" s="352"/>
      <c r="W19" s="353"/>
      <c r="X19" s="353"/>
      <c r="Y19" s="353"/>
      <c r="Z19" s="352"/>
      <c r="AA19" s="353"/>
      <c r="AB19" s="466"/>
      <c r="AC19" s="522"/>
      <c r="AD19" s="522"/>
      <c r="AE19" s="522"/>
      <c r="AF19" s="507"/>
      <c r="AG19" s="522"/>
      <c r="AH19" s="522"/>
      <c r="AI19" s="522"/>
      <c r="AJ19" s="523"/>
      <c r="AK19" s="522"/>
      <c r="AL19" s="507"/>
      <c r="AM19" s="522">
        <f t="shared" si="0"/>
        <v>1234</v>
      </c>
      <c r="AN19" s="522">
        <f t="shared" si="1"/>
        <v>1189</v>
      </c>
      <c r="AO19" s="522">
        <f t="shared" si="2"/>
        <v>1532</v>
      </c>
      <c r="AP19" s="507">
        <f t="shared" si="3"/>
        <v>298</v>
      </c>
    </row>
    <row r="20" spans="1:42" s="8" customFormat="1" ht="18" customHeight="1">
      <c r="A20" s="92" t="s">
        <v>979</v>
      </c>
      <c r="B20" s="522"/>
      <c r="C20" s="522"/>
      <c r="D20" s="522"/>
      <c r="E20" s="507"/>
      <c r="F20" s="522">
        <v>520</v>
      </c>
      <c r="G20" s="522">
        <v>1289</v>
      </c>
      <c r="H20" s="522">
        <v>1430</v>
      </c>
      <c r="I20" s="507">
        <v>736</v>
      </c>
      <c r="J20" s="523"/>
      <c r="K20" s="522"/>
      <c r="L20" s="522"/>
      <c r="M20" s="507"/>
      <c r="N20" s="522"/>
      <c r="O20" s="522"/>
      <c r="P20" s="522"/>
      <c r="Q20" s="522"/>
      <c r="R20" s="523"/>
      <c r="S20" s="353"/>
      <c r="T20" s="353"/>
      <c r="U20" s="353"/>
      <c r="V20" s="352"/>
      <c r="W20" s="353"/>
      <c r="X20" s="353"/>
      <c r="Y20" s="353"/>
      <c r="Z20" s="352"/>
      <c r="AA20" s="353"/>
      <c r="AB20" s="466"/>
      <c r="AC20" s="522"/>
      <c r="AD20" s="522"/>
      <c r="AE20" s="522"/>
      <c r="AF20" s="507"/>
      <c r="AG20" s="522"/>
      <c r="AH20" s="522"/>
      <c r="AI20" s="522"/>
      <c r="AJ20" s="523"/>
      <c r="AK20" s="522"/>
      <c r="AL20" s="507"/>
      <c r="AM20" s="522">
        <f t="shared" si="0"/>
        <v>520</v>
      </c>
      <c r="AN20" s="522">
        <f t="shared" si="1"/>
        <v>1289</v>
      </c>
      <c r="AO20" s="522">
        <f t="shared" si="2"/>
        <v>1430</v>
      </c>
      <c r="AP20" s="507">
        <f t="shared" si="3"/>
        <v>736</v>
      </c>
    </row>
    <row r="21" spans="1:42" s="8" customFormat="1" ht="18" customHeight="1">
      <c r="A21" s="961" t="s">
        <v>784</v>
      </c>
      <c r="B21" s="522"/>
      <c r="C21" s="522"/>
      <c r="D21" s="522"/>
      <c r="E21" s="507"/>
      <c r="F21" s="522">
        <v>658</v>
      </c>
      <c r="G21" s="522"/>
      <c r="H21" s="522"/>
      <c r="I21" s="507"/>
      <c r="J21" s="523"/>
      <c r="K21" s="522"/>
      <c r="L21" s="522"/>
      <c r="M21" s="507"/>
      <c r="N21" s="522"/>
      <c r="O21" s="522"/>
      <c r="P21" s="522"/>
      <c r="Q21" s="522"/>
      <c r="R21" s="523"/>
      <c r="S21" s="353"/>
      <c r="T21" s="353"/>
      <c r="U21" s="353"/>
      <c r="V21" s="352"/>
      <c r="W21" s="353"/>
      <c r="X21" s="353"/>
      <c r="Y21" s="353"/>
      <c r="Z21" s="352"/>
      <c r="AA21" s="353"/>
      <c r="AB21" s="466"/>
      <c r="AC21" s="522"/>
      <c r="AD21" s="522"/>
      <c r="AE21" s="522"/>
      <c r="AF21" s="507"/>
      <c r="AG21" s="522"/>
      <c r="AH21" s="522"/>
      <c r="AI21" s="522"/>
      <c r="AJ21" s="523"/>
      <c r="AK21" s="522"/>
      <c r="AL21" s="507"/>
      <c r="AM21" s="522">
        <f t="shared" si="0"/>
        <v>658</v>
      </c>
      <c r="AN21" s="522">
        <f t="shared" si="1"/>
        <v>0</v>
      </c>
      <c r="AO21" s="522">
        <f t="shared" si="2"/>
        <v>0</v>
      </c>
      <c r="AP21" s="507">
        <f t="shared" si="3"/>
        <v>0</v>
      </c>
    </row>
    <row r="22" spans="1:42" s="8" customFormat="1" ht="18" customHeight="1">
      <c r="A22" s="92" t="s">
        <v>980</v>
      </c>
      <c r="B22" s="522">
        <v>2808</v>
      </c>
      <c r="C22" s="522">
        <v>1961</v>
      </c>
      <c r="D22" s="522">
        <v>2504</v>
      </c>
      <c r="E22" s="507">
        <v>1970</v>
      </c>
      <c r="F22" s="522">
        <v>125</v>
      </c>
      <c r="G22" s="522">
        <v>112</v>
      </c>
      <c r="H22" s="522">
        <v>163</v>
      </c>
      <c r="I22" s="507">
        <v>133</v>
      </c>
      <c r="J22" s="523"/>
      <c r="K22" s="522"/>
      <c r="L22" s="522"/>
      <c r="M22" s="507"/>
      <c r="N22" s="522"/>
      <c r="O22" s="522"/>
      <c r="P22" s="522"/>
      <c r="Q22" s="522"/>
      <c r="R22" s="523"/>
      <c r="S22" s="353"/>
      <c r="T22" s="353"/>
      <c r="U22" s="353"/>
      <c r="V22" s="352"/>
      <c r="W22" s="353"/>
      <c r="X22" s="353"/>
      <c r="Y22" s="353"/>
      <c r="Z22" s="352"/>
      <c r="AA22" s="353"/>
      <c r="AB22" s="466"/>
      <c r="AC22" s="522"/>
      <c r="AD22" s="522"/>
      <c r="AE22" s="522"/>
      <c r="AF22" s="507"/>
      <c r="AG22" s="522"/>
      <c r="AH22" s="522"/>
      <c r="AI22" s="522"/>
      <c r="AJ22" s="523"/>
      <c r="AK22" s="522"/>
      <c r="AL22" s="507"/>
      <c r="AM22" s="522">
        <f t="shared" si="0"/>
        <v>2933</v>
      </c>
      <c r="AN22" s="522">
        <f t="shared" si="1"/>
        <v>2073</v>
      </c>
      <c r="AO22" s="522">
        <f t="shared" si="2"/>
        <v>2667</v>
      </c>
      <c r="AP22" s="507">
        <f t="shared" si="3"/>
        <v>2103</v>
      </c>
    </row>
    <row r="23" spans="1:42" s="8" customFormat="1" ht="18" customHeight="1">
      <c r="A23" s="92" t="s">
        <v>981</v>
      </c>
      <c r="B23" s="522"/>
      <c r="C23" s="522"/>
      <c r="D23" s="522"/>
      <c r="E23" s="507"/>
      <c r="F23" s="522"/>
      <c r="G23" s="522"/>
      <c r="H23" s="522"/>
      <c r="I23" s="507"/>
      <c r="J23" s="522"/>
      <c r="K23" s="522"/>
      <c r="L23" s="522">
        <v>362</v>
      </c>
      <c r="M23" s="507">
        <v>503</v>
      </c>
      <c r="N23" s="522">
        <v>1268</v>
      </c>
      <c r="O23" s="522"/>
      <c r="P23" s="522"/>
      <c r="Q23" s="522"/>
      <c r="R23" s="523">
        <v>299</v>
      </c>
      <c r="S23" s="353"/>
      <c r="T23" s="353"/>
      <c r="U23" s="353"/>
      <c r="V23" s="352">
        <v>825</v>
      </c>
      <c r="W23" s="353">
        <v>2304</v>
      </c>
      <c r="X23" s="353">
        <v>1771</v>
      </c>
      <c r="Y23" s="353">
        <v>691</v>
      </c>
      <c r="Z23" s="352">
        <v>881</v>
      </c>
      <c r="AA23" s="353">
        <v>1503</v>
      </c>
      <c r="AB23" s="466">
        <v>1810</v>
      </c>
      <c r="AC23" s="522">
        <v>739</v>
      </c>
      <c r="AD23" s="522"/>
      <c r="AE23" s="522"/>
      <c r="AF23" s="507"/>
      <c r="AG23" s="522"/>
      <c r="AH23" s="522"/>
      <c r="AI23" s="522"/>
      <c r="AJ23" s="523"/>
      <c r="AK23" s="522"/>
      <c r="AL23" s="507"/>
      <c r="AM23" s="522">
        <f>+N23+J23+F23+B23+AC23+AG23+R23+V23</f>
        <v>3131</v>
      </c>
      <c r="AN23" s="522">
        <f>+O23+K23+G23+C23+AD23+AH23+S23+W23+Z23</f>
        <v>3185</v>
      </c>
      <c r="AO23" s="522">
        <f>+P23+L23+H23+D23+AE23+AI23+T23+X23+AA23</f>
        <v>3636</v>
      </c>
      <c r="AP23" s="507">
        <f>+Q23+M23+I23+E23+U23+Y23+AF23+AL23+AB23</f>
        <v>3004</v>
      </c>
    </row>
    <row r="24" spans="1:42" s="8" customFormat="1" ht="18" customHeight="1">
      <c r="A24" s="92" t="s">
        <v>982</v>
      </c>
      <c r="B24" s="522">
        <v>5612</v>
      </c>
      <c r="C24" s="522">
        <v>6676</v>
      </c>
      <c r="D24" s="522">
        <v>6303</v>
      </c>
      <c r="E24" s="507">
        <v>3594</v>
      </c>
      <c r="F24" s="522">
        <v>3164</v>
      </c>
      <c r="G24" s="522">
        <v>3793</v>
      </c>
      <c r="H24" s="522">
        <v>3978</v>
      </c>
      <c r="I24" s="507">
        <v>1979</v>
      </c>
      <c r="J24" s="522"/>
      <c r="K24" s="522"/>
      <c r="L24" s="522"/>
      <c r="M24" s="507"/>
      <c r="N24" s="522"/>
      <c r="O24" s="522"/>
      <c r="P24" s="522"/>
      <c r="Q24" s="522"/>
      <c r="R24" s="523"/>
      <c r="S24" s="353"/>
      <c r="T24" s="353"/>
      <c r="U24" s="353"/>
      <c r="V24" s="352"/>
      <c r="W24" s="353"/>
      <c r="X24" s="353"/>
      <c r="Y24" s="353"/>
      <c r="Z24" s="352"/>
      <c r="AA24" s="353"/>
      <c r="AB24" s="466"/>
      <c r="AC24" s="522"/>
      <c r="AD24" s="522"/>
      <c r="AE24" s="522"/>
      <c r="AF24" s="507"/>
      <c r="AG24" s="522"/>
      <c r="AH24" s="522"/>
      <c r="AI24" s="522"/>
      <c r="AJ24" s="523"/>
      <c r="AK24" s="522"/>
      <c r="AL24" s="507"/>
      <c r="AM24" s="522">
        <f t="shared" ref="AM24:AO28" si="4">+N24+J24+F24+B24+AC24+AG24</f>
        <v>8776</v>
      </c>
      <c r="AN24" s="522">
        <f t="shared" si="4"/>
        <v>10469</v>
      </c>
      <c r="AO24" s="522">
        <f t="shared" si="4"/>
        <v>10281</v>
      </c>
      <c r="AP24" s="507">
        <f>+Q24+M24+I24+E24+AF24+AL24</f>
        <v>5573</v>
      </c>
    </row>
    <row r="25" spans="1:42" s="8" customFormat="1" ht="18" customHeight="1">
      <c r="A25" s="92" t="s">
        <v>983</v>
      </c>
      <c r="B25" s="522"/>
      <c r="C25" s="522"/>
      <c r="D25" s="522"/>
      <c r="E25" s="507"/>
      <c r="F25" s="522">
        <v>733</v>
      </c>
      <c r="G25" s="522"/>
      <c r="H25" s="522"/>
      <c r="I25" s="507"/>
      <c r="J25" s="522"/>
      <c r="K25" s="522"/>
      <c r="L25" s="522"/>
      <c r="M25" s="507"/>
      <c r="N25" s="522"/>
      <c r="O25" s="522"/>
      <c r="P25" s="522"/>
      <c r="Q25" s="522"/>
      <c r="R25" s="523"/>
      <c r="S25" s="353"/>
      <c r="T25" s="353"/>
      <c r="U25" s="353"/>
      <c r="V25" s="352"/>
      <c r="W25" s="353"/>
      <c r="X25" s="353"/>
      <c r="Y25" s="353"/>
      <c r="Z25" s="352"/>
      <c r="AA25" s="353"/>
      <c r="AB25" s="466"/>
      <c r="AC25" s="522"/>
      <c r="AD25" s="522"/>
      <c r="AE25" s="522"/>
      <c r="AF25" s="507"/>
      <c r="AG25" s="522"/>
      <c r="AH25" s="522"/>
      <c r="AI25" s="522"/>
      <c r="AJ25" s="523"/>
      <c r="AK25" s="522"/>
      <c r="AL25" s="507"/>
      <c r="AM25" s="522">
        <f t="shared" si="4"/>
        <v>733</v>
      </c>
      <c r="AN25" s="522">
        <f t="shared" si="4"/>
        <v>0</v>
      </c>
      <c r="AO25" s="522">
        <f t="shared" si="4"/>
        <v>0</v>
      </c>
      <c r="AP25" s="507">
        <f>+Q25+M25+I25+E25+AF25+AL25</f>
        <v>0</v>
      </c>
    </row>
    <row r="26" spans="1:42" s="8" customFormat="1" ht="18" customHeight="1">
      <c r="A26" s="961" t="s">
        <v>1450</v>
      </c>
      <c r="B26" s="522">
        <v>21</v>
      </c>
      <c r="C26" s="522">
        <v>49</v>
      </c>
      <c r="D26" s="522">
        <v>74</v>
      </c>
      <c r="E26" s="507">
        <v>26</v>
      </c>
      <c r="F26" s="522"/>
      <c r="G26" s="522"/>
      <c r="H26" s="522"/>
      <c r="I26" s="507"/>
      <c r="J26" s="522"/>
      <c r="K26" s="522"/>
      <c r="L26" s="522"/>
      <c r="M26" s="507"/>
      <c r="N26" s="522"/>
      <c r="O26" s="522"/>
      <c r="P26" s="522"/>
      <c r="Q26" s="522"/>
      <c r="R26" s="523"/>
      <c r="S26" s="353"/>
      <c r="T26" s="353"/>
      <c r="U26" s="353"/>
      <c r="V26" s="352"/>
      <c r="W26" s="353"/>
      <c r="X26" s="353"/>
      <c r="Y26" s="353"/>
      <c r="Z26" s="352"/>
      <c r="AA26" s="353"/>
      <c r="AB26" s="466"/>
      <c r="AC26" s="522"/>
      <c r="AD26" s="522"/>
      <c r="AE26" s="522"/>
      <c r="AF26" s="507"/>
      <c r="AG26" s="522"/>
      <c r="AH26" s="522"/>
      <c r="AI26" s="522"/>
      <c r="AJ26" s="523"/>
      <c r="AK26" s="522"/>
      <c r="AL26" s="507"/>
      <c r="AM26" s="522">
        <f t="shared" si="4"/>
        <v>21</v>
      </c>
      <c r="AN26" s="522">
        <f t="shared" si="4"/>
        <v>49</v>
      </c>
      <c r="AO26" s="522">
        <f t="shared" si="4"/>
        <v>74</v>
      </c>
      <c r="AP26" s="507">
        <f>+Q26+M26+I26+E26+AF26+AL26</f>
        <v>26</v>
      </c>
    </row>
    <row r="27" spans="1:42" s="8" customFormat="1" ht="18" customHeight="1">
      <c r="A27" s="92" t="s">
        <v>984</v>
      </c>
      <c r="B27" s="522"/>
      <c r="C27" s="522"/>
      <c r="D27" s="522"/>
      <c r="E27" s="507"/>
      <c r="F27" s="522">
        <v>327</v>
      </c>
      <c r="G27" s="522">
        <v>178</v>
      </c>
      <c r="H27" s="522">
        <v>398</v>
      </c>
      <c r="I27" s="507">
        <v>198</v>
      </c>
      <c r="J27" s="522"/>
      <c r="K27" s="522"/>
      <c r="L27" s="522"/>
      <c r="M27" s="507"/>
      <c r="N27" s="522"/>
      <c r="O27" s="522"/>
      <c r="P27" s="522"/>
      <c r="Q27" s="522"/>
      <c r="R27" s="523"/>
      <c r="S27" s="353"/>
      <c r="T27" s="353"/>
      <c r="U27" s="353"/>
      <c r="V27" s="352"/>
      <c r="W27" s="353"/>
      <c r="X27" s="353"/>
      <c r="Y27" s="353"/>
      <c r="Z27" s="352"/>
      <c r="AA27" s="353"/>
      <c r="AB27" s="466"/>
      <c r="AC27" s="522"/>
      <c r="AD27" s="522"/>
      <c r="AE27" s="522"/>
      <c r="AF27" s="507"/>
      <c r="AG27" s="522"/>
      <c r="AH27" s="522"/>
      <c r="AI27" s="522"/>
      <c r="AJ27" s="523"/>
      <c r="AK27" s="522"/>
      <c r="AL27" s="507"/>
      <c r="AM27" s="522">
        <f t="shared" si="4"/>
        <v>327</v>
      </c>
      <c r="AN27" s="522">
        <f t="shared" si="4"/>
        <v>178</v>
      </c>
      <c r="AO27" s="522">
        <f t="shared" si="4"/>
        <v>398</v>
      </c>
      <c r="AP27" s="507">
        <f>+Q27+M27+I27+E27+AF27+AL27</f>
        <v>198</v>
      </c>
    </row>
    <row r="28" spans="1:42" s="8" customFormat="1" ht="18" customHeight="1">
      <c r="A28" s="92" t="s">
        <v>1449</v>
      </c>
      <c r="B28" s="522">
        <v>2</v>
      </c>
      <c r="C28" s="522"/>
      <c r="D28" s="522"/>
      <c r="E28" s="507"/>
      <c r="F28" s="522">
        <v>239</v>
      </c>
      <c r="G28" s="522">
        <v>195</v>
      </c>
      <c r="H28" s="522">
        <v>275</v>
      </c>
      <c r="I28" s="507">
        <v>70</v>
      </c>
      <c r="J28" s="522"/>
      <c r="K28" s="522"/>
      <c r="L28" s="522"/>
      <c r="M28" s="507"/>
      <c r="N28" s="522"/>
      <c r="O28" s="522"/>
      <c r="P28" s="522"/>
      <c r="Q28" s="522"/>
      <c r="R28" s="523"/>
      <c r="S28" s="353"/>
      <c r="T28" s="353"/>
      <c r="U28" s="353"/>
      <c r="V28" s="352"/>
      <c r="W28" s="353"/>
      <c r="X28" s="353"/>
      <c r="Y28" s="353"/>
      <c r="Z28" s="352"/>
      <c r="AA28" s="353"/>
      <c r="AB28" s="466"/>
      <c r="AC28" s="522"/>
      <c r="AD28" s="522"/>
      <c r="AE28" s="522"/>
      <c r="AF28" s="507"/>
      <c r="AG28" s="522"/>
      <c r="AH28" s="522"/>
      <c r="AI28" s="522"/>
      <c r="AJ28" s="523"/>
      <c r="AK28" s="522"/>
      <c r="AL28" s="507"/>
      <c r="AM28" s="522">
        <f t="shared" si="4"/>
        <v>241</v>
      </c>
      <c r="AN28" s="522">
        <f t="shared" si="4"/>
        <v>195</v>
      </c>
      <c r="AO28" s="522">
        <f t="shared" si="4"/>
        <v>275</v>
      </c>
      <c r="AP28" s="507">
        <f t="shared" ref="AP28:AP37" si="5">+Q28+M28+I28+E28+AF28+AL28</f>
        <v>70</v>
      </c>
    </row>
    <row r="29" spans="1:42" s="8" customFormat="1" ht="18" customHeight="1">
      <c r="A29" s="92" t="s">
        <v>985</v>
      </c>
      <c r="B29" s="522">
        <v>3057</v>
      </c>
      <c r="C29" s="522">
        <v>3168</v>
      </c>
      <c r="D29" s="522">
        <v>3173</v>
      </c>
      <c r="E29" s="507">
        <v>1809</v>
      </c>
      <c r="F29" s="522"/>
      <c r="G29" s="522"/>
      <c r="H29" s="522"/>
      <c r="I29" s="507"/>
      <c r="J29" s="522"/>
      <c r="K29" s="522"/>
      <c r="L29" s="522"/>
      <c r="M29" s="507"/>
      <c r="N29" s="522"/>
      <c r="O29" s="522"/>
      <c r="P29" s="522"/>
      <c r="Q29" s="522"/>
      <c r="R29" s="523"/>
      <c r="S29" s="353"/>
      <c r="T29" s="353"/>
      <c r="U29" s="353"/>
      <c r="V29" s="352"/>
      <c r="W29" s="353"/>
      <c r="X29" s="353"/>
      <c r="Y29" s="353"/>
      <c r="Z29" s="352"/>
      <c r="AA29" s="353"/>
      <c r="AB29" s="466"/>
      <c r="AC29" s="522"/>
      <c r="AD29" s="522"/>
      <c r="AE29" s="522"/>
      <c r="AF29" s="507"/>
      <c r="AG29" s="522"/>
      <c r="AH29" s="522"/>
      <c r="AI29" s="522"/>
      <c r="AJ29" s="523"/>
      <c r="AK29" s="522"/>
      <c r="AL29" s="507"/>
      <c r="AM29" s="522">
        <f t="shared" ref="AM29:AM35" si="6">+N29+J29+F29+B29+AC29+AG29</f>
        <v>3057</v>
      </c>
      <c r="AN29" s="522">
        <f t="shared" ref="AN29:AO35" si="7">+O29+K29+G29+C29+AD29+AH29</f>
        <v>3168</v>
      </c>
      <c r="AO29" s="522">
        <f t="shared" si="7"/>
        <v>3173</v>
      </c>
      <c r="AP29" s="507">
        <f t="shared" si="5"/>
        <v>1809</v>
      </c>
    </row>
    <row r="30" spans="1:42" s="8" customFormat="1" ht="18" customHeight="1">
      <c r="A30" s="92" t="s">
        <v>986</v>
      </c>
      <c r="B30" s="522">
        <v>2302</v>
      </c>
      <c r="C30" s="522">
        <v>2923</v>
      </c>
      <c r="D30" s="522">
        <v>2645</v>
      </c>
      <c r="E30" s="507">
        <v>2504</v>
      </c>
      <c r="F30" s="522">
        <v>3005</v>
      </c>
      <c r="G30" s="522">
        <v>3012</v>
      </c>
      <c r="H30" s="522">
        <v>2864</v>
      </c>
      <c r="I30" s="507">
        <v>2428</v>
      </c>
      <c r="J30" s="522">
        <v>793</v>
      </c>
      <c r="K30" s="522">
        <v>693</v>
      </c>
      <c r="L30" s="522">
        <v>812</v>
      </c>
      <c r="M30" s="507">
        <v>691</v>
      </c>
      <c r="N30" s="522"/>
      <c r="O30" s="522"/>
      <c r="P30" s="522"/>
      <c r="Q30" s="522"/>
      <c r="R30" s="523"/>
      <c r="S30" s="353"/>
      <c r="T30" s="353"/>
      <c r="U30" s="353"/>
      <c r="V30" s="352"/>
      <c r="W30" s="353"/>
      <c r="X30" s="353"/>
      <c r="Y30" s="353"/>
      <c r="Z30" s="352"/>
      <c r="AA30" s="353"/>
      <c r="AB30" s="466"/>
      <c r="AC30" s="522"/>
      <c r="AD30" s="522"/>
      <c r="AE30" s="522"/>
      <c r="AF30" s="507"/>
      <c r="AG30" s="522"/>
      <c r="AH30" s="522"/>
      <c r="AI30" s="522"/>
      <c r="AJ30" s="523"/>
      <c r="AK30" s="522"/>
      <c r="AL30" s="507"/>
      <c r="AM30" s="522">
        <f t="shared" si="6"/>
        <v>6100</v>
      </c>
      <c r="AN30" s="522">
        <f t="shared" si="7"/>
        <v>6628</v>
      </c>
      <c r="AO30" s="522">
        <f t="shared" si="7"/>
        <v>6321</v>
      </c>
      <c r="AP30" s="507">
        <f t="shared" si="5"/>
        <v>5623</v>
      </c>
    </row>
    <row r="31" spans="1:42" s="8" customFormat="1" ht="18" customHeight="1">
      <c r="A31" s="92" t="s">
        <v>987</v>
      </c>
      <c r="B31" s="522">
        <v>3851</v>
      </c>
      <c r="C31" s="522">
        <v>2848</v>
      </c>
      <c r="D31" s="522">
        <v>3208</v>
      </c>
      <c r="E31" s="507">
        <v>1544</v>
      </c>
      <c r="F31" s="522">
        <v>3233</v>
      </c>
      <c r="G31" s="522">
        <v>4087</v>
      </c>
      <c r="H31" s="522">
        <v>3920</v>
      </c>
      <c r="I31" s="507">
        <v>1579</v>
      </c>
      <c r="J31" s="522"/>
      <c r="K31" s="522"/>
      <c r="L31" s="522">
        <v>65</v>
      </c>
      <c r="M31" s="507"/>
      <c r="N31" s="522"/>
      <c r="O31" s="522"/>
      <c r="P31" s="522"/>
      <c r="Q31" s="522"/>
      <c r="R31" s="523"/>
      <c r="S31" s="353"/>
      <c r="T31" s="353"/>
      <c r="U31" s="353"/>
      <c r="V31" s="352"/>
      <c r="W31" s="353"/>
      <c r="X31" s="353"/>
      <c r="Y31" s="353"/>
      <c r="Z31" s="352"/>
      <c r="AA31" s="353"/>
      <c r="AB31" s="466"/>
      <c r="AC31" s="522"/>
      <c r="AD31" s="522"/>
      <c r="AE31" s="522"/>
      <c r="AF31" s="507"/>
      <c r="AG31" s="522"/>
      <c r="AH31" s="522"/>
      <c r="AI31" s="522"/>
      <c r="AJ31" s="523"/>
      <c r="AK31" s="522"/>
      <c r="AL31" s="507"/>
      <c r="AM31" s="522">
        <f t="shared" si="6"/>
        <v>7084</v>
      </c>
      <c r="AN31" s="522">
        <f t="shared" si="7"/>
        <v>6935</v>
      </c>
      <c r="AO31" s="522">
        <f t="shared" si="7"/>
        <v>7193</v>
      </c>
      <c r="AP31" s="507">
        <f t="shared" si="5"/>
        <v>3123</v>
      </c>
    </row>
    <row r="32" spans="1:42" s="8" customFormat="1" ht="18" customHeight="1">
      <c r="A32" s="92" t="s">
        <v>988</v>
      </c>
      <c r="B32" s="522">
        <v>4919</v>
      </c>
      <c r="C32" s="522">
        <v>3305</v>
      </c>
      <c r="D32" s="522">
        <v>3471</v>
      </c>
      <c r="E32" s="507">
        <v>2558</v>
      </c>
      <c r="F32" s="522"/>
      <c r="G32" s="522"/>
      <c r="H32" s="522"/>
      <c r="I32" s="507"/>
      <c r="J32" s="522"/>
      <c r="K32" s="522"/>
      <c r="L32" s="522"/>
      <c r="M32" s="507"/>
      <c r="N32" s="522"/>
      <c r="O32" s="522"/>
      <c r="P32" s="522"/>
      <c r="Q32" s="522"/>
      <c r="R32" s="523"/>
      <c r="S32" s="353"/>
      <c r="T32" s="353"/>
      <c r="U32" s="353"/>
      <c r="V32" s="352"/>
      <c r="W32" s="353"/>
      <c r="X32" s="353"/>
      <c r="Y32" s="353"/>
      <c r="Z32" s="352"/>
      <c r="AA32" s="353"/>
      <c r="AB32" s="466"/>
      <c r="AC32" s="522"/>
      <c r="AD32" s="522"/>
      <c r="AE32" s="522"/>
      <c r="AF32" s="507"/>
      <c r="AG32" s="522"/>
      <c r="AH32" s="522"/>
      <c r="AI32" s="522"/>
      <c r="AJ32" s="523"/>
      <c r="AK32" s="522"/>
      <c r="AL32" s="507"/>
      <c r="AM32" s="522">
        <f t="shared" si="6"/>
        <v>4919</v>
      </c>
      <c r="AN32" s="522">
        <f t="shared" si="7"/>
        <v>3305</v>
      </c>
      <c r="AO32" s="522">
        <f t="shared" si="7"/>
        <v>3471</v>
      </c>
      <c r="AP32" s="507">
        <f t="shared" si="5"/>
        <v>2558</v>
      </c>
    </row>
    <row r="33" spans="1:42" s="8" customFormat="1" ht="18" customHeight="1">
      <c r="A33" s="92" t="s">
        <v>989</v>
      </c>
      <c r="B33" s="522">
        <v>1857</v>
      </c>
      <c r="C33" s="522">
        <v>1690</v>
      </c>
      <c r="D33" s="522">
        <v>3070</v>
      </c>
      <c r="E33" s="507">
        <v>1892</v>
      </c>
      <c r="F33" s="522"/>
      <c r="G33" s="522"/>
      <c r="H33" s="522"/>
      <c r="I33" s="507"/>
      <c r="J33" s="522"/>
      <c r="K33" s="522"/>
      <c r="L33" s="522"/>
      <c r="M33" s="507"/>
      <c r="N33" s="522"/>
      <c r="O33" s="522"/>
      <c r="P33" s="522"/>
      <c r="Q33" s="522"/>
      <c r="R33" s="523"/>
      <c r="S33" s="353"/>
      <c r="T33" s="353"/>
      <c r="U33" s="353"/>
      <c r="V33" s="352"/>
      <c r="W33" s="353"/>
      <c r="X33" s="353"/>
      <c r="Y33" s="353"/>
      <c r="Z33" s="352"/>
      <c r="AA33" s="353"/>
      <c r="AB33" s="466"/>
      <c r="AC33" s="522"/>
      <c r="AD33" s="522"/>
      <c r="AE33" s="522"/>
      <c r="AF33" s="507"/>
      <c r="AG33" s="522"/>
      <c r="AH33" s="522"/>
      <c r="AI33" s="522"/>
      <c r="AJ33" s="523"/>
      <c r="AK33" s="522"/>
      <c r="AL33" s="507"/>
      <c r="AM33" s="522">
        <f t="shared" si="6"/>
        <v>1857</v>
      </c>
      <c r="AN33" s="522">
        <f t="shared" si="7"/>
        <v>1690</v>
      </c>
      <c r="AO33" s="522">
        <f t="shared" si="7"/>
        <v>3070</v>
      </c>
      <c r="AP33" s="507">
        <f t="shared" si="5"/>
        <v>1892</v>
      </c>
    </row>
    <row r="34" spans="1:42" s="8" customFormat="1" ht="18" customHeight="1">
      <c r="A34" s="92" t="s">
        <v>990</v>
      </c>
      <c r="B34" s="522"/>
      <c r="C34" s="522"/>
      <c r="D34" s="522"/>
      <c r="E34" s="507"/>
      <c r="F34" s="522">
        <v>6942</v>
      </c>
      <c r="G34" s="522">
        <v>7915</v>
      </c>
      <c r="H34" s="522">
        <v>8765</v>
      </c>
      <c r="I34" s="507">
        <v>3588</v>
      </c>
      <c r="J34" s="522"/>
      <c r="K34" s="522"/>
      <c r="L34" s="522"/>
      <c r="M34" s="507"/>
      <c r="N34" s="522"/>
      <c r="O34" s="522"/>
      <c r="P34" s="522"/>
      <c r="Q34" s="522"/>
      <c r="R34" s="523"/>
      <c r="S34" s="353"/>
      <c r="T34" s="353"/>
      <c r="U34" s="353"/>
      <c r="V34" s="352"/>
      <c r="W34" s="353"/>
      <c r="X34" s="353"/>
      <c r="Y34" s="353"/>
      <c r="Z34" s="352"/>
      <c r="AA34" s="353"/>
      <c r="AB34" s="466"/>
      <c r="AC34" s="522"/>
      <c r="AD34" s="522"/>
      <c r="AE34" s="522"/>
      <c r="AF34" s="507"/>
      <c r="AG34" s="522"/>
      <c r="AH34" s="522"/>
      <c r="AI34" s="522"/>
      <c r="AJ34" s="523"/>
      <c r="AK34" s="522"/>
      <c r="AL34" s="507"/>
      <c r="AM34" s="522">
        <f t="shared" si="6"/>
        <v>6942</v>
      </c>
      <c r="AN34" s="522">
        <f t="shared" si="7"/>
        <v>7915</v>
      </c>
      <c r="AO34" s="522">
        <f t="shared" si="7"/>
        <v>8765</v>
      </c>
      <c r="AP34" s="507">
        <f t="shared" si="5"/>
        <v>3588</v>
      </c>
    </row>
    <row r="35" spans="1:42" s="8" customFormat="1" ht="18" customHeight="1">
      <c r="A35" s="92" t="s">
        <v>991</v>
      </c>
      <c r="B35" s="522"/>
      <c r="C35" s="522"/>
      <c r="D35" s="522"/>
      <c r="E35" s="507"/>
      <c r="F35" s="522">
        <v>1769</v>
      </c>
      <c r="G35" s="522">
        <v>1286</v>
      </c>
      <c r="H35" s="522">
        <v>1121</v>
      </c>
      <c r="I35" s="507">
        <v>606</v>
      </c>
      <c r="J35" s="522"/>
      <c r="K35" s="522"/>
      <c r="L35" s="522"/>
      <c r="M35" s="507"/>
      <c r="N35" s="522"/>
      <c r="O35" s="522"/>
      <c r="P35" s="522"/>
      <c r="Q35" s="522"/>
      <c r="R35" s="523"/>
      <c r="S35" s="353"/>
      <c r="T35" s="353"/>
      <c r="U35" s="353"/>
      <c r="V35" s="352"/>
      <c r="W35" s="353"/>
      <c r="X35" s="353"/>
      <c r="Y35" s="353"/>
      <c r="Z35" s="352"/>
      <c r="AA35" s="353"/>
      <c r="AB35" s="466"/>
      <c r="AC35" s="522"/>
      <c r="AD35" s="522"/>
      <c r="AE35" s="522"/>
      <c r="AF35" s="507"/>
      <c r="AG35" s="522"/>
      <c r="AH35" s="522"/>
      <c r="AI35" s="522"/>
      <c r="AJ35" s="523"/>
      <c r="AK35" s="522"/>
      <c r="AL35" s="507"/>
      <c r="AM35" s="522">
        <f t="shared" si="6"/>
        <v>1769</v>
      </c>
      <c r="AN35" s="522">
        <f t="shared" si="7"/>
        <v>1286</v>
      </c>
      <c r="AO35" s="522">
        <f t="shared" si="7"/>
        <v>1121</v>
      </c>
      <c r="AP35" s="507">
        <f t="shared" si="5"/>
        <v>606</v>
      </c>
    </row>
    <row r="36" spans="1:42" s="8" customFormat="1" ht="18" customHeight="1">
      <c r="A36" s="92" t="s">
        <v>1574</v>
      </c>
      <c r="B36" s="522"/>
      <c r="C36" s="522"/>
      <c r="D36" s="522"/>
      <c r="E36" s="507"/>
      <c r="F36" s="522"/>
      <c r="G36" s="522"/>
      <c r="H36" s="522"/>
      <c r="I36" s="507"/>
      <c r="J36" s="522"/>
      <c r="K36" s="522"/>
      <c r="L36" s="522"/>
      <c r="M36" s="507"/>
      <c r="N36" s="522"/>
      <c r="O36" s="522"/>
      <c r="P36" s="522"/>
      <c r="Q36" s="522"/>
      <c r="R36" s="523"/>
      <c r="S36" s="353"/>
      <c r="T36" s="353"/>
      <c r="U36" s="353"/>
      <c r="V36" s="352"/>
      <c r="W36" s="353"/>
      <c r="X36" s="353"/>
      <c r="Y36" s="353"/>
      <c r="Z36" s="352"/>
      <c r="AA36" s="353"/>
      <c r="AB36" s="466"/>
      <c r="AC36" s="522"/>
      <c r="AD36" s="522"/>
      <c r="AE36" s="522"/>
      <c r="AF36" s="507"/>
      <c r="AG36" s="522"/>
      <c r="AH36" s="522"/>
      <c r="AI36" s="522"/>
      <c r="AJ36" s="523">
        <v>8</v>
      </c>
      <c r="AK36" s="522">
        <v>12</v>
      </c>
      <c r="AL36" s="507"/>
      <c r="AM36" s="522">
        <f t="shared" ref="AM36" si="8">+N36+J36+F36+B36+AC36+AG36</f>
        <v>0</v>
      </c>
      <c r="AN36" s="522">
        <f>+O36+K36+G36+C36+AD36+AH36+AJ36</f>
        <v>8</v>
      </c>
      <c r="AO36" s="522">
        <f>+P36+L36+H36+D36+AE36+AI36+AK36</f>
        <v>12</v>
      </c>
      <c r="AP36" s="507">
        <f t="shared" ref="AP36" si="9">+Q36+M36+I36+E36+AF36+AL36</f>
        <v>0</v>
      </c>
    </row>
    <row r="37" spans="1:42" s="8" customFormat="1" ht="18" customHeight="1">
      <c r="A37" s="92" t="s">
        <v>992</v>
      </c>
      <c r="B37" s="522">
        <v>734</v>
      </c>
      <c r="C37" s="522">
        <v>780</v>
      </c>
      <c r="D37" s="522">
        <v>934</v>
      </c>
      <c r="E37" s="507">
        <v>593</v>
      </c>
      <c r="F37" s="522"/>
      <c r="G37" s="522"/>
      <c r="H37" s="522"/>
      <c r="I37" s="507"/>
      <c r="J37" s="522"/>
      <c r="K37" s="522"/>
      <c r="L37" s="522"/>
      <c r="M37" s="507"/>
      <c r="N37" s="522"/>
      <c r="O37" s="522"/>
      <c r="P37" s="522"/>
      <c r="Q37" s="522"/>
      <c r="R37" s="523"/>
      <c r="S37" s="353"/>
      <c r="T37" s="353"/>
      <c r="U37" s="353"/>
      <c r="V37" s="352"/>
      <c r="W37" s="353"/>
      <c r="X37" s="353"/>
      <c r="Y37" s="353"/>
      <c r="Z37" s="352"/>
      <c r="AA37" s="353"/>
      <c r="AB37" s="466"/>
      <c r="AC37" s="522"/>
      <c r="AD37" s="522"/>
      <c r="AE37" s="522"/>
      <c r="AF37" s="507"/>
      <c r="AG37" s="522"/>
      <c r="AH37" s="522"/>
      <c r="AI37" s="522"/>
      <c r="AJ37" s="523"/>
      <c r="AK37" s="522"/>
      <c r="AL37" s="507"/>
      <c r="AM37" s="522">
        <f>+N37+J37+F37+B37+AC37+AG37</f>
        <v>734</v>
      </c>
      <c r="AN37" s="522">
        <f>+O37+K37+G37+C37+AD37+AH37</f>
        <v>780</v>
      </c>
      <c r="AO37" s="522">
        <f>+P37+L37+H37+D37+AE37+AI37</f>
        <v>934</v>
      </c>
      <c r="AP37" s="507">
        <f t="shared" si="5"/>
        <v>593</v>
      </c>
    </row>
    <row r="38" spans="1:42" s="8" customFormat="1" ht="18" customHeight="1">
      <c r="A38" s="14" t="s">
        <v>832</v>
      </c>
      <c r="B38" s="525">
        <v>34515</v>
      </c>
      <c r="C38" s="525">
        <v>32275</v>
      </c>
      <c r="D38" s="525">
        <f t="shared" ref="D38:E38" si="10">SUM(D9:D37)</f>
        <v>34320</v>
      </c>
      <c r="E38" s="526">
        <f t="shared" si="10"/>
        <v>21701</v>
      </c>
      <c r="F38" s="525">
        <v>29894</v>
      </c>
      <c r="G38" s="525">
        <v>30666</v>
      </c>
      <c r="H38" s="525">
        <f t="shared" ref="H38" si="11">SUM(H9:H37)</f>
        <v>33870</v>
      </c>
      <c r="I38" s="526">
        <f t="shared" ref="I38:AP38" si="12">SUM(I9:I37)</f>
        <v>17017</v>
      </c>
      <c r="J38" s="525">
        <v>793</v>
      </c>
      <c r="K38" s="525">
        <v>693</v>
      </c>
      <c r="L38" s="525">
        <f t="shared" ref="L38" si="13">SUM(L9:L37)</f>
        <v>1239</v>
      </c>
      <c r="M38" s="526">
        <f t="shared" si="12"/>
        <v>1194</v>
      </c>
      <c r="N38" s="525">
        <v>1268</v>
      </c>
      <c r="O38" s="525">
        <v>0</v>
      </c>
      <c r="P38" s="525">
        <v>0</v>
      </c>
      <c r="Q38" s="526">
        <f t="shared" si="12"/>
        <v>0</v>
      </c>
      <c r="R38" s="357">
        <v>104</v>
      </c>
      <c r="S38" s="357">
        <v>0</v>
      </c>
      <c r="T38" s="357">
        <v>0</v>
      </c>
      <c r="U38" s="525">
        <f t="shared" si="12"/>
        <v>0</v>
      </c>
      <c r="V38" s="527">
        <v>825</v>
      </c>
      <c r="W38" s="525"/>
      <c r="X38" s="525">
        <v>2304</v>
      </c>
      <c r="Y38" s="357">
        <f>SUM(Y12:Y37)</f>
        <v>691</v>
      </c>
      <c r="Z38" s="356">
        <v>881</v>
      </c>
      <c r="AA38" s="353">
        <f>SUM(AA9:AA37)</f>
        <v>1503</v>
      </c>
      <c r="AB38" s="509">
        <f>SUM(AB9:AB37)</f>
        <v>1810</v>
      </c>
      <c r="AC38" s="525">
        <f t="shared" si="12"/>
        <v>739</v>
      </c>
      <c r="AD38" s="525">
        <v>0</v>
      </c>
      <c r="AE38" s="525">
        <f t="shared" si="12"/>
        <v>0</v>
      </c>
      <c r="AF38" s="526">
        <f t="shared" si="12"/>
        <v>0</v>
      </c>
      <c r="AG38" s="525">
        <f t="shared" si="12"/>
        <v>0</v>
      </c>
      <c r="AH38" s="525">
        <f t="shared" si="12"/>
        <v>0</v>
      </c>
      <c r="AI38" s="525">
        <f t="shared" si="12"/>
        <v>0</v>
      </c>
      <c r="AJ38" s="527">
        <v>8</v>
      </c>
      <c r="AK38" s="525">
        <v>12</v>
      </c>
      <c r="AL38" s="526">
        <f t="shared" si="12"/>
        <v>0</v>
      </c>
      <c r="AM38" s="525">
        <f t="shared" si="12"/>
        <v>68333</v>
      </c>
      <c r="AN38" s="525">
        <f t="shared" si="12"/>
        <v>66827</v>
      </c>
      <c r="AO38" s="525">
        <f t="shared" si="12"/>
        <v>72715</v>
      </c>
      <c r="AP38" s="526">
        <f t="shared" si="12"/>
        <v>42413</v>
      </c>
    </row>
    <row r="39" spans="1:42" s="8" customFormat="1" ht="18" customHeight="1">
      <c r="R39" s="535"/>
      <c r="S39" s="528"/>
      <c r="T39" s="528"/>
      <c r="U39" s="528"/>
      <c r="V39" s="528"/>
      <c r="W39" s="528"/>
      <c r="X39" s="528"/>
      <c r="Y39" s="528"/>
      <c r="Z39" s="528"/>
      <c r="AA39" s="522"/>
      <c r="AB39" s="528"/>
      <c r="AJ39" s="535"/>
    </row>
    <row r="40" spans="1:42" s="8" customFormat="1" ht="18" customHeight="1">
      <c r="A40" s="485" t="s">
        <v>993</v>
      </c>
      <c r="D40" s="1543"/>
      <c r="R40" s="535"/>
      <c r="S40" s="528"/>
      <c r="T40" s="528"/>
      <c r="U40" s="528"/>
      <c r="V40" s="528"/>
      <c r="W40" s="528"/>
      <c r="X40" s="528"/>
      <c r="Y40" s="528"/>
      <c r="Z40" s="528"/>
      <c r="AA40" s="525"/>
      <c r="AB40" s="528"/>
      <c r="AJ40" s="535"/>
    </row>
    <row r="41" spans="1:42" s="8" customFormat="1" ht="18" customHeight="1">
      <c r="A41" s="958" t="s">
        <v>994</v>
      </c>
      <c r="B41" s="530">
        <v>874</v>
      </c>
      <c r="C41" s="530">
        <v>1416</v>
      </c>
      <c r="D41" s="522">
        <v>1841</v>
      </c>
      <c r="E41" s="531">
        <v>1175</v>
      </c>
      <c r="F41" s="530">
        <v>3868</v>
      </c>
      <c r="G41" s="530">
        <v>1149</v>
      </c>
      <c r="H41" s="530">
        <v>1480</v>
      </c>
      <c r="I41" s="530">
        <v>1010</v>
      </c>
      <c r="J41" s="529"/>
      <c r="K41" s="530"/>
      <c r="L41" s="530"/>
      <c r="M41" s="531"/>
      <c r="N41" s="530"/>
      <c r="O41" s="530"/>
      <c r="P41" s="530"/>
      <c r="Q41" s="530"/>
      <c r="R41" s="529"/>
      <c r="S41" s="530"/>
      <c r="T41" s="530"/>
      <c r="U41" s="531"/>
      <c r="V41" s="530"/>
      <c r="W41" s="530"/>
      <c r="X41" s="530"/>
      <c r="Y41" s="530"/>
      <c r="Z41" s="529">
        <v>1458</v>
      </c>
      <c r="AA41" s="522"/>
      <c r="AB41" s="531"/>
      <c r="AC41" s="530"/>
      <c r="AD41" s="530"/>
      <c r="AE41" s="530"/>
      <c r="AF41" s="531"/>
      <c r="AG41" s="530"/>
      <c r="AH41" s="530"/>
      <c r="AI41" s="530"/>
      <c r="AJ41" s="529"/>
      <c r="AK41" s="530"/>
      <c r="AL41" s="531"/>
      <c r="AM41" s="530">
        <f t="shared" ref="AM41:AO42" si="14">+N41+J41+F41+B41</f>
        <v>4742</v>
      </c>
      <c r="AN41" s="530">
        <f t="shared" si="14"/>
        <v>2565</v>
      </c>
      <c r="AO41" s="530">
        <f t="shared" si="14"/>
        <v>3321</v>
      </c>
      <c r="AP41" s="531">
        <f>+Q41+M41+I41+E41+AB41</f>
        <v>2185</v>
      </c>
    </row>
    <row r="42" spans="1:42" s="8" customFormat="1" ht="18" customHeight="1">
      <c r="A42" s="959" t="s">
        <v>995</v>
      </c>
      <c r="B42" s="522">
        <v>7</v>
      </c>
      <c r="C42" s="522">
        <v>31</v>
      </c>
      <c r="D42" s="522">
        <v>316</v>
      </c>
      <c r="E42" s="507">
        <v>146</v>
      </c>
      <c r="F42" s="522">
        <v>562</v>
      </c>
      <c r="G42" s="522">
        <v>974</v>
      </c>
      <c r="H42" s="522">
        <v>2405</v>
      </c>
      <c r="I42" s="522">
        <v>367</v>
      </c>
      <c r="J42" s="523"/>
      <c r="K42" s="522"/>
      <c r="L42" s="522"/>
      <c r="M42" s="507"/>
      <c r="N42" s="522"/>
      <c r="O42" s="522"/>
      <c r="P42" s="522"/>
      <c r="Q42" s="522"/>
      <c r="R42" s="523"/>
      <c r="S42" s="522"/>
      <c r="T42" s="522"/>
      <c r="U42" s="507"/>
      <c r="V42" s="522"/>
      <c r="W42" s="522"/>
      <c r="X42" s="522"/>
      <c r="Y42" s="522"/>
      <c r="Z42" s="523"/>
      <c r="AA42" s="522"/>
      <c r="AB42" s="507"/>
      <c r="AC42" s="522"/>
      <c r="AD42" s="522"/>
      <c r="AE42" s="522"/>
      <c r="AF42" s="507"/>
      <c r="AG42" s="522"/>
      <c r="AH42" s="522"/>
      <c r="AI42" s="522"/>
      <c r="AJ42" s="523"/>
      <c r="AK42" s="522"/>
      <c r="AL42" s="507"/>
      <c r="AM42" s="522">
        <f t="shared" si="14"/>
        <v>569</v>
      </c>
      <c r="AN42" s="522">
        <f t="shared" si="14"/>
        <v>1005</v>
      </c>
      <c r="AO42" s="522">
        <f t="shared" si="14"/>
        <v>2721</v>
      </c>
      <c r="AP42" s="507">
        <f t="shared" ref="AP42:AP50" si="15">+Q42+M42+I42+E42+AB42</f>
        <v>513</v>
      </c>
    </row>
    <row r="43" spans="1:42" s="8" customFormat="1" ht="18" customHeight="1">
      <c r="A43" s="959" t="s">
        <v>996</v>
      </c>
      <c r="B43" s="522">
        <v>891</v>
      </c>
      <c r="C43" s="522">
        <v>991</v>
      </c>
      <c r="D43" s="522">
        <v>1095</v>
      </c>
      <c r="E43" s="507">
        <v>941</v>
      </c>
      <c r="F43" s="522">
        <v>1732</v>
      </c>
      <c r="G43" s="522">
        <v>1915</v>
      </c>
      <c r="H43" s="522">
        <v>1842</v>
      </c>
      <c r="I43" s="522">
        <v>883</v>
      </c>
      <c r="J43" s="523"/>
      <c r="K43" s="522"/>
      <c r="L43" s="522"/>
      <c r="M43" s="507"/>
      <c r="N43" s="522"/>
      <c r="O43" s="522"/>
      <c r="P43" s="522"/>
      <c r="Q43" s="522"/>
      <c r="R43" s="523"/>
      <c r="S43" s="522"/>
      <c r="T43" s="522"/>
      <c r="U43" s="507"/>
      <c r="V43" s="522"/>
      <c r="W43" s="522"/>
      <c r="X43" s="522"/>
      <c r="Y43" s="522"/>
      <c r="Z43" s="523"/>
      <c r="AA43" s="522"/>
      <c r="AB43" s="507"/>
      <c r="AC43" s="522"/>
      <c r="AD43" s="522"/>
      <c r="AE43" s="522"/>
      <c r="AF43" s="507"/>
      <c r="AG43" s="522"/>
      <c r="AH43" s="522"/>
      <c r="AI43" s="522"/>
      <c r="AJ43" s="523"/>
      <c r="AK43" s="522"/>
      <c r="AL43" s="507"/>
      <c r="AM43" s="522">
        <f t="shared" ref="AM43:AO47" si="16">+N43+J43+F43+B43</f>
        <v>2623</v>
      </c>
      <c r="AN43" s="522">
        <f t="shared" si="16"/>
        <v>2906</v>
      </c>
      <c r="AO43" s="522">
        <f t="shared" si="16"/>
        <v>2937</v>
      </c>
      <c r="AP43" s="507">
        <f t="shared" si="15"/>
        <v>1824</v>
      </c>
    </row>
    <row r="44" spans="1:42" s="8" customFormat="1" ht="18" customHeight="1">
      <c r="A44" s="959" t="s">
        <v>997</v>
      </c>
      <c r="B44" s="522">
        <v>735</v>
      </c>
      <c r="C44" s="522">
        <v>829</v>
      </c>
      <c r="D44" s="522">
        <v>846</v>
      </c>
      <c r="E44" s="507">
        <v>347</v>
      </c>
      <c r="F44" s="522">
        <v>1197</v>
      </c>
      <c r="G44" s="522">
        <v>917</v>
      </c>
      <c r="H44" s="522">
        <v>1165</v>
      </c>
      <c r="I44" s="522">
        <v>475</v>
      </c>
      <c r="J44" s="523"/>
      <c r="K44" s="522"/>
      <c r="L44" s="522"/>
      <c r="M44" s="507"/>
      <c r="N44" s="522"/>
      <c r="O44" s="522"/>
      <c r="P44" s="522"/>
      <c r="Q44" s="522"/>
      <c r="R44" s="523"/>
      <c r="S44" s="522"/>
      <c r="T44" s="522"/>
      <c r="U44" s="507"/>
      <c r="V44" s="522"/>
      <c r="W44" s="522"/>
      <c r="X44" s="522"/>
      <c r="Y44" s="522"/>
      <c r="Z44" s="523">
        <v>1182</v>
      </c>
      <c r="AA44" s="522"/>
      <c r="AB44" s="507"/>
      <c r="AC44" s="522"/>
      <c r="AD44" s="522"/>
      <c r="AE44" s="522"/>
      <c r="AF44" s="507"/>
      <c r="AG44" s="522"/>
      <c r="AH44" s="522"/>
      <c r="AI44" s="522"/>
      <c r="AJ44" s="523"/>
      <c r="AK44" s="522"/>
      <c r="AL44" s="507"/>
      <c r="AM44" s="522">
        <f t="shared" si="16"/>
        <v>1932</v>
      </c>
      <c r="AN44" s="522">
        <f t="shared" si="16"/>
        <v>1746</v>
      </c>
      <c r="AO44" s="522">
        <f t="shared" si="16"/>
        <v>2011</v>
      </c>
      <c r="AP44" s="507">
        <f t="shared" si="15"/>
        <v>822</v>
      </c>
    </row>
    <row r="45" spans="1:42" s="8" customFormat="1" ht="18" customHeight="1">
      <c r="A45" s="959" t="s">
        <v>998</v>
      </c>
      <c r="B45" s="522">
        <v>681</v>
      </c>
      <c r="C45" s="522">
        <v>722</v>
      </c>
      <c r="D45" s="522">
        <v>700</v>
      </c>
      <c r="E45" s="507">
        <v>239</v>
      </c>
      <c r="F45" s="522"/>
      <c r="G45" s="522"/>
      <c r="H45" s="522"/>
      <c r="I45" s="522">
        <v>178</v>
      </c>
      <c r="J45" s="523"/>
      <c r="K45" s="522"/>
      <c r="L45" s="522"/>
      <c r="M45" s="507"/>
      <c r="N45" s="522"/>
      <c r="O45" s="522"/>
      <c r="P45" s="522"/>
      <c r="Q45" s="522"/>
      <c r="R45" s="523"/>
      <c r="S45" s="522"/>
      <c r="T45" s="522"/>
      <c r="U45" s="507"/>
      <c r="V45" s="522"/>
      <c r="W45" s="522"/>
      <c r="X45" s="522"/>
      <c r="Y45" s="522"/>
      <c r="Z45" s="523">
        <v>10</v>
      </c>
      <c r="AA45" s="522"/>
      <c r="AB45" s="507"/>
      <c r="AC45" s="522"/>
      <c r="AD45" s="522"/>
      <c r="AE45" s="522"/>
      <c r="AF45" s="507"/>
      <c r="AG45" s="522"/>
      <c r="AH45" s="522"/>
      <c r="AI45" s="522"/>
      <c r="AJ45" s="523"/>
      <c r="AK45" s="522"/>
      <c r="AL45" s="507"/>
      <c r="AM45" s="522">
        <f t="shared" si="16"/>
        <v>681</v>
      </c>
      <c r="AN45" s="522">
        <f t="shared" si="16"/>
        <v>722</v>
      </c>
      <c r="AO45" s="522">
        <f t="shared" si="16"/>
        <v>700</v>
      </c>
      <c r="AP45" s="507">
        <f t="shared" si="15"/>
        <v>417</v>
      </c>
    </row>
    <row r="46" spans="1:42" s="8" customFormat="1" ht="18" customHeight="1">
      <c r="A46" s="506" t="s">
        <v>999</v>
      </c>
      <c r="B46" s="522">
        <v>8968</v>
      </c>
      <c r="C46" s="522">
        <v>9611</v>
      </c>
      <c r="D46" s="522">
        <v>8955</v>
      </c>
      <c r="E46" s="507"/>
      <c r="F46" s="522">
        <v>6537</v>
      </c>
      <c r="G46" s="522">
        <v>5658</v>
      </c>
      <c r="H46" s="522">
        <v>7621</v>
      </c>
      <c r="I46" s="522"/>
      <c r="J46" s="523"/>
      <c r="K46" s="522"/>
      <c r="L46" s="522"/>
      <c r="M46" s="507"/>
      <c r="N46" s="522"/>
      <c r="O46" s="522"/>
      <c r="P46" s="522"/>
      <c r="Q46" s="522"/>
      <c r="R46" s="523"/>
      <c r="S46" s="522"/>
      <c r="T46" s="522"/>
      <c r="U46" s="507"/>
      <c r="V46" s="522"/>
      <c r="W46" s="522"/>
      <c r="X46" s="522"/>
      <c r="Y46" s="522"/>
      <c r="Z46" s="523">
        <v>7</v>
      </c>
      <c r="AA46" s="522"/>
      <c r="AB46" s="507"/>
      <c r="AC46" s="522"/>
      <c r="AD46" s="522"/>
      <c r="AE46" s="522"/>
      <c r="AF46" s="507"/>
      <c r="AG46" s="522"/>
      <c r="AH46" s="522"/>
      <c r="AI46" s="522"/>
      <c r="AJ46" s="523"/>
      <c r="AK46" s="522"/>
      <c r="AL46" s="507"/>
      <c r="AM46" s="522">
        <f t="shared" si="16"/>
        <v>15505</v>
      </c>
      <c r="AN46" s="522">
        <f t="shared" si="16"/>
        <v>15269</v>
      </c>
      <c r="AO46" s="522">
        <f t="shared" si="16"/>
        <v>16576</v>
      </c>
      <c r="AP46" s="507">
        <f t="shared" si="15"/>
        <v>0</v>
      </c>
    </row>
    <row r="47" spans="1:42" ht="18" customHeight="1">
      <c r="A47" s="506" t="s">
        <v>1000</v>
      </c>
      <c r="B47" s="353">
        <v>1052</v>
      </c>
      <c r="C47" s="353">
        <v>702</v>
      </c>
      <c r="D47" s="353">
        <v>835</v>
      </c>
      <c r="E47" s="466"/>
      <c r="F47" s="353"/>
      <c r="G47" s="353"/>
      <c r="H47" s="353"/>
      <c r="I47" s="353"/>
      <c r="J47" s="352"/>
      <c r="K47" s="353"/>
      <c r="L47" s="353"/>
      <c r="M47" s="466"/>
      <c r="N47" s="353"/>
      <c r="O47" s="353"/>
      <c r="P47" s="353"/>
      <c r="Q47" s="353"/>
      <c r="R47" s="352"/>
      <c r="S47" s="353"/>
      <c r="T47" s="353"/>
      <c r="U47" s="466"/>
      <c r="V47" s="353"/>
      <c r="W47" s="353"/>
      <c r="X47" s="353"/>
      <c r="Y47" s="353"/>
      <c r="Z47" s="352">
        <v>1161</v>
      </c>
      <c r="AA47" s="353"/>
      <c r="AB47" s="466"/>
      <c r="AC47" s="353"/>
      <c r="AD47" s="353"/>
      <c r="AE47" s="353"/>
      <c r="AF47" s="466"/>
      <c r="AG47" s="353"/>
      <c r="AH47" s="353"/>
      <c r="AI47" s="353"/>
      <c r="AJ47" s="352"/>
      <c r="AK47" s="353"/>
      <c r="AL47" s="507"/>
      <c r="AM47" s="522">
        <f t="shared" si="16"/>
        <v>1052</v>
      </c>
      <c r="AN47" s="522">
        <f t="shared" si="16"/>
        <v>702</v>
      </c>
      <c r="AO47" s="522">
        <f t="shared" si="16"/>
        <v>835</v>
      </c>
      <c r="AP47" s="466">
        <f t="shared" si="15"/>
        <v>0</v>
      </c>
    </row>
    <row r="48" spans="1:42" s="8" customFormat="1" ht="18" customHeight="1">
      <c r="A48" s="506" t="s">
        <v>1001</v>
      </c>
      <c r="B48" s="522">
        <v>2194</v>
      </c>
      <c r="C48" s="522">
        <v>1535</v>
      </c>
      <c r="D48" s="522">
        <v>602</v>
      </c>
      <c r="E48" s="507">
        <v>292</v>
      </c>
      <c r="F48" s="522"/>
      <c r="G48" s="522"/>
      <c r="H48" s="522"/>
      <c r="I48" s="522"/>
      <c r="J48" s="523"/>
      <c r="K48" s="522"/>
      <c r="L48" s="522"/>
      <c r="M48" s="507"/>
      <c r="N48" s="522"/>
      <c r="O48" s="522"/>
      <c r="P48" s="522"/>
      <c r="Q48" s="522"/>
      <c r="R48" s="523"/>
      <c r="S48" s="522"/>
      <c r="T48" s="522"/>
      <c r="U48" s="507"/>
      <c r="V48" s="522"/>
      <c r="W48" s="522"/>
      <c r="X48" s="522"/>
      <c r="Y48" s="522"/>
      <c r="Z48" s="523"/>
      <c r="AA48" s="522"/>
      <c r="AB48" s="507"/>
      <c r="AC48" s="522"/>
      <c r="AD48" s="522"/>
      <c r="AE48" s="522"/>
      <c r="AF48" s="507"/>
      <c r="AG48" s="522"/>
      <c r="AH48" s="522"/>
      <c r="AI48" s="522"/>
      <c r="AJ48" s="523"/>
      <c r="AK48" s="522"/>
      <c r="AL48" s="507"/>
      <c r="AM48" s="522">
        <f t="shared" ref="AM48:AO48" si="17">+N48+J48+F48+B48</f>
        <v>2194</v>
      </c>
      <c r="AN48" s="522">
        <f t="shared" si="17"/>
        <v>1535</v>
      </c>
      <c r="AO48" s="522">
        <f t="shared" si="17"/>
        <v>602</v>
      </c>
      <c r="AP48" s="507">
        <f t="shared" si="15"/>
        <v>292</v>
      </c>
    </row>
    <row r="49" spans="1:42" s="8" customFormat="1" ht="18" customHeight="1">
      <c r="A49" s="960" t="s">
        <v>1002</v>
      </c>
      <c r="B49" s="525">
        <v>3666</v>
      </c>
      <c r="C49" s="525">
        <v>4201</v>
      </c>
      <c r="D49" s="525">
        <v>3648</v>
      </c>
      <c r="E49" s="526">
        <v>1645</v>
      </c>
      <c r="F49" s="525">
        <v>1857</v>
      </c>
      <c r="G49" s="525">
        <v>1999</v>
      </c>
      <c r="H49" s="525">
        <v>1314</v>
      </c>
      <c r="I49" s="525">
        <v>496</v>
      </c>
      <c r="J49" s="527"/>
      <c r="K49" s="525"/>
      <c r="L49" s="525"/>
      <c r="M49" s="526"/>
      <c r="N49" s="525"/>
      <c r="O49" s="525"/>
      <c r="P49" s="525"/>
      <c r="Q49" s="525"/>
      <c r="R49" s="527"/>
      <c r="S49" s="525"/>
      <c r="T49" s="525"/>
      <c r="U49" s="526"/>
      <c r="V49" s="525"/>
      <c r="W49" s="525"/>
      <c r="X49" s="525"/>
      <c r="Y49" s="525"/>
      <c r="Z49" s="527">
        <v>1324</v>
      </c>
      <c r="AA49" s="525"/>
      <c r="AB49" s="526"/>
      <c r="AC49" s="525"/>
      <c r="AD49" s="525"/>
      <c r="AE49" s="525"/>
      <c r="AF49" s="526"/>
      <c r="AG49" s="525"/>
      <c r="AH49" s="525"/>
      <c r="AI49" s="525"/>
      <c r="AJ49" s="527"/>
      <c r="AK49" s="525"/>
      <c r="AL49" s="526"/>
      <c r="AM49" s="522">
        <f>+N49+J49+F49+B49</f>
        <v>5523</v>
      </c>
      <c r="AN49" s="525">
        <f>+O49+K49+G49+C49+S49</f>
        <v>6200</v>
      </c>
      <c r="AO49" s="525">
        <f>+P49+L49+H49+D49+T49</f>
        <v>4962</v>
      </c>
      <c r="AP49" s="526">
        <f t="shared" si="15"/>
        <v>2141</v>
      </c>
    </row>
    <row r="50" spans="1:42">
      <c r="AP50" s="204">
        <f t="shared" si="15"/>
        <v>0</v>
      </c>
    </row>
  </sheetData>
  <mergeCells count="14">
    <mergeCell ref="A1:AP1"/>
    <mergeCell ref="A2:AP2"/>
    <mergeCell ref="A3:AP3"/>
    <mergeCell ref="B7:E7"/>
    <mergeCell ref="F7:I7"/>
    <mergeCell ref="J7:M7"/>
    <mergeCell ref="N7:Q7"/>
    <mergeCell ref="AM7:AP7"/>
    <mergeCell ref="AC7:AF7"/>
    <mergeCell ref="R7:U7"/>
    <mergeCell ref="V7:Y7"/>
    <mergeCell ref="AG7:AI7"/>
    <mergeCell ref="AK7:AL7"/>
    <mergeCell ref="Z7:AB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6"/>
  <sheetViews>
    <sheetView topLeftCell="A7" zoomScaleNormal="100" workbookViewId="0">
      <pane xSplit="1" ySplit="2" topLeftCell="AB27" activePane="bottomRight" state="frozen"/>
      <selection activeCell="A7" sqref="A7"/>
      <selection pane="topRight" activeCell="B7" sqref="B7"/>
      <selection pane="bottomLeft" activeCell="A9" sqref="A9"/>
      <selection pane="bottomRight" activeCell="AM38" sqref="AM38"/>
    </sheetView>
  </sheetViews>
  <sheetFormatPr baseColWidth="10" defaultColWidth="27" defaultRowHeight="11.4"/>
  <cols>
    <col min="1" max="1" width="27" style="204" customWidth="1"/>
    <col min="2" max="21" width="7.21875" style="204" customWidth="1"/>
    <col min="22" max="24" width="8.44140625" style="204" customWidth="1"/>
    <col min="25" max="27" width="9.77734375" style="204" customWidth="1"/>
    <col min="28" max="28" width="13.77734375" style="204" customWidth="1"/>
    <col min="29" max="37" width="7.21875" style="204" customWidth="1"/>
    <col min="38" max="38" width="10" style="204" customWidth="1"/>
    <col min="39" max="71" width="7.21875" style="204" customWidth="1"/>
    <col min="72" max="16384" width="27" style="204"/>
  </cols>
  <sheetData>
    <row r="1" spans="1:42" ht="12">
      <c r="A1" s="1616" t="s">
        <v>1434</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row>
    <row r="2" spans="1:42" ht="12">
      <c r="A2" s="1616" t="s">
        <v>1006</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row>
    <row r="3" spans="1:42"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row>
    <row r="6" spans="1:42" ht="12">
      <c r="A6" s="379" t="s">
        <v>964</v>
      </c>
    </row>
    <row r="7" spans="1:42" ht="18" customHeight="1">
      <c r="A7" s="332" t="s">
        <v>965</v>
      </c>
      <c r="B7" s="1641" t="s">
        <v>966</v>
      </c>
      <c r="C7" s="1630"/>
      <c r="D7" s="1630"/>
      <c r="E7" s="1642"/>
      <c r="F7" s="1630" t="s">
        <v>946</v>
      </c>
      <c r="G7" s="1630"/>
      <c r="H7" s="1630"/>
      <c r="I7" s="1642"/>
      <c r="J7" s="1641" t="s">
        <v>967</v>
      </c>
      <c r="K7" s="1630"/>
      <c r="L7" s="1630"/>
      <c r="M7" s="1642"/>
      <c r="N7" s="1630" t="s">
        <v>933</v>
      </c>
      <c r="O7" s="1630"/>
      <c r="P7" s="1630"/>
      <c r="Q7" s="1642"/>
      <c r="R7" s="1641" t="s">
        <v>1194</v>
      </c>
      <c r="S7" s="1630"/>
      <c r="T7" s="1630"/>
      <c r="U7" s="1642"/>
      <c r="V7" s="1641" t="s">
        <v>1460</v>
      </c>
      <c r="W7" s="1630"/>
      <c r="X7" s="1630"/>
      <c r="Y7" s="1630"/>
      <c r="Z7" s="1641" t="s">
        <v>1573</v>
      </c>
      <c r="AA7" s="1630"/>
      <c r="AB7" s="1642"/>
      <c r="AC7" s="1630" t="s">
        <v>1459</v>
      </c>
      <c r="AD7" s="1612"/>
      <c r="AE7" s="1612"/>
      <c r="AF7" s="1613"/>
      <c r="AG7" s="1597" t="s">
        <v>1575</v>
      </c>
      <c r="AH7" s="1612"/>
      <c r="AI7" s="1612"/>
      <c r="AJ7" s="1522"/>
      <c r="AK7" s="533" t="s">
        <v>1576</v>
      </c>
      <c r="AL7" s="13"/>
      <c r="AM7" s="1630" t="s">
        <v>637</v>
      </c>
      <c r="AN7" s="1630"/>
      <c r="AO7" s="1630"/>
      <c r="AP7" s="1642"/>
    </row>
    <row r="8" spans="1:42" ht="18" customHeight="1">
      <c r="A8" s="14"/>
      <c r="B8" s="511">
        <f>+'51'!B8</f>
        <v>2017</v>
      </c>
      <c r="C8" s="295">
        <f>+'51'!C8</f>
        <v>2018</v>
      </c>
      <c r="D8" s="295">
        <f>+'51'!D8</f>
        <v>2019</v>
      </c>
      <c r="E8" s="512">
        <f>+'51'!E8</f>
        <v>2020</v>
      </c>
      <c r="F8" s="513">
        <f>+'51'!F8</f>
        <v>2017</v>
      </c>
      <c r="G8" s="513">
        <f>+'51'!G8</f>
        <v>2018</v>
      </c>
      <c r="H8" s="513">
        <f>+'51'!H8</f>
        <v>2019</v>
      </c>
      <c r="I8" s="514">
        <f>+'51'!I8</f>
        <v>2020</v>
      </c>
      <c r="J8" s="536">
        <f>+'51'!J8</f>
        <v>2017</v>
      </c>
      <c r="K8" s="515">
        <f>+'51'!K8</f>
        <v>2018</v>
      </c>
      <c r="L8" s="515">
        <f>+'51'!L8</f>
        <v>2019</v>
      </c>
      <c r="M8" s="537">
        <f>+'51'!M8</f>
        <v>2020</v>
      </c>
      <c r="N8" s="1098">
        <f>+'51'!N8</f>
        <v>2017</v>
      </c>
      <c r="O8" s="1099">
        <f>+'51'!O8</f>
        <v>2018</v>
      </c>
      <c r="P8" s="1099">
        <f>+'51'!P8</f>
        <v>2019</v>
      </c>
      <c r="Q8" s="1100">
        <f>+'51'!Q8</f>
        <v>2020</v>
      </c>
      <c r="R8" s="347">
        <f>+N8</f>
        <v>2017</v>
      </c>
      <c r="S8" s="348">
        <f>+O8</f>
        <v>2018</v>
      </c>
      <c r="T8" s="348">
        <f>+P8</f>
        <v>2019</v>
      </c>
      <c r="U8" s="349">
        <f>+Q8</f>
        <v>2020</v>
      </c>
      <c r="V8" s="343">
        <v>2017</v>
      </c>
      <c r="W8" s="343">
        <v>2018</v>
      </c>
      <c r="X8" s="343">
        <f>+T8</f>
        <v>2019</v>
      </c>
      <c r="Y8" s="343">
        <f>+U8</f>
        <v>2020</v>
      </c>
      <c r="Z8" s="342">
        <v>2018</v>
      </c>
      <c r="AA8" s="343">
        <v>2019</v>
      </c>
      <c r="AB8" s="349">
        <v>2020</v>
      </c>
      <c r="AC8" s="1462">
        <f>+'51'!AC8</f>
        <v>2017</v>
      </c>
      <c r="AD8" s="505">
        <f>+'51'!AD8</f>
        <v>2018</v>
      </c>
      <c r="AE8" s="505">
        <f>+'51'!AE8</f>
        <v>2019</v>
      </c>
      <c r="AF8" s="510">
        <f>+'51'!AF8</f>
        <v>2020</v>
      </c>
      <c r="AG8" s="1465">
        <f>+AC8</f>
        <v>2017</v>
      </c>
      <c r="AH8" s="1466">
        <f>+AD8</f>
        <v>2018</v>
      </c>
      <c r="AI8" s="1466">
        <f>+AE8</f>
        <v>2019</v>
      </c>
      <c r="AJ8" s="1524">
        <v>2018</v>
      </c>
      <c r="AK8" s="1525">
        <v>2019</v>
      </c>
      <c r="AL8" s="1526">
        <f>+Q8</f>
        <v>2020</v>
      </c>
      <c r="AM8" s="515">
        <f>+'51'!AM8</f>
        <v>2017</v>
      </c>
      <c r="AN8" s="515">
        <f>+'51'!AN8</f>
        <v>2018</v>
      </c>
      <c r="AO8" s="515">
        <f>+'51'!AO8</f>
        <v>2019</v>
      </c>
      <c r="AP8" s="537">
        <f>+'51'!AP8</f>
        <v>2020</v>
      </c>
    </row>
    <row r="9" spans="1:42" ht="18" customHeight="1">
      <c r="A9" s="332" t="s">
        <v>968</v>
      </c>
      <c r="B9" s="530"/>
      <c r="C9" s="530"/>
      <c r="D9" s="530"/>
      <c r="E9" s="531"/>
      <c r="F9" s="529"/>
      <c r="G9" s="530"/>
      <c r="H9" s="530"/>
      <c r="I9" s="531"/>
      <c r="J9" s="530"/>
      <c r="K9" s="530"/>
      <c r="L9" s="530"/>
      <c r="M9" s="531"/>
      <c r="N9" s="529"/>
      <c r="O9" s="530"/>
      <c r="P9" s="530"/>
      <c r="Q9" s="531"/>
      <c r="R9" s="522"/>
      <c r="S9" s="353"/>
      <c r="T9" s="353"/>
      <c r="U9" s="353"/>
      <c r="V9" s="468"/>
      <c r="W9" s="469"/>
      <c r="X9" s="469"/>
      <c r="Y9" s="469"/>
      <c r="Z9" s="352"/>
      <c r="AA9" s="353"/>
      <c r="AB9" s="466"/>
      <c r="AC9" s="522"/>
      <c r="AD9" s="522"/>
      <c r="AE9" s="522"/>
      <c r="AF9" s="507"/>
      <c r="AG9" s="522"/>
      <c r="AH9" s="522"/>
      <c r="AI9" s="522"/>
      <c r="AJ9" s="523"/>
      <c r="AK9" s="522"/>
      <c r="AL9" s="507"/>
      <c r="AM9" s="522">
        <f t="shared" ref="AM9:AM22" si="0">+N9+J9+F9+B9+AC9+AG9</f>
        <v>0</v>
      </c>
      <c r="AN9" s="522">
        <f t="shared" ref="AN9:AN22" si="1">+O9+K9+G9+C9+AD9+AH9</f>
        <v>0</v>
      </c>
      <c r="AO9" s="522">
        <f t="shared" ref="AO9:AO22" si="2">+P9+L9+H9+D9+AE9+AI9</f>
        <v>0</v>
      </c>
      <c r="AP9" s="507">
        <f t="shared" ref="AP9:AP22" si="3">+Q9+M9+I9+E9+AF9+AL9</f>
        <v>0</v>
      </c>
    </row>
    <row r="10" spans="1:42" ht="18" customHeight="1">
      <c r="A10" s="92" t="s">
        <v>969</v>
      </c>
      <c r="B10" s="522">
        <v>7301</v>
      </c>
      <c r="C10" s="522">
        <v>6577</v>
      </c>
      <c r="D10" s="522">
        <v>7086</v>
      </c>
      <c r="E10" s="507">
        <v>2921</v>
      </c>
      <c r="F10" s="522">
        <v>4242</v>
      </c>
      <c r="G10" s="522">
        <v>3640</v>
      </c>
      <c r="H10" s="522">
        <v>4508</v>
      </c>
      <c r="I10" s="507">
        <v>2161</v>
      </c>
      <c r="J10" s="522"/>
      <c r="K10" s="522"/>
      <c r="L10" s="522"/>
      <c r="M10" s="507"/>
      <c r="N10" s="522"/>
      <c r="O10" s="522"/>
      <c r="P10" s="522"/>
      <c r="Q10" s="507"/>
      <c r="R10" s="522"/>
      <c r="S10" s="353"/>
      <c r="T10" s="353"/>
      <c r="U10" s="353"/>
      <c r="V10" s="352"/>
      <c r="W10" s="353"/>
      <c r="X10" s="353"/>
      <c r="Y10" s="353"/>
      <c r="Z10" s="352"/>
      <c r="AA10" s="353"/>
      <c r="AB10" s="466"/>
      <c r="AC10" s="522"/>
      <c r="AD10" s="522"/>
      <c r="AE10" s="522"/>
      <c r="AF10" s="507"/>
      <c r="AG10" s="522"/>
      <c r="AH10" s="522"/>
      <c r="AI10" s="522"/>
      <c r="AJ10" s="523"/>
      <c r="AK10" s="522"/>
      <c r="AL10" s="507"/>
      <c r="AM10" s="522">
        <f t="shared" si="0"/>
        <v>11543</v>
      </c>
      <c r="AN10" s="522">
        <f t="shared" si="1"/>
        <v>10217</v>
      </c>
      <c r="AO10" s="522">
        <f t="shared" si="2"/>
        <v>11594</v>
      </c>
      <c r="AP10" s="507">
        <f t="shared" si="3"/>
        <v>5082</v>
      </c>
    </row>
    <row r="11" spans="1:42" ht="18" customHeight="1">
      <c r="A11" s="92" t="s">
        <v>970</v>
      </c>
      <c r="B11" s="522"/>
      <c r="C11" s="522"/>
      <c r="D11" s="522"/>
      <c r="E11" s="507"/>
      <c r="F11" s="522"/>
      <c r="G11" s="522"/>
      <c r="H11" s="522"/>
      <c r="I11" s="507"/>
      <c r="J11" s="522"/>
      <c r="K11" s="522"/>
      <c r="L11" s="522"/>
      <c r="M11" s="507"/>
      <c r="N11" s="522"/>
      <c r="O11" s="522"/>
      <c r="P11" s="522"/>
      <c r="Q11" s="507"/>
      <c r="R11" s="522"/>
      <c r="S11" s="353"/>
      <c r="T11" s="353"/>
      <c r="U11" s="353"/>
      <c r="V11" s="352"/>
      <c r="W11" s="353"/>
      <c r="X11" s="353"/>
      <c r="Y11" s="353"/>
      <c r="Z11" s="352"/>
      <c r="AA11" s="353"/>
      <c r="AB11" s="466"/>
      <c r="AC11" s="522"/>
      <c r="AD11" s="522"/>
      <c r="AE11" s="522"/>
      <c r="AF11" s="507"/>
      <c r="AG11" s="522"/>
      <c r="AH11" s="522"/>
      <c r="AI11" s="522"/>
      <c r="AJ11" s="523"/>
      <c r="AK11" s="522"/>
      <c r="AL11" s="507"/>
      <c r="AM11" s="522">
        <f t="shared" si="0"/>
        <v>0</v>
      </c>
      <c r="AN11" s="522">
        <f t="shared" si="1"/>
        <v>0</v>
      </c>
      <c r="AO11" s="522">
        <f t="shared" si="2"/>
        <v>0</v>
      </c>
      <c r="AP11" s="507">
        <f t="shared" si="3"/>
        <v>0</v>
      </c>
    </row>
    <row r="12" spans="1:42" ht="18" customHeight="1">
      <c r="A12" s="92" t="s">
        <v>971</v>
      </c>
      <c r="B12" s="522"/>
      <c r="C12" s="522"/>
      <c r="D12" s="522"/>
      <c r="E12" s="507"/>
      <c r="F12" s="522">
        <v>380</v>
      </c>
      <c r="G12" s="522">
        <v>514</v>
      </c>
      <c r="H12" s="522">
        <v>568</v>
      </c>
      <c r="I12" s="507">
        <v>458</v>
      </c>
      <c r="J12" s="522"/>
      <c r="K12" s="522"/>
      <c r="L12" s="522"/>
      <c r="M12" s="507"/>
      <c r="N12" s="522"/>
      <c r="O12" s="522"/>
      <c r="P12" s="522"/>
      <c r="Q12" s="507"/>
      <c r="R12" s="522"/>
      <c r="S12" s="353"/>
      <c r="T12" s="353"/>
      <c r="U12" s="353"/>
      <c r="V12" s="352"/>
      <c r="W12" s="353"/>
      <c r="X12" s="353"/>
      <c r="Y12" s="353"/>
      <c r="Z12" s="352"/>
      <c r="AA12" s="353"/>
      <c r="AB12" s="466"/>
      <c r="AC12" s="522"/>
      <c r="AD12" s="522"/>
      <c r="AE12" s="522"/>
      <c r="AF12" s="507"/>
      <c r="AG12" s="522"/>
      <c r="AH12" s="522"/>
      <c r="AI12" s="522"/>
      <c r="AJ12" s="523"/>
      <c r="AK12" s="522"/>
      <c r="AL12" s="507"/>
      <c r="AM12" s="522">
        <f t="shared" si="0"/>
        <v>380</v>
      </c>
      <c r="AN12" s="522">
        <f t="shared" si="1"/>
        <v>514</v>
      </c>
      <c r="AO12" s="522">
        <f t="shared" si="2"/>
        <v>568</v>
      </c>
      <c r="AP12" s="507">
        <f t="shared" si="3"/>
        <v>458</v>
      </c>
    </row>
    <row r="13" spans="1:42" ht="18" customHeight="1">
      <c r="A13" s="92" t="s">
        <v>1004</v>
      </c>
      <c r="B13" s="522">
        <v>1770</v>
      </c>
      <c r="C13" s="522">
        <v>1620</v>
      </c>
      <c r="D13" s="522">
        <v>1650</v>
      </c>
      <c r="E13" s="507">
        <v>474</v>
      </c>
      <c r="F13" s="522">
        <v>1295</v>
      </c>
      <c r="G13" s="522">
        <v>1376</v>
      </c>
      <c r="H13" s="522">
        <v>1437</v>
      </c>
      <c r="I13" s="507">
        <v>849</v>
      </c>
      <c r="J13" s="522"/>
      <c r="K13" s="522"/>
      <c r="L13" s="522"/>
      <c r="M13" s="507"/>
      <c r="N13" s="522"/>
      <c r="O13" s="522"/>
      <c r="P13" s="522"/>
      <c r="Q13" s="507"/>
      <c r="R13" s="353"/>
      <c r="S13" s="353"/>
      <c r="T13" s="353"/>
      <c r="U13" s="353"/>
      <c r="V13" s="352"/>
      <c r="W13" s="353"/>
      <c r="X13" s="353"/>
      <c r="Y13" s="353"/>
      <c r="Z13" s="352"/>
      <c r="AA13" s="353"/>
      <c r="AB13" s="466"/>
      <c r="AC13" s="522"/>
      <c r="AD13" s="522"/>
      <c r="AE13" s="522"/>
      <c r="AF13" s="507"/>
      <c r="AG13" s="522"/>
      <c r="AH13" s="522"/>
      <c r="AI13" s="522"/>
      <c r="AJ13" s="523"/>
      <c r="AK13" s="522"/>
      <c r="AL13" s="507"/>
      <c r="AM13" s="522">
        <f t="shared" si="0"/>
        <v>3065</v>
      </c>
      <c r="AN13" s="522">
        <f t="shared" si="1"/>
        <v>2996</v>
      </c>
      <c r="AO13" s="522">
        <f t="shared" si="2"/>
        <v>3087</v>
      </c>
      <c r="AP13" s="507">
        <f t="shared" si="3"/>
        <v>1323</v>
      </c>
    </row>
    <row r="14" spans="1:42" ht="18" customHeight="1">
      <c r="A14" s="506" t="s">
        <v>973</v>
      </c>
      <c r="B14" s="522"/>
      <c r="C14" s="522"/>
      <c r="D14" s="522"/>
      <c r="E14" s="507"/>
      <c r="F14" s="522">
        <v>228</v>
      </c>
      <c r="G14" s="522">
        <v>233</v>
      </c>
      <c r="H14" s="522">
        <v>496</v>
      </c>
      <c r="I14" s="507">
        <v>315</v>
      </c>
      <c r="J14" s="522"/>
      <c r="K14" s="522"/>
      <c r="L14" s="522"/>
      <c r="M14" s="507"/>
      <c r="N14" s="522"/>
      <c r="O14" s="522"/>
      <c r="P14" s="522"/>
      <c r="Q14" s="507"/>
      <c r="R14" s="353"/>
      <c r="S14" s="353"/>
      <c r="T14" s="353"/>
      <c r="U14" s="353"/>
      <c r="V14" s="352"/>
      <c r="W14" s="353"/>
      <c r="X14" s="353"/>
      <c r="Y14" s="353"/>
      <c r="Z14" s="352"/>
      <c r="AA14" s="353"/>
      <c r="AB14" s="466"/>
      <c r="AC14" s="522"/>
      <c r="AD14" s="522"/>
      <c r="AE14" s="522"/>
      <c r="AF14" s="507"/>
      <c r="AG14" s="522"/>
      <c r="AH14" s="522"/>
      <c r="AI14" s="522"/>
      <c r="AJ14" s="523"/>
      <c r="AK14" s="522"/>
      <c r="AL14" s="507"/>
      <c r="AM14" s="522">
        <f t="shared" si="0"/>
        <v>228</v>
      </c>
      <c r="AN14" s="522">
        <f t="shared" si="1"/>
        <v>233</v>
      </c>
      <c r="AO14" s="522">
        <f t="shared" si="2"/>
        <v>496</v>
      </c>
      <c r="AP14" s="507">
        <f t="shared" si="3"/>
        <v>315</v>
      </c>
    </row>
    <row r="15" spans="1:42" ht="18" customHeight="1">
      <c r="A15" s="506" t="s">
        <v>974</v>
      </c>
      <c r="B15" s="522">
        <v>220</v>
      </c>
      <c r="C15" s="522">
        <v>184</v>
      </c>
      <c r="D15" s="522">
        <v>169</v>
      </c>
      <c r="E15" s="507">
        <v>13</v>
      </c>
      <c r="F15" s="522">
        <v>334</v>
      </c>
      <c r="G15" s="522">
        <v>267</v>
      </c>
      <c r="H15" s="522">
        <v>205</v>
      </c>
      <c r="I15" s="507">
        <v>106</v>
      </c>
      <c r="J15" s="522"/>
      <c r="K15" s="522"/>
      <c r="L15" s="522"/>
      <c r="M15" s="507"/>
      <c r="N15" s="522"/>
      <c r="O15" s="522"/>
      <c r="P15" s="522"/>
      <c r="Q15" s="507"/>
      <c r="R15" s="353"/>
      <c r="S15" s="353"/>
      <c r="T15" s="353"/>
      <c r="U15" s="353"/>
      <c r="V15" s="352"/>
      <c r="W15" s="353"/>
      <c r="X15" s="353"/>
      <c r="Y15" s="353"/>
      <c r="Z15" s="352"/>
      <c r="AA15" s="353"/>
      <c r="AB15" s="466"/>
      <c r="AC15" s="522"/>
      <c r="AD15" s="522"/>
      <c r="AE15" s="522"/>
      <c r="AF15" s="507"/>
      <c r="AG15" s="522"/>
      <c r="AH15" s="522"/>
      <c r="AI15" s="522"/>
      <c r="AJ15" s="523"/>
      <c r="AK15" s="522"/>
      <c r="AL15" s="507"/>
      <c r="AM15" s="522">
        <f t="shared" si="0"/>
        <v>554</v>
      </c>
      <c r="AN15" s="522">
        <f t="shared" si="1"/>
        <v>451</v>
      </c>
      <c r="AO15" s="522">
        <f t="shared" si="2"/>
        <v>374</v>
      </c>
      <c r="AP15" s="507">
        <f t="shared" si="3"/>
        <v>119</v>
      </c>
    </row>
    <row r="16" spans="1:42" ht="18" customHeight="1">
      <c r="A16" s="506" t="s">
        <v>975</v>
      </c>
      <c r="B16" s="522">
        <v>256</v>
      </c>
      <c r="C16" s="522"/>
      <c r="D16" s="522"/>
      <c r="E16" s="507"/>
      <c r="F16" s="522"/>
      <c r="G16" s="522"/>
      <c r="H16" s="522"/>
      <c r="I16" s="507"/>
      <c r="J16" s="522"/>
      <c r="K16" s="522"/>
      <c r="L16" s="522"/>
      <c r="M16" s="507"/>
      <c r="N16" s="522"/>
      <c r="O16" s="522"/>
      <c r="P16" s="522"/>
      <c r="Q16" s="507"/>
      <c r="R16" s="353"/>
      <c r="S16" s="353"/>
      <c r="T16" s="353"/>
      <c r="U16" s="353"/>
      <c r="V16" s="352"/>
      <c r="W16" s="353"/>
      <c r="X16" s="353"/>
      <c r="Y16" s="353"/>
      <c r="Z16" s="352"/>
      <c r="AA16" s="353"/>
      <c r="AB16" s="466"/>
      <c r="AC16" s="522"/>
      <c r="AD16" s="522"/>
      <c r="AE16" s="522"/>
      <c r="AF16" s="507"/>
      <c r="AG16" s="522"/>
      <c r="AH16" s="522"/>
      <c r="AI16" s="522"/>
      <c r="AJ16" s="523"/>
      <c r="AK16" s="522"/>
      <c r="AL16" s="507"/>
      <c r="AM16" s="522">
        <f t="shared" si="0"/>
        <v>256</v>
      </c>
      <c r="AN16" s="522">
        <f t="shared" si="1"/>
        <v>0</v>
      </c>
      <c r="AO16" s="522">
        <f t="shared" si="2"/>
        <v>0</v>
      </c>
      <c r="AP16" s="507">
        <f t="shared" si="3"/>
        <v>0</v>
      </c>
    </row>
    <row r="17" spans="1:42" ht="18" customHeight="1">
      <c r="A17" s="506" t="s">
        <v>976</v>
      </c>
      <c r="B17" s="522">
        <v>394</v>
      </c>
      <c r="C17" s="522">
        <v>385</v>
      </c>
      <c r="D17" s="522">
        <v>330</v>
      </c>
      <c r="E17" s="507">
        <v>216</v>
      </c>
      <c r="F17" s="522"/>
      <c r="G17" s="522"/>
      <c r="H17" s="522"/>
      <c r="I17" s="507"/>
      <c r="J17" s="522"/>
      <c r="K17" s="522"/>
      <c r="L17" s="522"/>
      <c r="M17" s="507"/>
      <c r="N17" s="522"/>
      <c r="O17" s="522"/>
      <c r="P17" s="522"/>
      <c r="Q17" s="507"/>
      <c r="R17" s="353"/>
      <c r="S17" s="353"/>
      <c r="T17" s="353"/>
      <c r="U17" s="353"/>
      <c r="V17" s="352"/>
      <c r="W17" s="353"/>
      <c r="X17" s="353"/>
      <c r="Y17" s="353"/>
      <c r="Z17" s="352"/>
      <c r="AA17" s="353"/>
      <c r="AB17" s="466"/>
      <c r="AC17" s="522"/>
      <c r="AD17" s="522"/>
      <c r="AE17" s="522"/>
      <c r="AF17" s="507"/>
      <c r="AG17" s="522"/>
      <c r="AH17" s="522"/>
      <c r="AI17" s="522"/>
      <c r="AJ17" s="523"/>
      <c r="AK17" s="522"/>
      <c r="AL17" s="507"/>
      <c r="AM17" s="522">
        <f t="shared" si="0"/>
        <v>394</v>
      </c>
      <c r="AN17" s="522">
        <f t="shared" si="1"/>
        <v>385</v>
      </c>
      <c r="AO17" s="522">
        <f t="shared" si="2"/>
        <v>330</v>
      </c>
      <c r="AP17" s="507">
        <f t="shared" si="3"/>
        <v>216</v>
      </c>
    </row>
    <row r="18" spans="1:42" ht="18" customHeight="1">
      <c r="A18" s="506" t="s">
        <v>977</v>
      </c>
      <c r="B18" s="522"/>
      <c r="C18" s="522"/>
      <c r="D18" s="522"/>
      <c r="E18" s="507"/>
      <c r="F18" s="522">
        <v>958</v>
      </c>
      <c r="G18" s="522">
        <v>1021</v>
      </c>
      <c r="H18" s="522">
        <v>969</v>
      </c>
      <c r="I18" s="507">
        <v>402</v>
      </c>
      <c r="J18" s="522"/>
      <c r="K18" s="522"/>
      <c r="L18" s="522"/>
      <c r="M18" s="507"/>
      <c r="N18" s="522"/>
      <c r="O18" s="522"/>
      <c r="P18" s="522"/>
      <c r="Q18" s="507"/>
      <c r="R18" s="353"/>
      <c r="S18" s="353"/>
      <c r="T18" s="353"/>
      <c r="U18" s="353"/>
      <c r="V18" s="352"/>
      <c r="W18" s="353"/>
      <c r="X18" s="353"/>
      <c r="Y18" s="353"/>
      <c r="Z18" s="352"/>
      <c r="AA18" s="353"/>
      <c r="AB18" s="466"/>
      <c r="AC18" s="522"/>
      <c r="AD18" s="522"/>
      <c r="AE18" s="522"/>
      <c r="AF18" s="507"/>
      <c r="AG18" s="522"/>
      <c r="AH18" s="522"/>
      <c r="AI18" s="522"/>
      <c r="AJ18" s="523"/>
      <c r="AK18" s="522"/>
      <c r="AL18" s="507"/>
      <c r="AM18" s="522">
        <f t="shared" si="0"/>
        <v>958</v>
      </c>
      <c r="AN18" s="522">
        <f t="shared" si="1"/>
        <v>1021</v>
      </c>
      <c r="AO18" s="522">
        <f t="shared" si="2"/>
        <v>969</v>
      </c>
      <c r="AP18" s="507">
        <f t="shared" si="3"/>
        <v>402</v>
      </c>
    </row>
    <row r="19" spans="1:42" ht="18" customHeight="1">
      <c r="A19" s="92" t="s">
        <v>978</v>
      </c>
      <c r="B19" s="522"/>
      <c r="C19" s="522"/>
      <c r="D19" s="522"/>
      <c r="E19" s="507"/>
      <c r="F19" s="522">
        <v>771</v>
      </c>
      <c r="G19" s="522">
        <v>764</v>
      </c>
      <c r="H19" s="522">
        <v>909</v>
      </c>
      <c r="I19" s="507">
        <v>220</v>
      </c>
      <c r="J19" s="522"/>
      <c r="K19" s="522"/>
      <c r="L19" s="522"/>
      <c r="M19" s="507"/>
      <c r="N19" s="522"/>
      <c r="O19" s="522"/>
      <c r="P19" s="522"/>
      <c r="Q19" s="507"/>
      <c r="R19" s="353"/>
      <c r="S19" s="353"/>
      <c r="T19" s="353"/>
      <c r="U19" s="353"/>
      <c r="V19" s="352"/>
      <c r="W19" s="353"/>
      <c r="X19" s="353"/>
      <c r="Y19" s="353"/>
      <c r="Z19" s="352"/>
      <c r="AA19" s="353"/>
      <c r="AB19" s="466"/>
      <c r="AC19" s="522"/>
      <c r="AD19" s="522"/>
      <c r="AE19" s="522"/>
      <c r="AF19" s="507"/>
      <c r="AG19" s="522"/>
      <c r="AH19" s="522"/>
      <c r="AI19" s="522"/>
      <c r="AJ19" s="523"/>
      <c r="AK19" s="522"/>
      <c r="AL19" s="507"/>
      <c r="AM19" s="522">
        <f t="shared" si="0"/>
        <v>771</v>
      </c>
      <c r="AN19" s="522">
        <f t="shared" si="1"/>
        <v>764</v>
      </c>
      <c r="AO19" s="522">
        <f t="shared" si="2"/>
        <v>909</v>
      </c>
      <c r="AP19" s="507">
        <f t="shared" si="3"/>
        <v>220</v>
      </c>
    </row>
    <row r="20" spans="1:42" ht="18" customHeight="1">
      <c r="A20" s="92" t="s">
        <v>979</v>
      </c>
      <c r="B20" s="522"/>
      <c r="C20" s="522"/>
      <c r="D20" s="522"/>
      <c r="E20" s="507"/>
      <c r="F20" s="522">
        <v>22</v>
      </c>
      <c r="G20" s="522">
        <v>61</v>
      </c>
      <c r="H20" s="522">
        <v>75</v>
      </c>
      <c r="I20" s="507">
        <v>46</v>
      </c>
      <c r="J20" s="522"/>
      <c r="K20" s="522"/>
      <c r="L20" s="522"/>
      <c r="M20" s="507"/>
      <c r="N20" s="522"/>
      <c r="O20" s="522"/>
      <c r="P20" s="522"/>
      <c r="Q20" s="507"/>
      <c r="R20" s="353"/>
      <c r="S20" s="353"/>
      <c r="T20" s="353"/>
      <c r="U20" s="353"/>
      <c r="V20" s="352"/>
      <c r="W20" s="353"/>
      <c r="X20" s="353"/>
      <c r="Y20" s="353"/>
      <c r="Z20" s="352"/>
      <c r="AA20" s="353"/>
      <c r="AB20" s="466"/>
      <c r="AC20" s="522"/>
      <c r="AD20" s="522"/>
      <c r="AE20" s="522"/>
      <c r="AF20" s="507"/>
      <c r="AG20" s="522"/>
      <c r="AH20" s="522"/>
      <c r="AI20" s="522"/>
      <c r="AJ20" s="523"/>
      <c r="AK20" s="522"/>
      <c r="AL20" s="507"/>
      <c r="AM20" s="522">
        <f t="shared" si="0"/>
        <v>22</v>
      </c>
      <c r="AN20" s="522">
        <f t="shared" si="1"/>
        <v>61</v>
      </c>
      <c r="AO20" s="522">
        <f t="shared" si="2"/>
        <v>75</v>
      </c>
      <c r="AP20" s="507">
        <f t="shared" si="3"/>
        <v>46</v>
      </c>
    </row>
    <row r="21" spans="1:42" ht="18" customHeight="1">
      <c r="A21" s="961" t="s">
        <v>784</v>
      </c>
      <c r="B21" s="522"/>
      <c r="C21" s="522"/>
      <c r="D21" s="522"/>
      <c r="E21" s="507"/>
      <c r="F21" s="522">
        <v>34</v>
      </c>
      <c r="G21" s="522"/>
      <c r="H21" s="522"/>
      <c r="I21" s="507"/>
      <c r="J21" s="522"/>
      <c r="K21" s="522"/>
      <c r="L21" s="522"/>
      <c r="M21" s="507"/>
      <c r="N21" s="522"/>
      <c r="O21" s="522"/>
      <c r="P21" s="522"/>
      <c r="Q21" s="507"/>
      <c r="R21" s="353"/>
      <c r="S21" s="353"/>
      <c r="T21" s="353"/>
      <c r="U21" s="353"/>
      <c r="V21" s="352"/>
      <c r="W21" s="353"/>
      <c r="X21" s="353"/>
      <c r="Y21" s="353"/>
      <c r="Z21" s="352"/>
      <c r="AA21" s="353"/>
      <c r="AB21" s="466"/>
      <c r="AC21" s="522"/>
      <c r="AD21" s="522"/>
      <c r="AE21" s="522"/>
      <c r="AF21" s="507"/>
      <c r="AG21" s="522"/>
      <c r="AH21" s="522"/>
      <c r="AI21" s="522"/>
      <c r="AJ21" s="523"/>
      <c r="AK21" s="522"/>
      <c r="AL21" s="507"/>
      <c r="AM21" s="522">
        <f t="shared" si="0"/>
        <v>34</v>
      </c>
      <c r="AN21" s="522">
        <f t="shared" si="1"/>
        <v>0</v>
      </c>
      <c r="AO21" s="522">
        <f t="shared" si="2"/>
        <v>0</v>
      </c>
      <c r="AP21" s="507">
        <f t="shared" si="3"/>
        <v>0</v>
      </c>
    </row>
    <row r="22" spans="1:42" ht="18" customHeight="1">
      <c r="A22" s="92" t="s">
        <v>980</v>
      </c>
      <c r="B22" s="522">
        <v>2702</v>
      </c>
      <c r="C22" s="522">
        <v>1853</v>
      </c>
      <c r="D22" s="522">
        <v>2393</v>
      </c>
      <c r="E22" s="507">
        <v>1853</v>
      </c>
      <c r="F22" s="522">
        <v>101</v>
      </c>
      <c r="G22" s="522">
        <v>146</v>
      </c>
      <c r="H22" s="522">
        <v>171</v>
      </c>
      <c r="I22" s="507">
        <v>134</v>
      </c>
      <c r="J22" s="522"/>
      <c r="K22" s="522"/>
      <c r="L22" s="522"/>
      <c r="M22" s="507"/>
      <c r="N22" s="522"/>
      <c r="O22" s="522"/>
      <c r="P22" s="522"/>
      <c r="Q22" s="507"/>
      <c r="R22" s="353"/>
      <c r="S22" s="353"/>
      <c r="T22" s="353"/>
      <c r="U22" s="353"/>
      <c r="V22" s="352"/>
      <c r="W22" s="353"/>
      <c r="X22" s="353"/>
      <c r="Y22" s="353"/>
      <c r="Z22" s="352"/>
      <c r="AA22" s="353"/>
      <c r="AB22" s="466"/>
      <c r="AC22" s="522"/>
      <c r="AD22" s="522"/>
      <c r="AE22" s="522"/>
      <c r="AF22" s="507"/>
      <c r="AG22" s="522"/>
      <c r="AH22" s="522"/>
      <c r="AI22" s="522"/>
      <c r="AJ22" s="523"/>
      <c r="AK22" s="522"/>
      <c r="AL22" s="507"/>
      <c r="AM22" s="522">
        <f t="shared" si="0"/>
        <v>2803</v>
      </c>
      <c r="AN22" s="522">
        <f t="shared" si="1"/>
        <v>1999</v>
      </c>
      <c r="AO22" s="522">
        <f t="shared" si="2"/>
        <v>2564</v>
      </c>
      <c r="AP22" s="507">
        <f t="shared" si="3"/>
        <v>1987</v>
      </c>
    </row>
    <row r="23" spans="1:42" ht="18" customHeight="1">
      <c r="A23" s="92" t="s">
        <v>981</v>
      </c>
      <c r="B23" s="522"/>
      <c r="C23" s="522"/>
      <c r="D23" s="522"/>
      <c r="E23" s="507"/>
      <c r="F23" s="522"/>
      <c r="G23" s="522"/>
      <c r="H23" s="522"/>
      <c r="I23" s="507"/>
      <c r="J23" s="522"/>
      <c r="K23" s="522"/>
      <c r="L23" s="522">
        <v>59</v>
      </c>
      <c r="M23" s="507">
        <v>85</v>
      </c>
      <c r="N23" s="522">
        <v>263</v>
      </c>
      <c r="O23" s="522"/>
      <c r="P23" s="522"/>
      <c r="Q23" s="507"/>
      <c r="R23" s="353">
        <v>135</v>
      </c>
      <c r="S23" s="353"/>
      <c r="T23" s="353"/>
      <c r="U23" s="466"/>
      <c r="V23" s="522">
        <v>213</v>
      </c>
      <c r="W23" s="522">
        <v>523</v>
      </c>
      <c r="X23" s="353">
        <v>430</v>
      </c>
      <c r="Y23" s="353">
        <v>111</v>
      </c>
      <c r="Z23" s="352">
        <v>242</v>
      </c>
      <c r="AA23" s="353">
        <v>315</v>
      </c>
      <c r="AB23" s="466">
        <v>412</v>
      </c>
      <c r="AC23" s="522">
        <v>8</v>
      </c>
      <c r="AD23" s="522"/>
      <c r="AE23" s="522"/>
      <c r="AF23" s="507"/>
      <c r="AG23" s="522"/>
      <c r="AH23" s="522"/>
      <c r="AI23" s="522"/>
      <c r="AJ23" s="523"/>
      <c r="AK23" s="522"/>
      <c r="AL23" s="507"/>
      <c r="AM23" s="522">
        <f>+N23+J23+F23+B23+AC23+AG23+R23+V23</f>
        <v>619</v>
      </c>
      <c r="AN23" s="522">
        <f>+O23+K23+G23+C23+S23+AD23+AH23+W23+Z23</f>
        <v>765</v>
      </c>
      <c r="AO23" s="522">
        <f>+P23+L23+H23+D23+T23+AE23+AI23+X23+AA23</f>
        <v>804</v>
      </c>
      <c r="AP23" s="507">
        <f>+Q23+M23+I23+E23+U23+Y23+AF23+AL23+AB23</f>
        <v>608</v>
      </c>
    </row>
    <row r="24" spans="1:42" ht="18" customHeight="1">
      <c r="A24" s="92" t="s">
        <v>982</v>
      </c>
      <c r="B24" s="522">
        <v>2707</v>
      </c>
      <c r="C24" s="522">
        <v>3017</v>
      </c>
      <c r="D24" s="522">
        <v>3393</v>
      </c>
      <c r="E24" s="507">
        <v>1843</v>
      </c>
      <c r="F24" s="522">
        <v>1674</v>
      </c>
      <c r="G24" s="522">
        <v>2000</v>
      </c>
      <c r="H24" s="522">
        <v>2146</v>
      </c>
      <c r="I24" s="507">
        <v>1064</v>
      </c>
      <c r="J24" s="522"/>
      <c r="K24" s="522"/>
      <c r="L24" s="522"/>
      <c r="M24" s="507"/>
      <c r="N24" s="522"/>
      <c r="O24" s="522"/>
      <c r="P24" s="522"/>
      <c r="Q24" s="507"/>
      <c r="R24" s="353"/>
      <c r="S24" s="353"/>
      <c r="T24" s="353"/>
      <c r="U24" s="466"/>
      <c r="V24" s="353"/>
      <c r="W24" s="353"/>
      <c r="X24" s="353"/>
      <c r="Y24" s="353"/>
      <c r="Z24" s="352"/>
      <c r="AA24" s="353"/>
      <c r="AB24" s="466"/>
      <c r="AC24" s="522"/>
      <c r="AD24" s="522"/>
      <c r="AE24" s="522"/>
      <c r="AF24" s="507"/>
      <c r="AG24" s="522"/>
      <c r="AH24" s="522"/>
      <c r="AI24" s="522"/>
      <c r="AJ24" s="523"/>
      <c r="AK24" s="522"/>
      <c r="AL24" s="507"/>
      <c r="AM24" s="522">
        <f t="shared" ref="AM24:AM35" si="4">+N24+J24+F24+B24+AC24+AG24</f>
        <v>4381</v>
      </c>
      <c r="AN24" s="522">
        <f t="shared" ref="AN24:AN35" si="5">+O24+K24+G24+C24+AD24+AH24</f>
        <v>5017</v>
      </c>
      <c r="AO24" s="522">
        <f t="shared" ref="AO24:AO35" si="6">+P24+L24+H24+D24+AE24+AI24</f>
        <v>5539</v>
      </c>
      <c r="AP24" s="507">
        <f t="shared" ref="AP24:AP37" si="7">+Q24+M24+I24+E24+AF24+AL24</f>
        <v>2907</v>
      </c>
    </row>
    <row r="25" spans="1:42" ht="18" customHeight="1">
      <c r="A25" s="92" t="s">
        <v>983</v>
      </c>
      <c r="B25" s="522"/>
      <c r="C25" s="522"/>
      <c r="D25" s="522"/>
      <c r="E25" s="507"/>
      <c r="F25" s="522">
        <v>380</v>
      </c>
      <c r="G25" s="522"/>
      <c r="H25" s="522"/>
      <c r="I25" s="507"/>
      <c r="J25" s="522"/>
      <c r="K25" s="522"/>
      <c r="L25" s="522"/>
      <c r="M25" s="507"/>
      <c r="N25" s="522"/>
      <c r="O25" s="522"/>
      <c r="P25" s="522"/>
      <c r="Q25" s="507"/>
      <c r="R25" s="353"/>
      <c r="S25" s="353"/>
      <c r="T25" s="353"/>
      <c r="U25" s="466"/>
      <c r="V25" s="353"/>
      <c r="W25" s="353"/>
      <c r="X25" s="353"/>
      <c r="Y25" s="353"/>
      <c r="Z25" s="352"/>
      <c r="AA25" s="353"/>
      <c r="AB25" s="466"/>
      <c r="AC25" s="522"/>
      <c r="AD25" s="522"/>
      <c r="AE25" s="522"/>
      <c r="AF25" s="507"/>
      <c r="AG25" s="522"/>
      <c r="AH25" s="522"/>
      <c r="AI25" s="522"/>
      <c r="AJ25" s="523"/>
      <c r="AK25" s="522"/>
      <c r="AL25" s="507"/>
      <c r="AM25" s="522">
        <f t="shared" si="4"/>
        <v>380</v>
      </c>
      <c r="AN25" s="522">
        <f t="shared" si="5"/>
        <v>0</v>
      </c>
      <c r="AO25" s="522">
        <f t="shared" si="6"/>
        <v>0</v>
      </c>
      <c r="AP25" s="507">
        <f t="shared" si="7"/>
        <v>0</v>
      </c>
    </row>
    <row r="26" spans="1:42" ht="18" customHeight="1">
      <c r="A26" s="961" t="s">
        <v>1450</v>
      </c>
      <c r="B26" s="522">
        <v>23</v>
      </c>
      <c r="C26" s="522">
        <v>63</v>
      </c>
      <c r="D26" s="522">
        <v>64</v>
      </c>
      <c r="E26" s="507">
        <v>32</v>
      </c>
      <c r="F26" s="522"/>
      <c r="G26" s="522"/>
      <c r="H26" s="522"/>
      <c r="I26" s="507"/>
      <c r="J26" s="522"/>
      <c r="K26" s="522"/>
      <c r="L26" s="522"/>
      <c r="M26" s="507"/>
      <c r="N26" s="522"/>
      <c r="O26" s="522"/>
      <c r="P26" s="522"/>
      <c r="Q26" s="507"/>
      <c r="R26" s="353"/>
      <c r="S26" s="353"/>
      <c r="T26" s="353"/>
      <c r="U26" s="466"/>
      <c r="V26" s="353"/>
      <c r="W26" s="353"/>
      <c r="X26" s="353"/>
      <c r="Y26" s="353"/>
      <c r="Z26" s="352"/>
      <c r="AA26" s="353"/>
      <c r="AB26" s="466"/>
      <c r="AC26" s="522"/>
      <c r="AD26" s="522"/>
      <c r="AE26" s="522"/>
      <c r="AF26" s="507"/>
      <c r="AG26" s="522"/>
      <c r="AH26" s="522"/>
      <c r="AI26" s="522"/>
      <c r="AJ26" s="523"/>
      <c r="AK26" s="522"/>
      <c r="AL26" s="507"/>
      <c r="AM26" s="522">
        <f t="shared" si="4"/>
        <v>23</v>
      </c>
      <c r="AN26" s="522">
        <f t="shared" si="5"/>
        <v>63</v>
      </c>
      <c r="AO26" s="522">
        <f t="shared" si="6"/>
        <v>64</v>
      </c>
      <c r="AP26" s="507">
        <f t="shared" si="7"/>
        <v>32</v>
      </c>
    </row>
    <row r="27" spans="1:42" ht="18" customHeight="1">
      <c r="A27" s="92" t="s">
        <v>984</v>
      </c>
      <c r="B27" s="522"/>
      <c r="C27" s="522"/>
      <c r="D27" s="522"/>
      <c r="E27" s="507"/>
      <c r="F27" s="522">
        <v>202</v>
      </c>
      <c r="G27" s="522">
        <v>125</v>
      </c>
      <c r="H27" s="522">
        <v>209</v>
      </c>
      <c r="I27" s="507">
        <v>149</v>
      </c>
      <c r="J27" s="522"/>
      <c r="K27" s="522"/>
      <c r="L27" s="522"/>
      <c r="M27" s="507"/>
      <c r="N27" s="522"/>
      <c r="O27" s="522"/>
      <c r="P27" s="522"/>
      <c r="Q27" s="507"/>
      <c r="R27" s="353"/>
      <c r="S27" s="353"/>
      <c r="T27" s="353"/>
      <c r="U27" s="466"/>
      <c r="V27" s="353"/>
      <c r="W27" s="353"/>
      <c r="X27" s="353"/>
      <c r="Y27" s="353"/>
      <c r="Z27" s="352"/>
      <c r="AA27" s="353"/>
      <c r="AB27" s="466"/>
      <c r="AC27" s="522"/>
      <c r="AD27" s="522"/>
      <c r="AE27" s="522"/>
      <c r="AF27" s="507"/>
      <c r="AG27" s="522"/>
      <c r="AH27" s="522"/>
      <c r="AI27" s="522"/>
      <c r="AJ27" s="523"/>
      <c r="AK27" s="522"/>
      <c r="AL27" s="507"/>
      <c r="AM27" s="522">
        <f t="shared" si="4"/>
        <v>202</v>
      </c>
      <c r="AN27" s="522">
        <f t="shared" si="5"/>
        <v>125</v>
      </c>
      <c r="AO27" s="522">
        <f t="shared" si="6"/>
        <v>209</v>
      </c>
      <c r="AP27" s="507">
        <f t="shared" si="7"/>
        <v>149</v>
      </c>
    </row>
    <row r="28" spans="1:42" ht="18" customHeight="1">
      <c r="A28" s="92" t="s">
        <v>1449</v>
      </c>
      <c r="B28" s="522">
        <v>1</v>
      </c>
      <c r="C28" s="522"/>
      <c r="D28" s="522"/>
      <c r="E28" s="507"/>
      <c r="F28" s="522">
        <v>211</v>
      </c>
      <c r="G28" s="522">
        <v>215</v>
      </c>
      <c r="H28" s="522">
        <v>278</v>
      </c>
      <c r="I28" s="507">
        <v>78</v>
      </c>
      <c r="J28" s="522"/>
      <c r="K28" s="522"/>
      <c r="L28" s="522"/>
      <c r="M28" s="507"/>
      <c r="N28" s="522"/>
      <c r="O28" s="522"/>
      <c r="P28" s="522"/>
      <c r="Q28" s="507"/>
      <c r="R28" s="353"/>
      <c r="S28" s="353"/>
      <c r="T28" s="353"/>
      <c r="U28" s="466"/>
      <c r="V28" s="353"/>
      <c r="W28" s="353"/>
      <c r="X28" s="353"/>
      <c r="Y28" s="353"/>
      <c r="Z28" s="352"/>
      <c r="AA28" s="353"/>
      <c r="AB28" s="466"/>
      <c r="AC28" s="522"/>
      <c r="AD28" s="522"/>
      <c r="AE28" s="522"/>
      <c r="AF28" s="507"/>
      <c r="AG28" s="522"/>
      <c r="AH28" s="522"/>
      <c r="AI28" s="522"/>
      <c r="AJ28" s="523"/>
      <c r="AK28" s="522"/>
      <c r="AL28" s="507"/>
      <c r="AM28" s="522">
        <f t="shared" si="4"/>
        <v>212</v>
      </c>
      <c r="AN28" s="522">
        <f t="shared" si="5"/>
        <v>215</v>
      </c>
      <c r="AO28" s="522">
        <f t="shared" si="6"/>
        <v>278</v>
      </c>
      <c r="AP28" s="507">
        <f t="shared" si="7"/>
        <v>78</v>
      </c>
    </row>
    <row r="29" spans="1:42" ht="18" customHeight="1">
      <c r="A29" s="92" t="s">
        <v>985</v>
      </c>
      <c r="B29" s="522">
        <v>932</v>
      </c>
      <c r="C29" s="522">
        <v>1115</v>
      </c>
      <c r="D29" s="522">
        <v>1144</v>
      </c>
      <c r="E29" s="507">
        <v>580</v>
      </c>
      <c r="F29" s="522"/>
      <c r="G29" s="522"/>
      <c r="H29" s="522"/>
      <c r="I29" s="507"/>
      <c r="J29" s="522"/>
      <c r="K29" s="522"/>
      <c r="L29" s="522"/>
      <c r="M29" s="507"/>
      <c r="N29" s="522"/>
      <c r="O29" s="522"/>
      <c r="P29" s="522"/>
      <c r="Q29" s="507"/>
      <c r="R29" s="353"/>
      <c r="S29" s="353"/>
      <c r="T29" s="353"/>
      <c r="U29" s="466"/>
      <c r="V29" s="353"/>
      <c r="W29" s="353"/>
      <c r="X29" s="353"/>
      <c r="Y29" s="353"/>
      <c r="Z29" s="352"/>
      <c r="AA29" s="353"/>
      <c r="AB29" s="466"/>
      <c r="AC29" s="522"/>
      <c r="AD29" s="522"/>
      <c r="AE29" s="522"/>
      <c r="AF29" s="507"/>
      <c r="AG29" s="522"/>
      <c r="AH29" s="522"/>
      <c r="AI29" s="522"/>
      <c r="AJ29" s="523"/>
      <c r="AK29" s="522"/>
      <c r="AL29" s="507"/>
      <c r="AM29" s="522">
        <f t="shared" si="4"/>
        <v>932</v>
      </c>
      <c r="AN29" s="522">
        <f t="shared" si="5"/>
        <v>1115</v>
      </c>
      <c r="AO29" s="522">
        <f t="shared" si="6"/>
        <v>1144</v>
      </c>
      <c r="AP29" s="507">
        <f t="shared" si="7"/>
        <v>580</v>
      </c>
    </row>
    <row r="30" spans="1:42" ht="18" customHeight="1">
      <c r="A30" s="92" t="s">
        <v>986</v>
      </c>
      <c r="B30" s="522">
        <v>1</v>
      </c>
      <c r="C30" s="522"/>
      <c r="D30" s="522"/>
      <c r="E30" s="507"/>
      <c r="F30" s="522">
        <v>3</v>
      </c>
      <c r="G30" s="522">
        <v>3</v>
      </c>
      <c r="H30" s="522">
        <v>5</v>
      </c>
      <c r="I30" s="507">
        <v>1</v>
      </c>
      <c r="J30" s="522"/>
      <c r="K30" s="522"/>
      <c r="L30" s="522"/>
      <c r="M30" s="507"/>
      <c r="N30" s="522"/>
      <c r="O30" s="522"/>
      <c r="P30" s="522"/>
      <c r="Q30" s="507"/>
      <c r="R30" s="353"/>
      <c r="S30" s="353"/>
      <c r="T30" s="353"/>
      <c r="U30" s="466"/>
      <c r="V30" s="353"/>
      <c r="W30" s="353"/>
      <c r="X30" s="353"/>
      <c r="Y30" s="353"/>
      <c r="Z30" s="352"/>
      <c r="AA30" s="353"/>
      <c r="AB30" s="466"/>
      <c r="AC30" s="522"/>
      <c r="AD30" s="522"/>
      <c r="AE30" s="522"/>
      <c r="AF30" s="507"/>
      <c r="AG30" s="522"/>
      <c r="AH30" s="522"/>
      <c r="AI30" s="522"/>
      <c r="AJ30" s="523"/>
      <c r="AK30" s="522"/>
      <c r="AL30" s="507"/>
      <c r="AM30" s="522">
        <f t="shared" si="4"/>
        <v>4</v>
      </c>
      <c r="AN30" s="522">
        <f t="shared" si="5"/>
        <v>3</v>
      </c>
      <c r="AO30" s="522">
        <f t="shared" si="6"/>
        <v>5</v>
      </c>
      <c r="AP30" s="507">
        <f t="shared" si="7"/>
        <v>1</v>
      </c>
    </row>
    <row r="31" spans="1:42" ht="18" customHeight="1">
      <c r="A31" s="92" t="s">
        <v>987</v>
      </c>
      <c r="B31" s="522">
        <v>514</v>
      </c>
      <c r="C31" s="522">
        <v>426</v>
      </c>
      <c r="D31" s="522">
        <v>517</v>
      </c>
      <c r="E31" s="507">
        <v>265</v>
      </c>
      <c r="F31" s="522">
        <v>115</v>
      </c>
      <c r="G31" s="522">
        <v>567</v>
      </c>
      <c r="H31" s="522">
        <v>501</v>
      </c>
      <c r="I31" s="507">
        <v>174</v>
      </c>
      <c r="J31" s="522"/>
      <c r="K31" s="522"/>
      <c r="L31" s="522"/>
      <c r="M31" s="507"/>
      <c r="N31" s="522"/>
      <c r="O31" s="522"/>
      <c r="P31" s="522"/>
      <c r="Q31" s="507"/>
      <c r="R31" s="353"/>
      <c r="S31" s="353"/>
      <c r="T31" s="353"/>
      <c r="U31" s="466"/>
      <c r="V31" s="353"/>
      <c r="W31" s="353"/>
      <c r="X31" s="353"/>
      <c r="Y31" s="353"/>
      <c r="Z31" s="352"/>
      <c r="AA31" s="353"/>
      <c r="AB31" s="466"/>
      <c r="AC31" s="522"/>
      <c r="AD31" s="522"/>
      <c r="AE31" s="522"/>
      <c r="AF31" s="507"/>
      <c r="AG31" s="522"/>
      <c r="AH31" s="522"/>
      <c r="AI31" s="522"/>
      <c r="AJ31" s="523"/>
      <c r="AK31" s="522"/>
      <c r="AL31" s="507"/>
      <c r="AM31" s="522">
        <f t="shared" si="4"/>
        <v>629</v>
      </c>
      <c r="AN31" s="522">
        <f t="shared" si="5"/>
        <v>993</v>
      </c>
      <c r="AO31" s="522">
        <f t="shared" si="6"/>
        <v>1018</v>
      </c>
      <c r="AP31" s="507">
        <f t="shared" si="7"/>
        <v>439</v>
      </c>
    </row>
    <row r="32" spans="1:42" ht="18" customHeight="1">
      <c r="A32" s="92" t="s">
        <v>988</v>
      </c>
      <c r="B32" s="522">
        <v>6353</v>
      </c>
      <c r="C32" s="522">
        <v>4030</v>
      </c>
      <c r="D32" s="522">
        <v>4129</v>
      </c>
      <c r="E32" s="507">
        <v>1893</v>
      </c>
      <c r="F32" s="522"/>
      <c r="G32" s="522"/>
      <c r="H32" s="522"/>
      <c r="I32" s="507"/>
      <c r="J32" s="522"/>
      <c r="K32" s="522"/>
      <c r="L32" s="522"/>
      <c r="M32" s="507"/>
      <c r="N32" s="522"/>
      <c r="O32" s="522"/>
      <c r="P32" s="522"/>
      <c r="Q32" s="507"/>
      <c r="R32" s="353"/>
      <c r="S32" s="353"/>
      <c r="T32" s="353"/>
      <c r="U32" s="466"/>
      <c r="V32" s="353"/>
      <c r="W32" s="353"/>
      <c r="X32" s="353"/>
      <c r="Y32" s="353"/>
      <c r="Z32" s="352"/>
      <c r="AA32" s="353"/>
      <c r="AB32" s="466"/>
      <c r="AC32" s="522"/>
      <c r="AD32" s="522"/>
      <c r="AE32" s="522"/>
      <c r="AF32" s="507"/>
      <c r="AG32" s="522"/>
      <c r="AH32" s="522"/>
      <c r="AI32" s="522"/>
      <c r="AJ32" s="523"/>
      <c r="AK32" s="522"/>
      <c r="AL32" s="507"/>
      <c r="AM32" s="522">
        <f t="shared" si="4"/>
        <v>6353</v>
      </c>
      <c r="AN32" s="522">
        <f t="shared" si="5"/>
        <v>4030</v>
      </c>
      <c r="AO32" s="522">
        <f t="shared" si="6"/>
        <v>4129</v>
      </c>
      <c r="AP32" s="507">
        <f t="shared" si="7"/>
        <v>1893</v>
      </c>
    </row>
    <row r="33" spans="1:42" ht="18" customHeight="1">
      <c r="A33" s="92" t="s">
        <v>989</v>
      </c>
      <c r="B33" s="522">
        <v>1919</v>
      </c>
      <c r="C33" s="522">
        <v>1244</v>
      </c>
      <c r="D33" s="522">
        <v>2258</v>
      </c>
      <c r="E33" s="507">
        <v>971</v>
      </c>
      <c r="F33" s="522"/>
      <c r="G33" s="522"/>
      <c r="H33" s="522"/>
      <c r="I33" s="507"/>
      <c r="J33" s="522"/>
      <c r="K33" s="522"/>
      <c r="L33" s="522"/>
      <c r="M33" s="507"/>
      <c r="N33" s="522"/>
      <c r="O33" s="522"/>
      <c r="P33" s="522"/>
      <c r="Q33" s="507"/>
      <c r="R33" s="353"/>
      <c r="S33" s="353"/>
      <c r="T33" s="353"/>
      <c r="U33" s="466"/>
      <c r="V33" s="353"/>
      <c r="W33" s="353"/>
      <c r="X33" s="353"/>
      <c r="Y33" s="353"/>
      <c r="Z33" s="352"/>
      <c r="AA33" s="353"/>
      <c r="AB33" s="466"/>
      <c r="AC33" s="522"/>
      <c r="AD33" s="522"/>
      <c r="AE33" s="522"/>
      <c r="AF33" s="507"/>
      <c r="AG33" s="522"/>
      <c r="AH33" s="522"/>
      <c r="AI33" s="522"/>
      <c r="AJ33" s="523"/>
      <c r="AK33" s="522"/>
      <c r="AL33" s="507"/>
      <c r="AM33" s="522">
        <f t="shared" si="4"/>
        <v>1919</v>
      </c>
      <c r="AN33" s="522">
        <f t="shared" si="5"/>
        <v>1244</v>
      </c>
      <c r="AO33" s="522">
        <f t="shared" si="6"/>
        <v>2258</v>
      </c>
      <c r="AP33" s="507">
        <f t="shared" si="7"/>
        <v>971</v>
      </c>
    </row>
    <row r="34" spans="1:42" ht="18" customHeight="1">
      <c r="A34" s="92" t="s">
        <v>990</v>
      </c>
      <c r="B34" s="522"/>
      <c r="C34" s="522"/>
      <c r="D34" s="522"/>
      <c r="E34" s="507"/>
      <c r="F34" s="522">
        <v>4053</v>
      </c>
      <c r="G34" s="522">
        <v>4684</v>
      </c>
      <c r="H34" s="522">
        <v>4844</v>
      </c>
      <c r="I34" s="507">
        <v>1888</v>
      </c>
      <c r="J34" s="522"/>
      <c r="K34" s="522"/>
      <c r="L34" s="522"/>
      <c r="M34" s="507"/>
      <c r="N34" s="522"/>
      <c r="O34" s="522"/>
      <c r="P34" s="522"/>
      <c r="Q34" s="507"/>
      <c r="R34" s="353"/>
      <c r="S34" s="353"/>
      <c r="T34" s="353"/>
      <c r="U34" s="466"/>
      <c r="V34" s="353"/>
      <c r="W34" s="353"/>
      <c r="X34" s="353"/>
      <c r="Y34" s="353"/>
      <c r="Z34" s="352"/>
      <c r="AA34" s="353"/>
      <c r="AB34" s="466"/>
      <c r="AC34" s="522"/>
      <c r="AD34" s="522"/>
      <c r="AE34" s="522"/>
      <c r="AF34" s="507"/>
      <c r="AG34" s="522"/>
      <c r="AH34" s="522"/>
      <c r="AI34" s="522"/>
      <c r="AJ34" s="523"/>
      <c r="AK34" s="522"/>
      <c r="AL34" s="507"/>
      <c r="AM34" s="522">
        <f t="shared" si="4"/>
        <v>4053</v>
      </c>
      <c r="AN34" s="522">
        <f t="shared" si="5"/>
        <v>4684</v>
      </c>
      <c r="AO34" s="522">
        <f t="shared" si="6"/>
        <v>4844</v>
      </c>
      <c r="AP34" s="507">
        <f t="shared" si="7"/>
        <v>1888</v>
      </c>
    </row>
    <row r="35" spans="1:42" ht="18" customHeight="1">
      <c r="A35" s="92" t="s">
        <v>991</v>
      </c>
      <c r="B35" s="522"/>
      <c r="C35" s="522"/>
      <c r="D35" s="522"/>
      <c r="E35" s="507"/>
      <c r="F35" s="522">
        <v>2804</v>
      </c>
      <c r="G35" s="522">
        <v>2282</v>
      </c>
      <c r="H35" s="522">
        <v>2315</v>
      </c>
      <c r="I35" s="507">
        <v>1188</v>
      </c>
      <c r="J35" s="522"/>
      <c r="K35" s="522"/>
      <c r="L35" s="522"/>
      <c r="M35" s="507"/>
      <c r="N35" s="522"/>
      <c r="O35" s="522"/>
      <c r="P35" s="522"/>
      <c r="Q35" s="507"/>
      <c r="R35" s="353"/>
      <c r="S35" s="353"/>
      <c r="T35" s="353"/>
      <c r="U35" s="466"/>
      <c r="V35" s="353"/>
      <c r="W35" s="353"/>
      <c r="X35" s="353"/>
      <c r="Y35" s="353"/>
      <c r="Z35" s="352"/>
      <c r="AA35" s="353"/>
      <c r="AB35" s="466"/>
      <c r="AC35" s="522"/>
      <c r="AD35" s="522"/>
      <c r="AE35" s="522"/>
      <c r="AF35" s="507"/>
      <c r="AG35" s="522"/>
      <c r="AH35" s="522"/>
      <c r="AI35" s="522"/>
      <c r="AJ35" s="523"/>
      <c r="AK35" s="522"/>
      <c r="AL35" s="507"/>
      <c r="AM35" s="522">
        <f t="shared" si="4"/>
        <v>2804</v>
      </c>
      <c r="AN35" s="522">
        <f t="shared" si="5"/>
        <v>2282</v>
      </c>
      <c r="AO35" s="522">
        <f t="shared" si="6"/>
        <v>2315</v>
      </c>
      <c r="AP35" s="507">
        <f t="shared" si="7"/>
        <v>1188</v>
      </c>
    </row>
    <row r="36" spans="1:42" ht="18" customHeight="1">
      <c r="A36" s="92" t="s">
        <v>1574</v>
      </c>
      <c r="B36" s="522"/>
      <c r="C36" s="522"/>
      <c r="D36" s="522"/>
      <c r="E36" s="507"/>
      <c r="F36" s="522"/>
      <c r="G36" s="522"/>
      <c r="H36" s="522"/>
      <c r="I36" s="507"/>
      <c r="J36" s="522"/>
      <c r="K36" s="522"/>
      <c r="L36" s="522"/>
      <c r="M36" s="507"/>
      <c r="N36" s="522"/>
      <c r="O36" s="522"/>
      <c r="P36" s="522"/>
      <c r="Q36" s="507"/>
      <c r="R36" s="353"/>
      <c r="S36" s="353"/>
      <c r="T36" s="353"/>
      <c r="U36" s="466"/>
      <c r="V36" s="353"/>
      <c r="W36" s="353"/>
      <c r="X36" s="353"/>
      <c r="Y36" s="353"/>
      <c r="Z36" s="352"/>
      <c r="AA36" s="353"/>
      <c r="AB36" s="466"/>
      <c r="AC36" s="522"/>
      <c r="AD36" s="522"/>
      <c r="AE36" s="522"/>
      <c r="AF36" s="507"/>
      <c r="AG36" s="522"/>
      <c r="AH36" s="522"/>
      <c r="AI36" s="522"/>
      <c r="AJ36" s="523">
        <v>6</v>
      </c>
      <c r="AK36" s="522">
        <v>4</v>
      </c>
      <c r="AL36" s="507"/>
      <c r="AM36" s="522">
        <f>+N36+J36+F36+B36+AC36+AG36</f>
        <v>0</v>
      </c>
      <c r="AN36" s="522">
        <f>+O36+K36+G36+C36+AD36+AH36+AJ36</f>
        <v>6</v>
      </c>
      <c r="AO36" s="522">
        <f>+P36+L36+H36+D36+AE36+AI36+AK36</f>
        <v>4</v>
      </c>
      <c r="AP36" s="507">
        <f t="shared" si="7"/>
        <v>0</v>
      </c>
    </row>
    <row r="37" spans="1:42" ht="18" customHeight="1">
      <c r="A37" s="92" t="s">
        <v>992</v>
      </c>
      <c r="B37" s="522">
        <v>429</v>
      </c>
      <c r="C37" s="522">
        <v>460</v>
      </c>
      <c r="D37" s="522">
        <v>539</v>
      </c>
      <c r="E37" s="507">
        <v>330</v>
      </c>
      <c r="F37" s="522"/>
      <c r="G37" s="522"/>
      <c r="H37" s="522"/>
      <c r="I37" s="507"/>
      <c r="J37" s="522"/>
      <c r="K37" s="522"/>
      <c r="L37" s="522"/>
      <c r="M37" s="507"/>
      <c r="N37" s="522"/>
      <c r="O37" s="522"/>
      <c r="P37" s="522"/>
      <c r="Q37" s="507"/>
      <c r="R37" s="353"/>
      <c r="S37" s="353"/>
      <c r="T37" s="353"/>
      <c r="U37" s="466"/>
      <c r="V37" s="353"/>
      <c r="W37" s="353"/>
      <c r="X37" s="353"/>
      <c r="Y37" s="353"/>
      <c r="Z37" s="352"/>
      <c r="AA37" s="353"/>
      <c r="AB37" s="466"/>
      <c r="AC37" s="522"/>
      <c r="AD37" s="522"/>
      <c r="AE37" s="522"/>
      <c r="AF37" s="507"/>
      <c r="AG37" s="522"/>
      <c r="AH37" s="522"/>
      <c r="AI37" s="522"/>
      <c r="AJ37" s="523"/>
      <c r="AK37" s="522"/>
      <c r="AL37" s="507"/>
      <c r="AM37" s="522">
        <f>+N37+J37+F37+B37+AC37+AG37</f>
        <v>429</v>
      </c>
      <c r="AN37" s="522">
        <f>+O37+K37+G37+C37+AD37+AH37</f>
        <v>460</v>
      </c>
      <c r="AO37" s="522">
        <f>+P37+L37+H37+D37+AE37+AI37</f>
        <v>539</v>
      </c>
      <c r="AP37" s="507">
        <f t="shared" si="7"/>
        <v>330</v>
      </c>
    </row>
    <row r="38" spans="1:42" ht="18" customHeight="1">
      <c r="A38" s="14" t="s">
        <v>832</v>
      </c>
      <c r="B38" s="525">
        <v>25522</v>
      </c>
      <c r="C38" s="525">
        <v>20974</v>
      </c>
      <c r="D38" s="525">
        <f>SUM(D9:D37)</f>
        <v>23672</v>
      </c>
      <c r="E38" s="526">
        <f>SUM(E9:E37)</f>
        <v>11391</v>
      </c>
      <c r="F38" s="525">
        <v>17807</v>
      </c>
      <c r="G38" s="525">
        <v>17898</v>
      </c>
      <c r="H38" s="525">
        <f t="shared" ref="H38" si="8">SUM(H9:H37)</f>
        <v>19636</v>
      </c>
      <c r="I38" s="526">
        <f t="shared" ref="I38:AP38" si="9">SUM(I9:I37)</f>
        <v>9233</v>
      </c>
      <c r="J38" s="525">
        <f t="shared" si="9"/>
        <v>0</v>
      </c>
      <c r="K38" s="525">
        <f t="shared" si="9"/>
        <v>0</v>
      </c>
      <c r="L38" s="525">
        <f t="shared" si="9"/>
        <v>59</v>
      </c>
      <c r="M38" s="526">
        <f t="shared" si="9"/>
        <v>85</v>
      </c>
      <c r="N38" s="357">
        <v>263</v>
      </c>
      <c r="O38" s="357">
        <v>0</v>
      </c>
      <c r="P38" s="522">
        <f t="shared" ref="P38" si="10">SUM(P9:P37)</f>
        <v>0</v>
      </c>
      <c r="Q38" s="526">
        <f t="shared" si="9"/>
        <v>0</v>
      </c>
      <c r="R38" s="357">
        <v>135</v>
      </c>
      <c r="S38" s="357">
        <v>0</v>
      </c>
      <c r="T38" s="525">
        <f t="shared" ref="T38" si="11">SUM(T9:T37)</f>
        <v>0</v>
      </c>
      <c r="U38" s="526">
        <f t="shared" si="9"/>
        <v>0</v>
      </c>
      <c r="V38" s="525">
        <v>213</v>
      </c>
      <c r="W38" s="525">
        <v>523</v>
      </c>
      <c r="X38" s="357">
        <f>SUM(X12:X37)</f>
        <v>430</v>
      </c>
      <c r="Y38" s="357">
        <f>SUM(Y12:Y37)</f>
        <v>111</v>
      </c>
      <c r="Z38" s="356">
        <v>242</v>
      </c>
      <c r="AA38" s="357">
        <f>SUM(AA9:AA37)</f>
        <v>315</v>
      </c>
      <c r="AB38" s="509">
        <f>SUM(AB9:AB37)</f>
        <v>412</v>
      </c>
      <c r="AC38" s="525">
        <f t="shared" si="9"/>
        <v>8</v>
      </c>
      <c r="AD38" s="525">
        <v>0</v>
      </c>
      <c r="AE38" s="525">
        <f t="shared" si="9"/>
        <v>0</v>
      </c>
      <c r="AF38" s="526">
        <f t="shared" si="9"/>
        <v>0</v>
      </c>
      <c r="AG38" s="525">
        <f t="shared" si="9"/>
        <v>0</v>
      </c>
      <c r="AH38" s="525">
        <f t="shared" si="9"/>
        <v>0</v>
      </c>
      <c r="AI38" s="525">
        <f t="shared" si="9"/>
        <v>0</v>
      </c>
      <c r="AJ38" s="527">
        <v>0</v>
      </c>
      <c r="AK38" s="525">
        <v>6</v>
      </c>
      <c r="AL38" s="526">
        <f t="shared" si="9"/>
        <v>0</v>
      </c>
      <c r="AM38" s="525">
        <f t="shared" si="9"/>
        <v>43948</v>
      </c>
      <c r="AN38" s="525">
        <f t="shared" si="9"/>
        <v>39643</v>
      </c>
      <c r="AO38" s="525">
        <f t="shared" si="9"/>
        <v>44116</v>
      </c>
      <c r="AP38" s="526">
        <f t="shared" si="9"/>
        <v>21232</v>
      </c>
    </row>
    <row r="39" spans="1:42" ht="18" customHeight="1">
      <c r="A39" s="8"/>
      <c r="B39" s="528"/>
      <c r="C39" s="528"/>
      <c r="D39" s="522"/>
      <c r="E39" s="528"/>
      <c r="F39" s="528"/>
      <c r="G39" s="528"/>
      <c r="H39" s="528"/>
      <c r="I39" s="528"/>
      <c r="J39" s="528"/>
      <c r="K39" s="528"/>
      <c r="L39" s="528"/>
      <c r="M39" s="528"/>
      <c r="N39" s="528"/>
      <c r="O39" s="528"/>
      <c r="P39" s="528"/>
      <c r="Q39" s="528"/>
      <c r="R39" s="528"/>
      <c r="S39" s="528"/>
      <c r="T39" s="528"/>
      <c r="U39" s="528"/>
      <c r="V39" s="528"/>
      <c r="W39" s="528"/>
      <c r="X39" s="528"/>
      <c r="Y39" s="528"/>
      <c r="Z39" s="522"/>
      <c r="AA39" s="522"/>
      <c r="AB39" s="522"/>
      <c r="AC39" s="528"/>
      <c r="AD39" s="528"/>
      <c r="AE39" s="528"/>
      <c r="AF39" s="528"/>
      <c r="AG39" s="528"/>
      <c r="AH39" s="528"/>
      <c r="AI39" s="528"/>
      <c r="AJ39" s="522"/>
      <c r="AK39" s="522"/>
      <c r="AL39" s="522"/>
      <c r="AM39" s="528"/>
      <c r="AN39" s="528"/>
      <c r="AO39" s="528"/>
      <c r="AP39" s="528"/>
    </row>
    <row r="40" spans="1:42" ht="18" customHeight="1">
      <c r="A40" s="485" t="s">
        <v>993</v>
      </c>
      <c r="B40" s="528"/>
      <c r="C40" s="528"/>
      <c r="D40" s="525"/>
      <c r="E40" s="528"/>
      <c r="F40" s="528"/>
      <c r="G40" s="528"/>
      <c r="H40" s="528"/>
      <c r="I40" s="528"/>
      <c r="J40" s="528"/>
      <c r="K40" s="528"/>
      <c r="L40" s="528"/>
      <c r="M40" s="528"/>
      <c r="N40" s="528"/>
      <c r="O40" s="528"/>
      <c r="P40" s="528"/>
      <c r="Q40" s="528"/>
      <c r="R40" s="528"/>
      <c r="S40" s="528"/>
      <c r="T40" s="528"/>
      <c r="U40" s="528"/>
      <c r="V40" s="528"/>
      <c r="W40" s="528"/>
      <c r="X40" s="528"/>
      <c r="Y40" s="528"/>
      <c r="Z40" s="522"/>
      <c r="AA40" s="522"/>
      <c r="AB40" s="522"/>
      <c r="AC40" s="528"/>
      <c r="AD40" s="528"/>
      <c r="AE40" s="528"/>
      <c r="AF40" s="528"/>
      <c r="AG40" s="528"/>
      <c r="AH40" s="528"/>
      <c r="AI40" s="528"/>
      <c r="AJ40" s="522"/>
      <c r="AK40" s="522"/>
      <c r="AL40" s="522"/>
      <c r="AM40" s="528"/>
      <c r="AN40" s="528"/>
      <c r="AO40" s="528"/>
      <c r="AP40" s="528"/>
    </row>
    <row r="41" spans="1:42" ht="18" customHeight="1">
      <c r="A41" s="332" t="s">
        <v>994</v>
      </c>
      <c r="B41" s="530">
        <v>1034</v>
      </c>
      <c r="C41" s="530">
        <v>2089</v>
      </c>
      <c r="D41" s="522">
        <v>2350</v>
      </c>
      <c r="E41" s="531">
        <v>2033</v>
      </c>
      <c r="F41" s="530">
        <v>2587</v>
      </c>
      <c r="G41" s="530">
        <v>1013</v>
      </c>
      <c r="H41" s="530">
        <v>1301</v>
      </c>
      <c r="I41" s="530">
        <v>1449</v>
      </c>
      <c r="J41" s="529"/>
      <c r="K41" s="530"/>
      <c r="L41" s="530"/>
      <c r="M41" s="531"/>
      <c r="N41" s="530"/>
      <c r="O41" s="530"/>
      <c r="P41" s="530"/>
      <c r="Q41" s="530"/>
      <c r="R41" s="530"/>
      <c r="S41" s="530"/>
      <c r="T41" s="522"/>
      <c r="U41" s="531"/>
      <c r="V41" s="530"/>
      <c r="W41" s="530"/>
      <c r="X41" s="530"/>
      <c r="Y41" s="530"/>
      <c r="Z41" s="529">
        <v>281</v>
      </c>
      <c r="AA41" s="530"/>
      <c r="AB41" s="531"/>
      <c r="AC41" s="530"/>
      <c r="AD41" s="530"/>
      <c r="AE41" s="530"/>
      <c r="AF41" s="531"/>
      <c r="AG41" s="530"/>
      <c r="AH41" s="530"/>
      <c r="AI41" s="530"/>
      <c r="AJ41" s="529"/>
      <c r="AK41" s="530"/>
      <c r="AL41" s="531"/>
      <c r="AM41" s="530">
        <f t="shared" ref="AM41:AO42" si="12">+N41+J41+F41+B41</f>
        <v>3621</v>
      </c>
      <c r="AN41" s="530">
        <f t="shared" si="12"/>
        <v>3102</v>
      </c>
      <c r="AO41" s="530">
        <f t="shared" si="12"/>
        <v>3651</v>
      </c>
      <c r="AP41" s="531">
        <f>+Q41+M41+I41+E41+AB41</f>
        <v>3482</v>
      </c>
    </row>
    <row r="42" spans="1:42" ht="18" customHeight="1">
      <c r="A42" s="92" t="s">
        <v>995</v>
      </c>
      <c r="B42" s="522"/>
      <c r="C42" s="522"/>
      <c r="D42" s="522">
        <v>29</v>
      </c>
      <c r="E42" s="507">
        <v>33</v>
      </c>
      <c r="F42" s="522">
        <v>133</v>
      </c>
      <c r="G42" s="522">
        <v>99</v>
      </c>
      <c r="H42" s="522">
        <v>61</v>
      </c>
      <c r="I42" s="522">
        <v>60</v>
      </c>
      <c r="J42" s="523"/>
      <c r="K42" s="522"/>
      <c r="L42" s="522"/>
      <c r="M42" s="507"/>
      <c r="N42" s="522"/>
      <c r="O42" s="522"/>
      <c r="P42" s="522"/>
      <c r="Q42" s="522"/>
      <c r="R42" s="522"/>
      <c r="S42" s="522"/>
      <c r="T42" s="522"/>
      <c r="U42" s="507"/>
      <c r="V42" s="522"/>
      <c r="W42" s="522"/>
      <c r="X42" s="522"/>
      <c r="Y42" s="522"/>
      <c r="Z42" s="523"/>
      <c r="AA42" s="522"/>
      <c r="AB42" s="507"/>
      <c r="AC42" s="522"/>
      <c r="AD42" s="522"/>
      <c r="AE42" s="522"/>
      <c r="AF42" s="507"/>
      <c r="AG42" s="522"/>
      <c r="AH42" s="522"/>
      <c r="AI42" s="522"/>
      <c r="AJ42" s="523"/>
      <c r="AK42" s="522"/>
      <c r="AL42" s="507"/>
      <c r="AM42" s="522">
        <f t="shared" si="12"/>
        <v>133</v>
      </c>
      <c r="AN42" s="522">
        <f t="shared" si="12"/>
        <v>99</v>
      </c>
      <c r="AO42" s="522">
        <f t="shared" si="12"/>
        <v>90</v>
      </c>
      <c r="AP42" s="507">
        <f t="shared" ref="AP42:AP49" si="13">+Q42+M42+I42+E42+AB42</f>
        <v>93</v>
      </c>
    </row>
    <row r="43" spans="1:42" ht="18" customHeight="1">
      <c r="A43" s="92" t="s">
        <v>996</v>
      </c>
      <c r="B43" s="522">
        <v>240</v>
      </c>
      <c r="C43" s="522">
        <v>264</v>
      </c>
      <c r="D43" s="522">
        <v>334</v>
      </c>
      <c r="E43" s="507">
        <v>406</v>
      </c>
      <c r="F43" s="522">
        <v>561</v>
      </c>
      <c r="G43" s="522">
        <v>708</v>
      </c>
      <c r="H43" s="522">
        <v>725</v>
      </c>
      <c r="I43" s="522">
        <v>284</v>
      </c>
      <c r="J43" s="523"/>
      <c r="K43" s="522"/>
      <c r="L43" s="522"/>
      <c r="M43" s="507"/>
      <c r="N43" s="522"/>
      <c r="O43" s="522"/>
      <c r="P43" s="522"/>
      <c r="Q43" s="522"/>
      <c r="R43" s="522"/>
      <c r="S43" s="522"/>
      <c r="T43" s="522"/>
      <c r="U43" s="507"/>
      <c r="V43" s="522"/>
      <c r="W43" s="522"/>
      <c r="X43" s="522"/>
      <c r="Y43" s="522"/>
      <c r="Z43" s="523"/>
      <c r="AA43" s="522"/>
      <c r="AB43" s="507"/>
      <c r="AC43" s="522"/>
      <c r="AD43" s="522"/>
      <c r="AE43" s="522"/>
      <c r="AF43" s="507"/>
      <c r="AG43" s="522"/>
      <c r="AH43" s="522"/>
      <c r="AI43" s="522"/>
      <c r="AJ43" s="523"/>
      <c r="AK43" s="522"/>
      <c r="AL43" s="507"/>
      <c r="AM43" s="522">
        <f t="shared" ref="AM43:AO44" si="14">+N43+J43+F43+B43</f>
        <v>801</v>
      </c>
      <c r="AN43" s="522">
        <f t="shared" si="14"/>
        <v>972</v>
      </c>
      <c r="AO43" s="522">
        <f t="shared" si="14"/>
        <v>1059</v>
      </c>
      <c r="AP43" s="507">
        <f t="shared" si="13"/>
        <v>690</v>
      </c>
    </row>
    <row r="44" spans="1:42" ht="18" customHeight="1">
      <c r="A44" s="92" t="s">
        <v>997</v>
      </c>
      <c r="B44" s="522">
        <v>300</v>
      </c>
      <c r="C44" s="522">
        <v>271</v>
      </c>
      <c r="D44" s="522">
        <v>263</v>
      </c>
      <c r="E44" s="507">
        <v>159</v>
      </c>
      <c r="F44" s="522">
        <v>245</v>
      </c>
      <c r="G44" s="522">
        <v>198</v>
      </c>
      <c r="H44" s="522">
        <v>327</v>
      </c>
      <c r="I44" s="522">
        <v>146</v>
      </c>
      <c r="J44" s="523"/>
      <c r="K44" s="522"/>
      <c r="L44" s="522"/>
      <c r="M44" s="507"/>
      <c r="N44" s="522"/>
      <c r="O44" s="522"/>
      <c r="P44" s="522"/>
      <c r="Q44" s="522"/>
      <c r="R44" s="522"/>
      <c r="S44" s="522"/>
      <c r="T44" s="522"/>
      <c r="U44" s="507"/>
      <c r="V44" s="522"/>
      <c r="W44" s="522"/>
      <c r="X44" s="522"/>
      <c r="Y44" s="522"/>
      <c r="Z44" s="523">
        <v>279</v>
      </c>
      <c r="AA44" s="522"/>
      <c r="AB44" s="507"/>
      <c r="AC44" s="522"/>
      <c r="AD44" s="522"/>
      <c r="AE44" s="522"/>
      <c r="AF44" s="507"/>
      <c r="AG44" s="522"/>
      <c r="AH44" s="522"/>
      <c r="AI44" s="522"/>
      <c r="AJ44" s="523"/>
      <c r="AK44" s="522"/>
      <c r="AL44" s="507"/>
      <c r="AM44" s="522">
        <f t="shared" si="14"/>
        <v>545</v>
      </c>
      <c r="AN44" s="522">
        <f t="shared" si="14"/>
        <v>469</v>
      </c>
      <c r="AO44" s="522">
        <f t="shared" si="14"/>
        <v>590</v>
      </c>
      <c r="AP44" s="507">
        <f t="shared" si="13"/>
        <v>305</v>
      </c>
    </row>
    <row r="45" spans="1:42" ht="18" customHeight="1">
      <c r="A45" s="92" t="s">
        <v>998</v>
      </c>
      <c r="B45" s="522">
        <v>537</v>
      </c>
      <c r="C45" s="522">
        <v>547</v>
      </c>
      <c r="D45" s="522">
        <v>624</v>
      </c>
      <c r="E45" s="507">
        <v>164</v>
      </c>
      <c r="F45" s="522"/>
      <c r="G45" s="522"/>
      <c r="H45" s="522"/>
      <c r="I45" s="522">
        <v>428</v>
      </c>
      <c r="J45" s="523"/>
      <c r="K45" s="522"/>
      <c r="L45" s="522"/>
      <c r="M45" s="507"/>
      <c r="N45" s="522"/>
      <c r="O45" s="522"/>
      <c r="P45" s="522"/>
      <c r="Q45" s="522"/>
      <c r="R45" s="522"/>
      <c r="S45" s="522"/>
      <c r="T45" s="522"/>
      <c r="U45" s="507"/>
      <c r="V45" s="522"/>
      <c r="W45" s="522"/>
      <c r="X45" s="522"/>
      <c r="Y45" s="522"/>
      <c r="Z45" s="523">
        <v>236</v>
      </c>
      <c r="AA45" s="522"/>
      <c r="AB45" s="507"/>
      <c r="AC45" s="522"/>
      <c r="AD45" s="522"/>
      <c r="AE45" s="522"/>
      <c r="AF45" s="507"/>
      <c r="AG45" s="522"/>
      <c r="AH45" s="522"/>
      <c r="AI45" s="522"/>
      <c r="AJ45" s="523"/>
      <c r="AK45" s="522"/>
      <c r="AL45" s="507"/>
      <c r="AM45" s="522">
        <f t="shared" ref="AM45:AO47" si="15">+N45+J45+F45+B45</f>
        <v>537</v>
      </c>
      <c r="AN45" s="522">
        <f t="shared" si="15"/>
        <v>547</v>
      </c>
      <c r="AO45" s="522">
        <f t="shared" si="15"/>
        <v>624</v>
      </c>
      <c r="AP45" s="507">
        <f t="shared" si="13"/>
        <v>592</v>
      </c>
    </row>
    <row r="46" spans="1:42" ht="18" customHeight="1">
      <c r="A46" s="506" t="s">
        <v>999</v>
      </c>
      <c r="B46" s="522">
        <v>5368</v>
      </c>
      <c r="C46" s="522">
        <v>5807</v>
      </c>
      <c r="D46" s="522">
        <v>5570</v>
      </c>
      <c r="E46" s="507"/>
      <c r="F46" s="522">
        <v>6116</v>
      </c>
      <c r="G46" s="522">
        <v>6731</v>
      </c>
      <c r="H46" s="522">
        <v>6824</v>
      </c>
      <c r="I46" s="522"/>
      <c r="J46" s="523"/>
      <c r="K46" s="522"/>
      <c r="L46" s="522"/>
      <c r="M46" s="507"/>
      <c r="N46" s="522"/>
      <c r="O46" s="522"/>
      <c r="P46" s="522"/>
      <c r="Q46" s="522"/>
      <c r="R46" s="522"/>
      <c r="S46" s="522"/>
      <c r="T46" s="522"/>
      <c r="U46" s="507"/>
      <c r="V46" s="522"/>
      <c r="W46" s="522"/>
      <c r="X46" s="522"/>
      <c r="Y46" s="522"/>
      <c r="Z46" s="523">
        <v>178</v>
      </c>
      <c r="AA46" s="522"/>
      <c r="AB46" s="507"/>
      <c r="AC46" s="522"/>
      <c r="AD46" s="522"/>
      <c r="AE46" s="522"/>
      <c r="AF46" s="507"/>
      <c r="AG46" s="522"/>
      <c r="AH46" s="522"/>
      <c r="AI46" s="522"/>
      <c r="AJ46" s="523"/>
      <c r="AK46" s="522"/>
      <c r="AL46" s="507"/>
      <c r="AM46" s="522">
        <f t="shared" si="15"/>
        <v>11484</v>
      </c>
      <c r="AN46" s="522">
        <f t="shared" si="15"/>
        <v>12538</v>
      </c>
      <c r="AO46" s="522">
        <f t="shared" si="15"/>
        <v>12394</v>
      </c>
      <c r="AP46" s="507">
        <f t="shared" si="13"/>
        <v>0</v>
      </c>
    </row>
    <row r="47" spans="1:42" ht="18" customHeight="1">
      <c r="A47" s="506" t="s">
        <v>1000</v>
      </c>
      <c r="B47" s="353">
        <v>350</v>
      </c>
      <c r="C47" s="353">
        <v>319</v>
      </c>
      <c r="D47" s="353">
        <v>428</v>
      </c>
      <c r="E47" s="466"/>
      <c r="F47" s="353"/>
      <c r="G47" s="353"/>
      <c r="H47" s="353"/>
      <c r="I47" s="353"/>
      <c r="J47" s="352"/>
      <c r="K47" s="353"/>
      <c r="L47" s="353"/>
      <c r="M47" s="466"/>
      <c r="N47" s="353"/>
      <c r="O47" s="353"/>
      <c r="P47" s="353"/>
      <c r="Q47" s="353"/>
      <c r="R47" s="353"/>
      <c r="S47" s="353"/>
      <c r="T47" s="353"/>
      <c r="U47" s="466"/>
      <c r="V47" s="353"/>
      <c r="W47" s="353"/>
      <c r="X47" s="353"/>
      <c r="Y47" s="353"/>
      <c r="Z47" s="352">
        <v>512</v>
      </c>
      <c r="AA47" s="353"/>
      <c r="AB47" s="466"/>
      <c r="AC47" s="353"/>
      <c r="AD47" s="353"/>
      <c r="AE47" s="353"/>
      <c r="AF47" s="466"/>
      <c r="AG47" s="353"/>
      <c r="AH47" s="353"/>
      <c r="AI47" s="353"/>
      <c r="AJ47" s="352"/>
      <c r="AK47" s="353"/>
      <c r="AL47" s="466"/>
      <c r="AM47" s="522">
        <f t="shared" si="15"/>
        <v>350</v>
      </c>
      <c r="AN47" s="522">
        <f t="shared" si="15"/>
        <v>319</v>
      </c>
      <c r="AO47" s="522">
        <f t="shared" si="15"/>
        <v>428</v>
      </c>
      <c r="AP47" s="466">
        <f t="shared" si="13"/>
        <v>0</v>
      </c>
    </row>
    <row r="48" spans="1:42" ht="18" customHeight="1">
      <c r="A48" s="92" t="str">
        <f>+'51'!A48</f>
        <v xml:space="preserve"> TECNOLOGO  MEDICO</v>
      </c>
      <c r="B48" s="522">
        <v>1590</v>
      </c>
      <c r="C48" s="522">
        <v>3585</v>
      </c>
      <c r="D48" s="522">
        <v>3063</v>
      </c>
      <c r="E48" s="507">
        <v>1928</v>
      </c>
      <c r="F48" s="522"/>
      <c r="G48" s="522"/>
      <c r="H48" s="522"/>
      <c r="I48" s="522"/>
      <c r="J48" s="523"/>
      <c r="K48" s="522"/>
      <c r="L48" s="522"/>
      <c r="M48" s="507"/>
      <c r="N48" s="522"/>
      <c r="O48" s="522"/>
      <c r="P48" s="522"/>
      <c r="Q48" s="522"/>
      <c r="R48" s="522"/>
      <c r="S48" s="522"/>
      <c r="T48" s="522"/>
      <c r="U48" s="507"/>
      <c r="V48" s="522"/>
      <c r="W48" s="522"/>
      <c r="X48" s="522"/>
      <c r="Y48" s="522"/>
      <c r="Z48" s="523"/>
      <c r="AA48" s="522"/>
      <c r="AB48" s="507"/>
      <c r="AC48" s="522"/>
      <c r="AD48" s="522"/>
      <c r="AE48" s="522"/>
      <c r="AF48" s="507"/>
      <c r="AG48" s="522"/>
      <c r="AH48" s="522"/>
      <c r="AI48" s="522"/>
      <c r="AJ48" s="523"/>
      <c r="AK48" s="522"/>
      <c r="AL48" s="507"/>
      <c r="AM48" s="522">
        <f t="shared" ref="AM48:AO48" si="16">+N48+J48+F48+B48</f>
        <v>1590</v>
      </c>
      <c r="AN48" s="522">
        <f t="shared" si="16"/>
        <v>3585</v>
      </c>
      <c r="AO48" s="522">
        <f t="shared" si="16"/>
        <v>3063</v>
      </c>
      <c r="AP48" s="466">
        <f t="shared" si="13"/>
        <v>1928</v>
      </c>
    </row>
    <row r="49" spans="1:42" ht="18" customHeight="1">
      <c r="A49" s="14" t="s">
        <v>1002</v>
      </c>
      <c r="B49" s="525">
        <v>1254</v>
      </c>
      <c r="C49" s="525">
        <v>1568</v>
      </c>
      <c r="D49" s="525">
        <v>1681</v>
      </c>
      <c r="E49" s="526">
        <v>765</v>
      </c>
      <c r="F49" s="525">
        <v>847</v>
      </c>
      <c r="G49" s="525">
        <v>1064</v>
      </c>
      <c r="H49" s="525">
        <v>824</v>
      </c>
      <c r="I49" s="525">
        <v>368</v>
      </c>
      <c r="J49" s="527"/>
      <c r="K49" s="525"/>
      <c r="L49" s="525"/>
      <c r="M49" s="526"/>
      <c r="N49" s="525"/>
      <c r="O49" s="525"/>
      <c r="P49" s="525"/>
      <c r="Q49" s="525"/>
      <c r="R49" s="525"/>
      <c r="S49" s="525"/>
      <c r="T49" s="522"/>
      <c r="U49" s="526"/>
      <c r="V49" s="525"/>
      <c r="W49" s="525"/>
      <c r="X49" s="525"/>
      <c r="Y49" s="525"/>
      <c r="Z49" s="527">
        <v>443</v>
      </c>
      <c r="AA49" s="525"/>
      <c r="AB49" s="526"/>
      <c r="AC49" s="525"/>
      <c r="AD49" s="525"/>
      <c r="AE49" s="525"/>
      <c r="AF49" s="526"/>
      <c r="AG49" s="525"/>
      <c r="AH49" s="525"/>
      <c r="AI49" s="525"/>
      <c r="AJ49" s="527"/>
      <c r="AK49" s="525"/>
      <c r="AL49" s="526"/>
      <c r="AM49" s="525">
        <f>+N49+J49+F49+B49+R49</f>
        <v>2101</v>
      </c>
      <c r="AN49" s="525">
        <f>+O49+K49+G49+C49+S49</f>
        <v>2632</v>
      </c>
      <c r="AO49" s="525">
        <f>+P49+L49+H49+D49+T49</f>
        <v>2505</v>
      </c>
      <c r="AP49" s="526">
        <f t="shared" si="13"/>
        <v>1133</v>
      </c>
    </row>
    <row r="50" spans="1:42">
      <c r="B50" s="528"/>
      <c r="C50" s="528"/>
      <c r="D50" s="522"/>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528"/>
      <c r="AO50" s="528"/>
      <c r="AP50" s="528"/>
    </row>
    <row r="51" spans="1:42">
      <c r="B51" s="528"/>
      <c r="C51" s="528"/>
      <c r="D51" s="522"/>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row>
    <row r="52" spans="1:42">
      <c r="B52" s="528"/>
      <c r="C52" s="528"/>
      <c r="D52" s="522"/>
      <c r="E52" s="528"/>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row>
    <row r="53" spans="1:42">
      <c r="B53" s="528"/>
      <c r="C53" s="528"/>
      <c r="D53" s="522"/>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O53" s="528"/>
      <c r="AP53" s="528"/>
    </row>
    <row r="54" spans="1:42">
      <c r="B54" s="528"/>
      <c r="C54" s="528"/>
      <c r="D54" s="522"/>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O54" s="528"/>
      <c r="AP54" s="528"/>
    </row>
    <row r="55" spans="1:42">
      <c r="B55" s="528"/>
      <c r="C55" s="528"/>
      <c r="D55" s="522"/>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c r="AO55" s="528"/>
      <c r="AP55" s="528"/>
    </row>
    <row r="56" spans="1:42">
      <c r="B56" s="528"/>
      <c r="C56" s="528"/>
      <c r="D56" s="522"/>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c r="AN56" s="528"/>
      <c r="AO56" s="528"/>
      <c r="AP56" s="528"/>
    </row>
    <row r="57" spans="1:42">
      <c r="B57" s="528"/>
      <c r="C57" s="528"/>
      <c r="D57" s="528"/>
      <c r="E57" s="528"/>
      <c r="F57" s="528"/>
      <c r="G57" s="528"/>
      <c r="H57" s="528"/>
      <c r="I57" s="528"/>
      <c r="J57" s="528"/>
      <c r="K57" s="528"/>
      <c r="L57" s="528"/>
      <c r="M57" s="528"/>
      <c r="N57" s="528"/>
      <c r="O57" s="528"/>
      <c r="P57" s="528"/>
      <c r="Q57" s="528"/>
      <c r="R57" s="528"/>
      <c r="S57" s="528"/>
      <c r="T57" s="528"/>
      <c r="U57" s="528"/>
      <c r="V57" s="528"/>
      <c r="W57" s="528"/>
      <c r="X57" s="528"/>
      <c r="Y57" s="528"/>
      <c r="Z57" s="528"/>
      <c r="AA57" s="528"/>
      <c r="AB57" s="528"/>
      <c r="AC57" s="528"/>
      <c r="AD57" s="528"/>
      <c r="AE57" s="528"/>
      <c r="AF57" s="528"/>
      <c r="AG57" s="528"/>
      <c r="AH57" s="528"/>
      <c r="AI57" s="528"/>
      <c r="AJ57" s="528"/>
      <c r="AK57" s="528"/>
      <c r="AL57" s="528"/>
      <c r="AM57" s="528"/>
      <c r="AN57" s="528"/>
      <c r="AO57" s="528"/>
      <c r="AP57" s="528"/>
    </row>
    <row r="58" spans="1:42">
      <c r="B58" s="528"/>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c r="AA58" s="528"/>
      <c r="AB58" s="528"/>
      <c r="AC58" s="528"/>
      <c r="AD58" s="528"/>
      <c r="AE58" s="528"/>
      <c r="AF58" s="528"/>
      <c r="AG58" s="528"/>
      <c r="AH58" s="528"/>
      <c r="AI58" s="528"/>
      <c r="AJ58" s="528"/>
      <c r="AK58" s="528"/>
      <c r="AL58" s="528"/>
      <c r="AM58" s="528"/>
      <c r="AN58" s="528"/>
      <c r="AO58" s="528"/>
      <c r="AP58" s="528"/>
    </row>
    <row r="59" spans="1:42">
      <c r="B59" s="528"/>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row>
    <row r="60" spans="1:42">
      <c r="B60" s="528"/>
      <c r="C60" s="528"/>
      <c r="D60" s="528"/>
      <c r="E60" s="528"/>
      <c r="F60" s="528"/>
      <c r="G60" s="528"/>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row>
    <row r="61" spans="1:42">
      <c r="B61" s="528"/>
      <c r="C61" s="528"/>
      <c r="D61" s="528"/>
      <c r="E61" s="528"/>
      <c r="F61" s="528"/>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row>
    <row r="62" spans="1:42">
      <c r="B62" s="528"/>
      <c r="C62" s="528"/>
      <c r="D62" s="528"/>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8"/>
      <c r="AL62" s="528"/>
      <c r="AM62" s="528"/>
      <c r="AN62" s="528"/>
      <c r="AO62" s="528"/>
      <c r="AP62" s="528"/>
    </row>
    <row r="63" spans="1:42">
      <c r="B63" s="528"/>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row>
    <row r="64" spans="1:42">
      <c r="B64" s="528"/>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row>
    <row r="65" spans="2:42">
      <c r="B65" s="528"/>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c r="AA65" s="528"/>
      <c r="AB65" s="528"/>
      <c r="AC65" s="528"/>
      <c r="AD65" s="528"/>
      <c r="AE65" s="528"/>
      <c r="AF65" s="528"/>
      <c r="AG65" s="528"/>
      <c r="AH65" s="528"/>
      <c r="AI65" s="528"/>
      <c r="AJ65" s="528"/>
      <c r="AK65" s="528"/>
      <c r="AL65" s="528"/>
      <c r="AM65" s="528"/>
      <c r="AN65" s="528"/>
      <c r="AO65" s="528"/>
      <c r="AP65" s="528"/>
    </row>
    <row r="66" spans="2:42">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row>
    <row r="67" spans="2:42">
      <c r="B67" s="528"/>
      <c r="C67" s="528"/>
      <c r="D67" s="528"/>
      <c r="E67" s="528"/>
      <c r="F67" s="528"/>
      <c r="G67" s="528"/>
      <c r="H67" s="528"/>
      <c r="I67" s="528"/>
      <c r="J67" s="528"/>
      <c r="K67" s="528"/>
      <c r="L67" s="528"/>
      <c r="M67" s="528"/>
      <c r="N67" s="528"/>
      <c r="O67" s="528"/>
      <c r="P67" s="528"/>
      <c r="Q67" s="528"/>
      <c r="R67" s="528"/>
      <c r="S67" s="528"/>
      <c r="T67" s="528"/>
      <c r="U67" s="528"/>
      <c r="V67" s="528"/>
      <c r="W67" s="528"/>
      <c r="X67" s="528"/>
      <c r="Y67" s="528"/>
      <c r="Z67" s="528"/>
      <c r="AA67" s="528"/>
      <c r="AB67" s="528"/>
      <c r="AC67" s="528"/>
      <c r="AD67" s="528"/>
      <c r="AE67" s="528"/>
      <c r="AF67" s="528"/>
      <c r="AG67" s="528"/>
      <c r="AH67" s="528"/>
      <c r="AI67" s="528"/>
      <c r="AJ67" s="528"/>
      <c r="AK67" s="528"/>
      <c r="AL67" s="528"/>
      <c r="AM67" s="528"/>
      <c r="AN67" s="528"/>
      <c r="AO67" s="528"/>
      <c r="AP67" s="528"/>
    </row>
    <row r="68" spans="2:42">
      <c r="B68" s="528"/>
      <c r="C68" s="528"/>
      <c r="D68" s="52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8"/>
      <c r="AG68" s="528"/>
      <c r="AH68" s="528"/>
      <c r="AI68" s="528"/>
      <c r="AJ68" s="528"/>
      <c r="AK68" s="528"/>
      <c r="AL68" s="528"/>
      <c r="AM68" s="528"/>
      <c r="AN68" s="528"/>
      <c r="AO68" s="528"/>
      <c r="AP68" s="528"/>
    </row>
    <row r="69" spans="2:42">
      <c r="B69" s="528"/>
      <c r="C69" s="528"/>
      <c r="D69" s="528"/>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c r="AE69" s="528"/>
      <c r="AF69" s="528"/>
      <c r="AG69" s="528"/>
      <c r="AH69" s="528"/>
      <c r="AI69" s="528"/>
      <c r="AJ69" s="528"/>
      <c r="AK69" s="528"/>
      <c r="AL69" s="528"/>
      <c r="AM69" s="528"/>
      <c r="AN69" s="528"/>
      <c r="AO69" s="528"/>
      <c r="AP69" s="528"/>
    </row>
    <row r="70" spans="2:42">
      <c r="B70" s="528"/>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c r="AO70" s="528"/>
      <c r="AP70" s="528"/>
    </row>
    <row r="71" spans="2:42">
      <c r="B71" s="528"/>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c r="AN71" s="528"/>
      <c r="AO71" s="528"/>
      <c r="AP71" s="528"/>
    </row>
    <row r="72" spans="2:42">
      <c r="B72" s="528"/>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c r="AA72" s="528"/>
      <c r="AB72" s="528"/>
      <c r="AC72" s="528"/>
      <c r="AD72" s="528"/>
      <c r="AE72" s="528"/>
      <c r="AF72" s="528"/>
      <c r="AG72" s="528"/>
      <c r="AH72" s="528"/>
      <c r="AI72" s="528"/>
      <c r="AJ72" s="528"/>
      <c r="AK72" s="528"/>
      <c r="AL72" s="528"/>
      <c r="AM72" s="528"/>
      <c r="AN72" s="528"/>
      <c r="AO72" s="528"/>
      <c r="AP72" s="528"/>
    </row>
    <row r="73" spans="2:42">
      <c r="B73" s="528"/>
      <c r="C73" s="528"/>
      <c r="D73" s="52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8"/>
      <c r="AC73" s="528"/>
      <c r="AD73" s="528"/>
      <c r="AE73" s="528"/>
      <c r="AF73" s="528"/>
      <c r="AG73" s="528"/>
      <c r="AH73" s="528"/>
      <c r="AI73" s="528"/>
      <c r="AJ73" s="528"/>
      <c r="AK73" s="528"/>
      <c r="AL73" s="528"/>
      <c r="AM73" s="528"/>
      <c r="AN73" s="528"/>
      <c r="AO73" s="528"/>
      <c r="AP73" s="528"/>
    </row>
    <row r="74" spans="2:42">
      <c r="B74" s="528"/>
      <c r="C74" s="528"/>
      <c r="D74" s="528"/>
      <c r="E74" s="528"/>
      <c r="F74" s="528"/>
      <c r="G74" s="528"/>
      <c r="H74" s="528"/>
      <c r="I74" s="528"/>
      <c r="J74" s="528"/>
      <c r="K74" s="528"/>
      <c r="L74" s="528"/>
      <c r="M74" s="528"/>
      <c r="N74" s="528"/>
      <c r="O74" s="528"/>
      <c r="P74" s="528"/>
      <c r="Q74" s="528"/>
      <c r="R74" s="528"/>
      <c r="S74" s="528"/>
      <c r="T74" s="528"/>
      <c r="U74" s="528"/>
      <c r="V74" s="528"/>
      <c r="W74" s="528"/>
      <c r="X74" s="528"/>
      <c r="Y74" s="528"/>
      <c r="Z74" s="528"/>
      <c r="AA74" s="528"/>
      <c r="AB74" s="528"/>
      <c r="AC74" s="528"/>
      <c r="AD74" s="528"/>
      <c r="AE74" s="528"/>
      <c r="AF74" s="528"/>
      <c r="AG74" s="528"/>
      <c r="AH74" s="528"/>
      <c r="AI74" s="528"/>
      <c r="AJ74" s="528"/>
      <c r="AK74" s="528"/>
      <c r="AL74" s="528"/>
      <c r="AM74" s="528"/>
      <c r="AN74" s="528"/>
      <c r="AO74" s="528"/>
      <c r="AP74" s="528"/>
    </row>
    <row r="75" spans="2:42">
      <c r="B75" s="528"/>
      <c r="C75" s="528"/>
      <c r="D75" s="52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row>
    <row r="76" spans="2:42">
      <c r="B76" s="528"/>
      <c r="C76" s="528"/>
      <c r="D76" s="528"/>
      <c r="E76" s="528"/>
      <c r="F76" s="528"/>
      <c r="G76" s="528"/>
      <c r="H76" s="528"/>
      <c r="I76" s="528"/>
      <c r="J76" s="528"/>
      <c r="K76" s="528"/>
      <c r="L76" s="528"/>
      <c r="M76" s="528"/>
      <c r="N76" s="528"/>
      <c r="O76" s="528"/>
      <c r="P76" s="528"/>
      <c r="Q76" s="528"/>
      <c r="R76" s="528"/>
      <c r="S76" s="528"/>
      <c r="T76" s="528"/>
      <c r="U76" s="528"/>
      <c r="V76" s="528"/>
      <c r="W76" s="528"/>
      <c r="X76" s="528"/>
      <c r="Y76" s="528"/>
      <c r="Z76" s="528"/>
      <c r="AA76" s="528"/>
      <c r="AB76" s="528"/>
      <c r="AC76" s="528"/>
      <c r="AD76" s="528"/>
      <c r="AE76" s="528"/>
      <c r="AF76" s="528"/>
      <c r="AG76" s="528"/>
      <c r="AH76" s="528"/>
      <c r="AI76" s="528"/>
      <c r="AJ76" s="528"/>
      <c r="AK76" s="528"/>
      <c r="AL76" s="528"/>
      <c r="AM76" s="528"/>
      <c r="AN76" s="528"/>
      <c r="AO76" s="528"/>
      <c r="AP76" s="528"/>
    </row>
  </sheetData>
  <mergeCells count="13">
    <mergeCell ref="A1:AP1"/>
    <mergeCell ref="A2:AP2"/>
    <mergeCell ref="A3:AP3"/>
    <mergeCell ref="B7:E7"/>
    <mergeCell ref="F7:I7"/>
    <mergeCell ref="J7:M7"/>
    <mergeCell ref="N7:Q7"/>
    <mergeCell ref="AM7:AP7"/>
    <mergeCell ref="AC7:AF7"/>
    <mergeCell ref="R7:U7"/>
    <mergeCell ref="V7:Y7"/>
    <mergeCell ref="AG7:AI7"/>
    <mergeCell ref="Z7:AB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1"/>
  <sheetViews>
    <sheetView topLeftCell="A7" zoomScaleNormal="100" workbookViewId="0">
      <pane xSplit="1" ySplit="2" topLeftCell="AD14" activePane="bottomRight" state="frozen"/>
      <selection activeCell="A7" sqref="A7"/>
      <selection pane="topRight" activeCell="B7" sqref="B7"/>
      <selection pane="bottomLeft" activeCell="A9" sqref="A9"/>
      <selection pane="bottomRight" activeCell="AP23" sqref="AP23"/>
    </sheetView>
  </sheetViews>
  <sheetFormatPr baseColWidth="10" defaultColWidth="27" defaultRowHeight="11.4"/>
  <cols>
    <col min="1" max="1" width="27" style="204" customWidth="1"/>
    <col min="2" max="21" width="7.21875" style="8" customWidth="1"/>
    <col min="22" max="25" width="9.5546875" style="8" customWidth="1"/>
    <col min="26" max="28" width="9.88671875" style="8" customWidth="1"/>
    <col min="29" max="37" width="7.77734375" style="8" customWidth="1"/>
    <col min="38" max="38" width="10" style="8" customWidth="1"/>
    <col min="39" max="43" width="7.21875" style="8" customWidth="1"/>
    <col min="44" max="44" width="10.77734375" style="8" customWidth="1"/>
    <col min="45" max="45" width="13.21875" style="204" customWidth="1"/>
    <col min="46" max="16384" width="27" style="204"/>
  </cols>
  <sheetData>
    <row r="1" spans="1:44" ht="12">
      <c r="A1" s="1616" t="s">
        <v>1434</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row>
    <row r="2" spans="1:44" ht="12">
      <c r="A2" s="1616" t="s">
        <v>1007</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row>
    <row r="3" spans="1:44" ht="12">
      <c r="A3" s="1616" t="s">
        <v>879</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row>
    <row r="6" spans="1:44" ht="12">
      <c r="A6" s="379" t="s">
        <v>964</v>
      </c>
    </row>
    <row r="7" spans="1:44" ht="18" customHeight="1">
      <c r="A7" s="332" t="s">
        <v>965</v>
      </c>
      <c r="B7" s="1630" t="s">
        <v>966</v>
      </c>
      <c r="C7" s="1630"/>
      <c r="D7" s="1630"/>
      <c r="E7" s="1630"/>
      <c r="F7" s="1641" t="s">
        <v>885</v>
      </c>
      <c r="G7" s="1630"/>
      <c r="H7" s="1630"/>
      <c r="I7" s="1642"/>
      <c r="J7" s="1630" t="s">
        <v>967</v>
      </c>
      <c r="K7" s="1630"/>
      <c r="L7" s="1630"/>
      <c r="M7" s="1630"/>
      <c r="N7" s="1641" t="s">
        <v>933</v>
      </c>
      <c r="O7" s="1630"/>
      <c r="P7" s="1630"/>
      <c r="Q7" s="1630"/>
      <c r="R7" s="1641" t="s">
        <v>1194</v>
      </c>
      <c r="S7" s="1630"/>
      <c r="T7" s="1630"/>
      <c r="U7" s="1642"/>
      <c r="V7" s="1641" t="s">
        <v>1460</v>
      </c>
      <c r="W7" s="1630"/>
      <c r="X7" s="1630"/>
      <c r="Y7" s="1630"/>
      <c r="Z7" s="1641" t="s">
        <v>1573</v>
      </c>
      <c r="AA7" s="1630"/>
      <c r="AB7" s="1642"/>
      <c r="AC7" s="1630" t="s">
        <v>1459</v>
      </c>
      <c r="AD7" s="1612"/>
      <c r="AE7" s="1612"/>
      <c r="AF7" s="1613"/>
      <c r="AG7" s="1597" t="s">
        <v>1575</v>
      </c>
      <c r="AH7" s="1612"/>
      <c r="AI7" s="1612"/>
      <c r="AJ7" s="1641" t="s">
        <v>1576</v>
      </c>
      <c r="AK7" s="1630"/>
      <c r="AL7" s="1642"/>
      <c r="AM7" s="1630" t="s">
        <v>637</v>
      </c>
      <c r="AN7" s="1630"/>
      <c r="AO7" s="1630"/>
      <c r="AP7" s="1642"/>
    </row>
    <row r="8" spans="1:44" ht="18" customHeight="1">
      <c r="A8" s="14"/>
      <c r="B8" s="515">
        <f>+'52'!B8</f>
        <v>2017</v>
      </c>
      <c r="C8" s="515">
        <f>+'52'!C8</f>
        <v>2018</v>
      </c>
      <c r="D8" s="515">
        <f>+'52'!D8</f>
        <v>2019</v>
      </c>
      <c r="E8" s="515">
        <f>+'52'!E8</f>
        <v>2020</v>
      </c>
      <c r="F8" s="455">
        <f>+'52'!F8</f>
        <v>2017</v>
      </c>
      <c r="G8" s="505">
        <f>+'52'!G8</f>
        <v>2018</v>
      </c>
      <c r="H8" s="505">
        <f>+'52'!H8</f>
        <v>2019</v>
      </c>
      <c r="I8" s="510">
        <f>+'52'!I8</f>
        <v>2020</v>
      </c>
      <c r="J8" s="515">
        <f>+'52'!J8</f>
        <v>2017</v>
      </c>
      <c r="K8" s="515">
        <f>+'52'!K8</f>
        <v>2018</v>
      </c>
      <c r="L8" s="515">
        <f>+'52'!L8</f>
        <v>2019</v>
      </c>
      <c r="M8" s="515">
        <f>+'52'!M8</f>
        <v>2020</v>
      </c>
      <c r="N8" s="455">
        <f>+'52'!N8</f>
        <v>2017</v>
      </c>
      <c r="O8" s="505">
        <f>+'52'!O8</f>
        <v>2018</v>
      </c>
      <c r="P8" s="1485">
        <f>+'52'!P8</f>
        <v>2019</v>
      </c>
      <c r="Q8" s="1485">
        <f>+'52'!Q8</f>
        <v>2020</v>
      </c>
      <c r="R8" s="1095">
        <f>+N8</f>
        <v>2017</v>
      </c>
      <c r="S8" s="343">
        <f>+O8</f>
        <v>2018</v>
      </c>
      <c r="T8" s="343">
        <f t="shared" ref="T8:U8" si="0">+P8</f>
        <v>2019</v>
      </c>
      <c r="U8" s="343">
        <f t="shared" si="0"/>
        <v>2020</v>
      </c>
      <c r="V8" s="1482">
        <f>+R8</f>
        <v>2017</v>
      </c>
      <c r="W8" s="1536">
        <f>+O8</f>
        <v>2018</v>
      </c>
      <c r="X8" s="1483">
        <f>+T8</f>
        <v>2019</v>
      </c>
      <c r="Y8" s="1484">
        <f>+U8</f>
        <v>2020</v>
      </c>
      <c r="Z8" s="1482">
        <f>+W8</f>
        <v>2018</v>
      </c>
      <c r="AA8" s="1536">
        <f>+X8</f>
        <v>2019</v>
      </c>
      <c r="AB8" s="1537">
        <f>+Y8</f>
        <v>2020</v>
      </c>
      <c r="AC8" s="1462">
        <f>+'52'!AC8</f>
        <v>2017</v>
      </c>
      <c r="AD8" s="505">
        <f>+'52'!AD8</f>
        <v>2018</v>
      </c>
      <c r="AE8" s="505">
        <f>+'52'!AE8</f>
        <v>2019</v>
      </c>
      <c r="AF8" s="505">
        <f>+'52'!AF8</f>
        <v>2020</v>
      </c>
      <c r="AG8" s="455">
        <v>2018</v>
      </c>
      <c r="AH8" s="505">
        <v>2019</v>
      </c>
      <c r="AI8" s="505">
        <v>2020</v>
      </c>
      <c r="AJ8" s="1486">
        <v>2018</v>
      </c>
      <c r="AK8" s="1539">
        <v>2019</v>
      </c>
      <c r="AL8" s="1487">
        <f>+'52'!AL8</f>
        <v>2020</v>
      </c>
      <c r="AM8" s="1485">
        <f>+'52'!AM8</f>
        <v>2017</v>
      </c>
      <c r="AN8" s="505">
        <f>+'52'!AN8</f>
        <v>2018</v>
      </c>
      <c r="AO8" s="505">
        <f>+'52'!AO8</f>
        <v>2019</v>
      </c>
      <c r="AP8" s="537">
        <f>+'52'!AP8</f>
        <v>2020</v>
      </c>
    </row>
    <row r="9" spans="1:44" ht="18" customHeight="1">
      <c r="A9" s="332" t="s">
        <v>968</v>
      </c>
      <c r="B9" s="529">
        <f>+'49'!B9+'50'!B9+'51'!B9+'52'!B9</f>
        <v>4203</v>
      </c>
      <c r="C9" s="530">
        <f>+'49'!C9+'50'!C9+'51'!C9+'52'!C9</f>
        <v>4625</v>
      </c>
      <c r="D9" s="530">
        <f>+'49'!D9+'50'!D9+'51'!D9+'52'!D9</f>
        <v>4713</v>
      </c>
      <c r="E9" s="531">
        <f>+'49'!E9+'50'!E9+'51'!E9+'52'!E9</f>
        <v>3511</v>
      </c>
      <c r="F9" s="522">
        <f>+'49'!F9+'50'!F9+'51'!F9+'52'!F9</f>
        <v>1288</v>
      </c>
      <c r="G9" s="522">
        <f>+'49'!G9+'50'!G9+'51'!G9+'52'!G9</f>
        <v>1178</v>
      </c>
      <c r="H9" s="522">
        <f>+'49'!H9+'50'!H9+'51'!H9+'52'!H9</f>
        <v>949</v>
      </c>
      <c r="I9" s="522">
        <f>+'49'!I9+'50'!I9+'51'!I9+'52'!I9</f>
        <v>288</v>
      </c>
      <c r="J9" s="529">
        <f>+'49'!J9+'50'!J9+'51'!J9+'52'!J9</f>
        <v>0</v>
      </c>
      <c r="K9" s="530">
        <f>+'49'!K9+'50'!K9+'51'!K9+'52'!K9</f>
        <v>0</v>
      </c>
      <c r="L9" s="530">
        <f>+'49'!L9+'50'!L9+'51'!L9+'52'!L9</f>
        <v>0</v>
      </c>
      <c r="M9" s="531">
        <f>+'49'!M9+'50'!M9+'51'!M9+'52'!M9</f>
        <v>0</v>
      </c>
      <c r="N9" s="522">
        <f>+'49'!N9+'50'!N9+'51'!N9+'52'!N9</f>
        <v>0</v>
      </c>
      <c r="O9" s="522">
        <f>+'49'!O9+'50'!O9+'51'!O9+'52'!O9</f>
        <v>0</v>
      </c>
      <c r="P9" s="522">
        <f>+'49'!P9+'50'!P9+'51'!P9+'52'!P9</f>
        <v>0</v>
      </c>
      <c r="Q9" s="522">
        <f>+'49'!P9+'50'!P9+'51'!P9+'52'!P9</f>
        <v>0</v>
      </c>
      <c r="R9" s="352">
        <f>+'49'!R9+'50'!R9+'51'!R9+'52'!R9</f>
        <v>0</v>
      </c>
      <c r="S9" s="469">
        <f>+'49'!S9+'50'!S9+'51'!S9+'52'!S9</f>
        <v>0</v>
      </c>
      <c r="T9" s="469">
        <f>+'49'!T9+'50'!T9+'51'!T9+'52'!T9</f>
        <v>0</v>
      </c>
      <c r="U9" s="469">
        <f>+'49'!U9+'50'!U9+'51'!U9+'52'!U9</f>
        <v>0</v>
      </c>
      <c r="V9" s="468"/>
      <c r="W9" s="469"/>
      <c r="X9" s="469"/>
      <c r="Y9" s="469"/>
      <c r="Z9" s="352"/>
      <c r="AA9" s="353"/>
      <c r="AB9" s="466"/>
      <c r="AC9" s="530">
        <f>+'49'!AC9+'50'!AC9+'51'!AC9+'52'!AC9</f>
        <v>0</v>
      </c>
      <c r="AD9" s="530">
        <f>+'49'!AD9+'50'!AD9+'51'!AD9+'52'!AD9</f>
        <v>0</v>
      </c>
      <c r="AE9" s="530">
        <f>+'49'!AE9+'50'!AE9+'51'!AE9+'52'!AE9</f>
        <v>0</v>
      </c>
      <c r="AF9" s="530">
        <f>+'49'!AF9+'50'!AF9+'51'!AF9+'52'!AF9</f>
        <v>0</v>
      </c>
      <c r="AG9" s="523">
        <f>+'51'!AG9+'52'!AG9</f>
        <v>0</v>
      </c>
      <c r="AH9" s="522">
        <f>+'51'!AH9+'52'!AH9</f>
        <v>0</v>
      </c>
      <c r="AI9" s="522">
        <f>+'51'!AI9+'52'!AI9</f>
        <v>0</v>
      </c>
      <c r="AJ9" s="529">
        <f>+'51'!AK9+'52'!AK9</f>
        <v>0</v>
      </c>
      <c r="AK9" s="530"/>
      <c r="AL9" s="531">
        <f>+'51'!AL9+'52'!AL9</f>
        <v>0</v>
      </c>
      <c r="AM9" s="522">
        <f t="shared" ref="AM9:AM22" si="1">+N9+J9+F9+B9+AC9+AG9</f>
        <v>5491</v>
      </c>
      <c r="AN9" s="522">
        <f t="shared" ref="AN9:AN22" si="2">+O9+K9+G9+C9+AD9+AH9</f>
        <v>5803</v>
      </c>
      <c r="AO9" s="522">
        <f t="shared" ref="AO9:AO22" si="3">+Q9+L9+H9+D9+AE9+AI9</f>
        <v>5662</v>
      </c>
      <c r="AP9" s="507">
        <f t="shared" ref="AP9:AP22" si="4">+M9+I9+E9+U9+Y9+AF9+AL9</f>
        <v>3799</v>
      </c>
      <c r="AR9" s="1259"/>
    </row>
    <row r="10" spans="1:44" ht="18" customHeight="1">
      <c r="A10" s="92" t="s">
        <v>969</v>
      </c>
      <c r="B10" s="523">
        <f>+'49'!B10+'50'!B10+'51'!B10+'52'!B10</f>
        <v>14911</v>
      </c>
      <c r="C10" s="522">
        <f>+'49'!C10+'50'!C10+'51'!C10+'52'!C10</f>
        <v>14026</v>
      </c>
      <c r="D10" s="522">
        <f>+'49'!D10+'50'!D10+'51'!D10+'52'!D10</f>
        <v>14706</v>
      </c>
      <c r="E10" s="507">
        <f>+'49'!E10+'50'!E10+'51'!E10+'52'!E10</f>
        <v>7545</v>
      </c>
      <c r="F10" s="522">
        <f>+'49'!F10+'50'!F10+'51'!F10+'52'!F10</f>
        <v>8521</v>
      </c>
      <c r="G10" s="522">
        <f>+'49'!G10+'50'!G10+'51'!G10+'52'!G10</f>
        <v>7406</v>
      </c>
      <c r="H10" s="522">
        <f>+'49'!H10+'50'!H10+'51'!H10+'52'!H10</f>
        <v>9211</v>
      </c>
      <c r="I10" s="522">
        <f>+'49'!I10+'50'!I10+'51'!I10+'52'!I10</f>
        <v>4660</v>
      </c>
      <c r="J10" s="523">
        <f>+'49'!J10+'50'!J10+'51'!J10+'52'!J10</f>
        <v>0</v>
      </c>
      <c r="K10" s="522">
        <f>+'49'!K10+'50'!K10+'51'!K10+'52'!K10</f>
        <v>0</v>
      </c>
      <c r="L10" s="522">
        <f>+'49'!L10+'50'!L10+'51'!L10+'52'!L10</f>
        <v>0</v>
      </c>
      <c r="M10" s="507">
        <f>+'49'!M10+'50'!M10+'51'!M10+'52'!M10</f>
        <v>0</v>
      </c>
      <c r="N10" s="522">
        <f>+'49'!N10+'50'!N10+'51'!N10+'52'!N10</f>
        <v>0</v>
      </c>
      <c r="O10" s="522">
        <f>+'49'!O10+'50'!O10+'51'!O10+'52'!O10</f>
        <v>0</v>
      </c>
      <c r="P10" s="522">
        <f>+'49'!P10+'50'!P10+'51'!P10+'52'!P10</f>
        <v>0</v>
      </c>
      <c r="Q10" s="522">
        <f>+'49'!P10+'50'!P10+'51'!P10+'52'!P10</f>
        <v>0</v>
      </c>
      <c r="R10" s="352">
        <f>+'49'!R10+'50'!R10+'51'!R10+'52'!R10</f>
        <v>0</v>
      </c>
      <c r="S10" s="353">
        <f>+'49'!S10+'50'!S10+'51'!S10+'52'!S10</f>
        <v>0</v>
      </c>
      <c r="T10" s="353">
        <f>+'49'!T10+'50'!T10+'51'!T10+'52'!T10</f>
        <v>0</v>
      </c>
      <c r="U10" s="353">
        <f>+'49'!U10+'50'!U10+'51'!U10+'52'!U10</f>
        <v>0</v>
      </c>
      <c r="V10" s="352"/>
      <c r="W10" s="353"/>
      <c r="X10" s="353"/>
      <c r="Y10" s="353"/>
      <c r="Z10" s="352"/>
      <c r="AA10" s="353"/>
      <c r="AB10" s="466"/>
      <c r="AC10" s="522">
        <f>+'49'!AC10+'50'!AC10+'51'!AC10+'52'!AC10</f>
        <v>0</v>
      </c>
      <c r="AD10" s="522">
        <f>+'49'!AD10+'50'!AD10+'51'!AD10+'52'!AD10</f>
        <v>0</v>
      </c>
      <c r="AE10" s="522">
        <f>+'49'!AE10+'50'!AE10+'51'!AE10+'52'!AE10</f>
        <v>0</v>
      </c>
      <c r="AF10" s="522">
        <f>+'49'!AF10+'50'!AF10+'51'!AF10+'52'!AF10</f>
        <v>0</v>
      </c>
      <c r="AG10" s="523">
        <f>+'51'!AG10+'52'!AG10</f>
        <v>0</v>
      </c>
      <c r="AH10" s="522">
        <f>+'51'!AH10+'52'!AH10</f>
        <v>0</v>
      </c>
      <c r="AI10" s="522">
        <f>+'51'!AI10+'52'!AI10</f>
        <v>0</v>
      </c>
      <c r="AJ10" s="523">
        <f>+'51'!AK10+'52'!AK10</f>
        <v>0</v>
      </c>
      <c r="AK10" s="522"/>
      <c r="AL10" s="507">
        <f>+'51'!AL10+'52'!AL10</f>
        <v>0</v>
      </c>
      <c r="AM10" s="522">
        <f t="shared" si="1"/>
        <v>23432</v>
      </c>
      <c r="AN10" s="522">
        <f t="shared" si="2"/>
        <v>21432</v>
      </c>
      <c r="AO10" s="522">
        <f t="shared" si="3"/>
        <v>23917</v>
      </c>
      <c r="AP10" s="507">
        <f t="shared" si="4"/>
        <v>12205</v>
      </c>
      <c r="AR10" s="1259"/>
    </row>
    <row r="11" spans="1:44" ht="18" customHeight="1">
      <c r="A11" s="92" t="s">
        <v>970</v>
      </c>
      <c r="B11" s="523">
        <f>+'49'!B11+'50'!B11+'51'!B11+'52'!B11</f>
        <v>1026</v>
      </c>
      <c r="C11" s="522">
        <f>+'49'!C11+'50'!C11+'51'!C11+'52'!C11</f>
        <v>1232</v>
      </c>
      <c r="D11" s="522">
        <f>+'49'!D11+'50'!D11+'51'!D11+'52'!D11</f>
        <v>1241</v>
      </c>
      <c r="E11" s="507">
        <f>+'49'!E11+'50'!E11+'51'!E11+'52'!E11</f>
        <v>659</v>
      </c>
      <c r="F11" s="522">
        <f>+'49'!F11+'50'!F11+'51'!F11+'52'!F11</f>
        <v>0</v>
      </c>
      <c r="G11" s="522">
        <f>+'49'!G11+'50'!G11+'51'!G11+'52'!G11</f>
        <v>0</v>
      </c>
      <c r="H11" s="522">
        <f>+'49'!H11+'50'!H11+'51'!H11+'52'!H11</f>
        <v>0</v>
      </c>
      <c r="I11" s="522">
        <f>+'49'!I11+'50'!I11+'51'!I11+'52'!I11</f>
        <v>0</v>
      </c>
      <c r="J11" s="523">
        <f>+'49'!J11+'50'!J11+'51'!J11+'52'!J11</f>
        <v>0</v>
      </c>
      <c r="K11" s="522">
        <f>+'49'!K11+'50'!K11+'51'!K11+'52'!K11</f>
        <v>0</v>
      </c>
      <c r="L11" s="522">
        <f>+'49'!L11+'50'!L11+'51'!L11+'52'!L11</f>
        <v>0</v>
      </c>
      <c r="M11" s="507">
        <f>+'49'!M11+'50'!M11+'51'!M11+'52'!M11</f>
        <v>0</v>
      </c>
      <c r="N11" s="522">
        <f>+'49'!N11+'50'!N11+'51'!N11+'52'!N11</f>
        <v>0</v>
      </c>
      <c r="O11" s="522">
        <f>+'49'!O11+'50'!O11+'51'!O11+'52'!O11</f>
        <v>0</v>
      </c>
      <c r="P11" s="522">
        <f>+'49'!P11+'50'!P11+'51'!P11+'52'!P11</f>
        <v>0</v>
      </c>
      <c r="Q11" s="522">
        <f>+'49'!P11+'50'!P11+'51'!P11+'52'!P11</f>
        <v>0</v>
      </c>
      <c r="R11" s="352">
        <f>+'49'!R11+'50'!R11+'51'!R11+'52'!R11</f>
        <v>0</v>
      </c>
      <c r="S11" s="353">
        <f>+'49'!S11+'50'!S11+'51'!S11+'52'!S11</f>
        <v>0</v>
      </c>
      <c r="T11" s="353">
        <f>+'49'!T11+'50'!T11+'51'!T11+'52'!T11</f>
        <v>0</v>
      </c>
      <c r="U11" s="353">
        <f>+'49'!U11+'50'!U11+'51'!U11+'52'!U11</f>
        <v>0</v>
      </c>
      <c r="V11" s="352"/>
      <c r="W11" s="353"/>
      <c r="X11" s="353"/>
      <c r="Y11" s="353"/>
      <c r="Z11" s="352"/>
      <c r="AA11" s="353"/>
      <c r="AB11" s="466"/>
      <c r="AC11" s="522">
        <f>+'49'!AC11+'50'!AC11+'51'!AC11+'52'!AC11</f>
        <v>0</v>
      </c>
      <c r="AD11" s="522">
        <f>+'49'!AD11+'50'!AD11+'51'!AD11+'52'!AD11</f>
        <v>0</v>
      </c>
      <c r="AE11" s="522">
        <f>+'49'!AE11+'50'!AE11+'51'!AE11+'52'!AE11</f>
        <v>0</v>
      </c>
      <c r="AF11" s="522">
        <f>+'49'!AF11+'50'!AF11+'51'!AF11+'52'!AF11</f>
        <v>0</v>
      </c>
      <c r="AG11" s="523">
        <f>+'51'!AG11+'52'!AG11</f>
        <v>0</v>
      </c>
      <c r="AH11" s="522">
        <f>+'51'!AH11+'52'!AH11</f>
        <v>0</v>
      </c>
      <c r="AI11" s="522">
        <f>+'51'!AI11+'52'!AI11</f>
        <v>0</v>
      </c>
      <c r="AJ11" s="523">
        <f>+'51'!AK11+'52'!AK11</f>
        <v>0</v>
      </c>
      <c r="AK11" s="522"/>
      <c r="AL11" s="507">
        <f>+'51'!AL11+'52'!AL11</f>
        <v>0</v>
      </c>
      <c r="AM11" s="522">
        <f t="shared" si="1"/>
        <v>1026</v>
      </c>
      <c r="AN11" s="522">
        <f t="shared" si="2"/>
        <v>1232</v>
      </c>
      <c r="AO11" s="522">
        <f t="shared" si="3"/>
        <v>1241</v>
      </c>
      <c r="AP11" s="507">
        <f t="shared" si="4"/>
        <v>659</v>
      </c>
      <c r="AR11" s="1259"/>
    </row>
    <row r="12" spans="1:44" ht="18" customHeight="1">
      <c r="A12" s="92" t="s">
        <v>971</v>
      </c>
      <c r="B12" s="523">
        <f>+'49'!B12+'50'!B12+'51'!B12+'52'!B12</f>
        <v>0</v>
      </c>
      <c r="C12" s="522">
        <f>+'49'!C12+'50'!C12+'51'!C12+'52'!C12</f>
        <v>0</v>
      </c>
      <c r="D12" s="522">
        <f>+'49'!D12+'50'!D12+'51'!D12+'52'!D12</f>
        <v>0</v>
      </c>
      <c r="E12" s="507">
        <f>+'49'!E12+'50'!E12+'51'!E12+'52'!E12</f>
        <v>0</v>
      </c>
      <c r="F12" s="522">
        <f>+'49'!F12+'50'!F12+'51'!F12+'52'!F12</f>
        <v>975</v>
      </c>
      <c r="G12" s="522">
        <f>+'49'!G12+'50'!G12+'51'!G12+'52'!G12</f>
        <v>1321</v>
      </c>
      <c r="H12" s="522">
        <f>+'49'!H12+'50'!H12+'51'!H12+'52'!H12</f>
        <v>1562</v>
      </c>
      <c r="I12" s="522">
        <f>+'49'!I12+'50'!I12+'51'!I12+'52'!I12</f>
        <v>1082</v>
      </c>
      <c r="J12" s="523">
        <f>+'49'!J12+'50'!J12+'51'!J12+'52'!J12</f>
        <v>0</v>
      </c>
      <c r="K12" s="522">
        <f>+'49'!K12+'50'!K12+'51'!K12+'52'!K12</f>
        <v>0</v>
      </c>
      <c r="L12" s="522">
        <f>+'49'!L12+'50'!L12+'51'!L12+'52'!L12</f>
        <v>0</v>
      </c>
      <c r="M12" s="507">
        <f>+'49'!M12+'50'!M12+'51'!M12+'52'!M12</f>
        <v>0</v>
      </c>
      <c r="N12" s="522">
        <f>+'49'!N12+'50'!N12+'51'!N12+'52'!N12</f>
        <v>0</v>
      </c>
      <c r="O12" s="522">
        <f>+'49'!O12+'50'!O12+'51'!O12+'52'!O12</f>
        <v>0</v>
      </c>
      <c r="P12" s="522">
        <f>+'49'!P12+'50'!P12+'51'!P12+'52'!P12</f>
        <v>0</v>
      </c>
      <c r="Q12" s="522">
        <f>+'49'!P12+'50'!P12+'51'!P12+'52'!P12</f>
        <v>0</v>
      </c>
      <c r="R12" s="352">
        <f>+'49'!R12+'50'!R12+'51'!R12+'52'!R12</f>
        <v>0</v>
      </c>
      <c r="S12" s="353">
        <f>+'49'!S12+'50'!S12+'51'!S12+'52'!S12</f>
        <v>0</v>
      </c>
      <c r="T12" s="353">
        <f>+'49'!T12+'50'!T12+'51'!T12+'52'!T12</f>
        <v>0</v>
      </c>
      <c r="U12" s="353">
        <f>+'49'!U12+'50'!U12+'51'!U12+'52'!U12</f>
        <v>0</v>
      </c>
      <c r="V12" s="352"/>
      <c r="W12" s="353"/>
      <c r="X12" s="353"/>
      <c r="Y12" s="353"/>
      <c r="Z12" s="352"/>
      <c r="AA12" s="353"/>
      <c r="AB12" s="466"/>
      <c r="AC12" s="522">
        <f>+'49'!AC12+'50'!AC12+'51'!AC12+'52'!AC12</f>
        <v>0</v>
      </c>
      <c r="AD12" s="522">
        <f>+'49'!AD12+'50'!AD12+'51'!AD12+'52'!AD12</f>
        <v>0</v>
      </c>
      <c r="AE12" s="522">
        <f>+'49'!AE12+'50'!AE12+'51'!AE12+'52'!AE12</f>
        <v>0</v>
      </c>
      <c r="AF12" s="522">
        <f>+'49'!AF12+'50'!AF12+'51'!AF12+'52'!AF12</f>
        <v>0</v>
      </c>
      <c r="AG12" s="523">
        <f>+'51'!AG12+'52'!AG12</f>
        <v>0</v>
      </c>
      <c r="AH12" s="522">
        <f>+'51'!AH12+'52'!AH12</f>
        <v>0</v>
      </c>
      <c r="AI12" s="522">
        <f>+'51'!AI12+'52'!AI12</f>
        <v>0</v>
      </c>
      <c r="AJ12" s="523">
        <f>+'51'!AK12+'52'!AK12</f>
        <v>0</v>
      </c>
      <c r="AK12" s="522"/>
      <c r="AL12" s="507">
        <f>+'51'!AL12+'52'!AL12</f>
        <v>0</v>
      </c>
      <c r="AM12" s="522">
        <f t="shared" si="1"/>
        <v>975</v>
      </c>
      <c r="AN12" s="522">
        <f t="shared" si="2"/>
        <v>1321</v>
      </c>
      <c r="AO12" s="522">
        <f t="shared" si="3"/>
        <v>1562</v>
      </c>
      <c r="AP12" s="507">
        <f t="shared" si="4"/>
        <v>1082</v>
      </c>
      <c r="AR12" s="1259"/>
    </row>
    <row r="13" spans="1:44" ht="18" customHeight="1">
      <c r="A13" s="92" t="s">
        <v>1004</v>
      </c>
      <c r="B13" s="523">
        <f>+'49'!B13+'50'!B13+'51'!B13+'52'!B13</f>
        <v>3280</v>
      </c>
      <c r="C13" s="522">
        <f>+'49'!C13+'50'!C13+'51'!C13+'52'!C13</f>
        <v>3214</v>
      </c>
      <c r="D13" s="522">
        <f>+'49'!D13+'50'!D13+'51'!D13+'52'!D13</f>
        <v>3151</v>
      </c>
      <c r="E13" s="507">
        <f>+'49'!E13+'50'!E13+'51'!E13+'52'!E13</f>
        <v>1140</v>
      </c>
      <c r="F13" s="522">
        <f>+'49'!F13+'50'!F13+'51'!F13+'52'!F13</f>
        <v>1979</v>
      </c>
      <c r="G13" s="522">
        <f>+'49'!G13+'50'!G13+'51'!G13+'52'!G13</f>
        <v>2181</v>
      </c>
      <c r="H13" s="522">
        <f>+'49'!H13+'50'!H13+'51'!H13+'52'!H13</f>
        <v>2169</v>
      </c>
      <c r="I13" s="522">
        <f>+'49'!I13+'50'!I13+'51'!I13+'52'!I13</f>
        <v>1272</v>
      </c>
      <c r="J13" s="523">
        <f>+'49'!J13+'50'!J13+'51'!J13+'52'!J13</f>
        <v>0</v>
      </c>
      <c r="K13" s="522">
        <f>+'49'!K13+'50'!K13+'51'!K13+'52'!K13</f>
        <v>0</v>
      </c>
      <c r="L13" s="522">
        <f>+'49'!L13+'50'!L13+'51'!L13+'52'!L13</f>
        <v>0</v>
      </c>
      <c r="M13" s="507">
        <f>+'49'!M13+'50'!M13+'51'!M13+'52'!M13</f>
        <v>0</v>
      </c>
      <c r="N13" s="522">
        <f>+'49'!N13+'50'!N13+'51'!N13+'52'!N13</f>
        <v>0</v>
      </c>
      <c r="O13" s="522">
        <f>+'49'!O13+'50'!O13+'51'!O13+'52'!O13</f>
        <v>0</v>
      </c>
      <c r="P13" s="522">
        <f>+'49'!P13+'50'!P13+'51'!P13+'52'!P13</f>
        <v>0</v>
      </c>
      <c r="Q13" s="522">
        <f>+'49'!P13+'50'!P13+'51'!P13+'52'!P13</f>
        <v>0</v>
      </c>
      <c r="R13" s="352">
        <f>+'49'!R13+'50'!R13+'51'!R13+'52'!R13</f>
        <v>0</v>
      </c>
      <c r="S13" s="353">
        <f>+'49'!S13+'50'!S13+'51'!S13+'52'!S13</f>
        <v>0</v>
      </c>
      <c r="T13" s="353">
        <f>+'49'!T13+'50'!T13+'51'!T13+'52'!T13</f>
        <v>0</v>
      </c>
      <c r="U13" s="353">
        <f>+'49'!U13+'50'!U13+'51'!U13+'52'!U13</f>
        <v>0</v>
      </c>
      <c r="V13" s="352"/>
      <c r="W13" s="353"/>
      <c r="X13" s="353"/>
      <c r="Y13" s="353"/>
      <c r="Z13" s="352"/>
      <c r="AA13" s="353"/>
      <c r="AB13" s="466"/>
      <c r="AC13" s="522">
        <f>+'49'!AC13+'50'!AC13+'51'!AC13+'52'!AC13</f>
        <v>0</v>
      </c>
      <c r="AD13" s="522">
        <f>+'49'!AD13+'50'!AD13+'51'!AD13+'52'!AD13</f>
        <v>0</v>
      </c>
      <c r="AE13" s="522">
        <f>+'49'!AE13+'50'!AE13+'51'!AE13+'52'!AE13</f>
        <v>0</v>
      </c>
      <c r="AF13" s="522">
        <f>+'49'!AF13+'50'!AF13+'51'!AF13+'52'!AF13</f>
        <v>0</v>
      </c>
      <c r="AG13" s="523">
        <f>+'51'!AG13+'52'!AG13</f>
        <v>0</v>
      </c>
      <c r="AH13" s="522">
        <f>+'51'!AH13+'52'!AH13</f>
        <v>0</v>
      </c>
      <c r="AI13" s="522">
        <f>+'51'!AI13+'52'!AI13</f>
        <v>0</v>
      </c>
      <c r="AJ13" s="523">
        <f>+'51'!AK13+'52'!AK13</f>
        <v>0</v>
      </c>
      <c r="AK13" s="522"/>
      <c r="AL13" s="507">
        <f>+'51'!AL13+'52'!AL13</f>
        <v>0</v>
      </c>
      <c r="AM13" s="522">
        <f t="shared" si="1"/>
        <v>5259</v>
      </c>
      <c r="AN13" s="522">
        <f t="shared" si="2"/>
        <v>5395</v>
      </c>
      <c r="AO13" s="522">
        <f t="shared" si="3"/>
        <v>5320</v>
      </c>
      <c r="AP13" s="507">
        <f t="shared" si="4"/>
        <v>2412</v>
      </c>
      <c r="AR13" s="1259"/>
    </row>
    <row r="14" spans="1:44" ht="18" customHeight="1">
      <c r="A14" s="506" t="s">
        <v>973</v>
      </c>
      <c r="B14" s="523">
        <f>+'49'!B14+'50'!B14+'51'!B14+'52'!B14</f>
        <v>0</v>
      </c>
      <c r="C14" s="522">
        <f>+'49'!C14+'50'!C14+'51'!C14+'52'!C14</f>
        <v>0</v>
      </c>
      <c r="D14" s="522">
        <f>+'49'!D14+'50'!D14+'51'!D14+'52'!D14</f>
        <v>0</v>
      </c>
      <c r="E14" s="507">
        <f>+'49'!E14+'50'!E14+'51'!E14+'52'!E14</f>
        <v>0</v>
      </c>
      <c r="F14" s="522">
        <f>+'49'!F14+'50'!F14+'51'!F14+'52'!F14</f>
        <v>1029</v>
      </c>
      <c r="G14" s="522">
        <f>+'49'!G14+'50'!G14+'51'!G14+'52'!G14</f>
        <v>1061</v>
      </c>
      <c r="H14" s="522">
        <f>+'49'!H14+'50'!H14+'51'!H14+'52'!H14</f>
        <v>2152</v>
      </c>
      <c r="I14" s="522">
        <f>+'49'!I14+'50'!I14+'51'!I14+'52'!I14</f>
        <v>1450</v>
      </c>
      <c r="J14" s="523">
        <f>+'49'!J14+'50'!J14+'51'!J14+'52'!J14</f>
        <v>0</v>
      </c>
      <c r="K14" s="522">
        <f>+'49'!K14+'50'!K14+'51'!K14+'52'!K14</f>
        <v>0</v>
      </c>
      <c r="L14" s="522">
        <f>+'49'!L14+'50'!L14+'51'!L14+'52'!L14</f>
        <v>0</v>
      </c>
      <c r="M14" s="507">
        <f>+'49'!M14+'50'!M14+'51'!M14+'52'!M14</f>
        <v>0</v>
      </c>
      <c r="N14" s="522">
        <f>+'49'!N14+'50'!N14+'51'!N14+'52'!N14</f>
        <v>0</v>
      </c>
      <c r="O14" s="522">
        <f>+'49'!O14+'50'!O14+'51'!O14+'52'!O14</f>
        <v>0</v>
      </c>
      <c r="P14" s="522">
        <f>+'49'!P14+'50'!P14+'51'!P14+'52'!P14</f>
        <v>0</v>
      </c>
      <c r="Q14" s="522">
        <f>+'49'!P14+'50'!P14+'51'!P14+'52'!P14</f>
        <v>0</v>
      </c>
      <c r="R14" s="352">
        <f>+'49'!R14+'50'!R14+'51'!R14+'52'!R14</f>
        <v>0</v>
      </c>
      <c r="S14" s="353">
        <f>+'49'!S14+'50'!S14+'51'!S14+'52'!S14</f>
        <v>0</v>
      </c>
      <c r="T14" s="353">
        <f>+'49'!T14+'50'!T14+'51'!T14+'52'!T14</f>
        <v>0</v>
      </c>
      <c r="U14" s="353">
        <f>+'49'!U14+'50'!U14+'51'!U14+'52'!U14</f>
        <v>0</v>
      </c>
      <c r="V14" s="352"/>
      <c r="W14" s="353"/>
      <c r="X14" s="353"/>
      <c r="Y14" s="353"/>
      <c r="Z14" s="352"/>
      <c r="AA14" s="353"/>
      <c r="AB14" s="466"/>
      <c r="AC14" s="522">
        <f>+'49'!AC14+'50'!AC14+'51'!AC14+'52'!AC14</f>
        <v>0</v>
      </c>
      <c r="AD14" s="522">
        <f>+'49'!AD14+'50'!AD14+'51'!AD14+'52'!AD14</f>
        <v>0</v>
      </c>
      <c r="AE14" s="522">
        <f>+'49'!AE14+'50'!AE14+'51'!AE14+'52'!AE14</f>
        <v>0</v>
      </c>
      <c r="AF14" s="522">
        <f>+'49'!AF14+'50'!AF14+'51'!AF14+'52'!AF14</f>
        <v>0</v>
      </c>
      <c r="AG14" s="523">
        <f>+'51'!AG14+'52'!AG14</f>
        <v>0</v>
      </c>
      <c r="AH14" s="522">
        <f>+'51'!AH14+'52'!AH14</f>
        <v>0</v>
      </c>
      <c r="AI14" s="522">
        <f>+'51'!AI14+'52'!AI14</f>
        <v>0</v>
      </c>
      <c r="AJ14" s="523">
        <f>+'51'!AK14+'52'!AK14</f>
        <v>0</v>
      </c>
      <c r="AK14" s="522"/>
      <c r="AL14" s="507">
        <f>+'51'!AL14+'52'!AL14</f>
        <v>0</v>
      </c>
      <c r="AM14" s="522">
        <f t="shared" si="1"/>
        <v>1029</v>
      </c>
      <c r="AN14" s="522">
        <f t="shared" si="2"/>
        <v>1061</v>
      </c>
      <c r="AO14" s="522">
        <f t="shared" si="3"/>
        <v>2152</v>
      </c>
      <c r="AP14" s="507">
        <f t="shared" si="4"/>
        <v>1450</v>
      </c>
      <c r="AR14" s="1259"/>
    </row>
    <row r="15" spans="1:44" ht="18" customHeight="1">
      <c r="A15" s="506" t="s">
        <v>974</v>
      </c>
      <c r="B15" s="523">
        <f>+'49'!B15+'50'!B15+'51'!B15+'52'!B15</f>
        <v>711</v>
      </c>
      <c r="C15" s="522">
        <f>+'49'!C15+'50'!C15+'51'!C15+'52'!C15</f>
        <v>665</v>
      </c>
      <c r="D15" s="522">
        <f>+'49'!D15+'50'!D15+'51'!D15+'52'!D15</f>
        <v>640</v>
      </c>
      <c r="E15" s="507">
        <f>+'49'!E15+'50'!E15+'51'!E15+'52'!E15</f>
        <v>66</v>
      </c>
      <c r="F15" s="522">
        <f>+'49'!F15+'50'!F15+'51'!F15+'52'!F15</f>
        <v>1156</v>
      </c>
      <c r="G15" s="522">
        <f>+'49'!G15+'50'!G15+'51'!G15+'52'!G15</f>
        <v>1206</v>
      </c>
      <c r="H15" s="522">
        <f>+'49'!H15+'50'!H15+'51'!H15+'52'!H15</f>
        <v>1146</v>
      </c>
      <c r="I15" s="522">
        <f>+'49'!I15+'50'!I15+'51'!I15+'52'!I15</f>
        <v>462</v>
      </c>
      <c r="J15" s="523">
        <f>+'49'!J15+'50'!J15+'51'!J15+'52'!J15</f>
        <v>0</v>
      </c>
      <c r="K15" s="522">
        <f>+'49'!K15+'50'!K15+'51'!K15+'52'!K15</f>
        <v>0</v>
      </c>
      <c r="L15" s="522">
        <f>+'49'!L15+'50'!L15+'51'!L15+'52'!L15</f>
        <v>0</v>
      </c>
      <c r="M15" s="507">
        <f>+'49'!M15+'50'!M15+'51'!M15+'52'!M15</f>
        <v>0</v>
      </c>
      <c r="N15" s="522">
        <f>+'49'!N15+'50'!N15+'51'!N15+'52'!N15</f>
        <v>0</v>
      </c>
      <c r="O15" s="522">
        <f>+'49'!O15+'50'!O15+'51'!O15+'52'!O15</f>
        <v>0</v>
      </c>
      <c r="P15" s="522">
        <f>+'49'!P15+'50'!P15+'51'!P15+'52'!P15</f>
        <v>0</v>
      </c>
      <c r="Q15" s="522">
        <f>+'49'!P15+'50'!P15+'51'!P15+'52'!P15</f>
        <v>0</v>
      </c>
      <c r="R15" s="352">
        <f>+'49'!R15+'50'!R15+'51'!R15+'52'!R15</f>
        <v>0</v>
      </c>
      <c r="S15" s="353">
        <f>+'49'!S15+'50'!S15+'51'!S15+'52'!S15</f>
        <v>0</v>
      </c>
      <c r="T15" s="353">
        <f>+'49'!T15+'50'!T15+'51'!T15+'52'!T15</f>
        <v>0</v>
      </c>
      <c r="U15" s="353">
        <f>+'49'!U15+'50'!U15+'51'!U15+'52'!U15</f>
        <v>0</v>
      </c>
      <c r="V15" s="352"/>
      <c r="W15" s="353"/>
      <c r="X15" s="353"/>
      <c r="Y15" s="353"/>
      <c r="Z15" s="352"/>
      <c r="AA15" s="353"/>
      <c r="AB15" s="466"/>
      <c r="AC15" s="522">
        <f>+'49'!AC15+'50'!AC15+'51'!AC15+'52'!AC15</f>
        <v>0</v>
      </c>
      <c r="AD15" s="522">
        <f>+'49'!AD15+'50'!AD15+'51'!AD15+'52'!AD15</f>
        <v>0</v>
      </c>
      <c r="AE15" s="522">
        <f>+'49'!AE15+'50'!AE15+'51'!AE15+'52'!AE15</f>
        <v>0</v>
      </c>
      <c r="AF15" s="522">
        <f>+'49'!AF15+'50'!AF15+'51'!AF15+'52'!AF15</f>
        <v>0</v>
      </c>
      <c r="AG15" s="523">
        <f>+'51'!AG15+'52'!AG15</f>
        <v>0</v>
      </c>
      <c r="AH15" s="522">
        <f>+'51'!AH15+'52'!AH15</f>
        <v>0</v>
      </c>
      <c r="AI15" s="522">
        <f>+'51'!AI15+'52'!AI15</f>
        <v>0</v>
      </c>
      <c r="AJ15" s="523">
        <f>+'51'!AK15+'52'!AK15</f>
        <v>0</v>
      </c>
      <c r="AK15" s="522"/>
      <c r="AL15" s="507">
        <f>+'51'!AL15+'52'!AL15</f>
        <v>0</v>
      </c>
      <c r="AM15" s="522">
        <f t="shared" si="1"/>
        <v>1867</v>
      </c>
      <c r="AN15" s="522">
        <f t="shared" si="2"/>
        <v>1871</v>
      </c>
      <c r="AO15" s="522">
        <f t="shared" si="3"/>
        <v>1786</v>
      </c>
      <c r="AP15" s="507">
        <f t="shared" si="4"/>
        <v>528</v>
      </c>
      <c r="AR15" s="1259"/>
    </row>
    <row r="16" spans="1:44" ht="18" customHeight="1">
      <c r="A16" s="506" t="s">
        <v>975</v>
      </c>
      <c r="B16" s="523">
        <f>+'49'!B16+'50'!B16+'51'!B16+'52'!B16</f>
        <v>513</v>
      </c>
      <c r="C16" s="522">
        <f>+'49'!C16+'50'!C16+'51'!C16+'52'!C16</f>
        <v>0</v>
      </c>
      <c r="D16" s="522">
        <f>+'49'!D16+'50'!D16+'51'!D16+'52'!D16</f>
        <v>0</v>
      </c>
      <c r="E16" s="507">
        <f>+'49'!E16+'50'!E16+'51'!E16+'52'!E16</f>
        <v>0</v>
      </c>
      <c r="F16" s="522">
        <f>+'49'!F16+'50'!F16+'51'!F16+'52'!F16</f>
        <v>0</v>
      </c>
      <c r="G16" s="522">
        <f>+'49'!G16+'50'!G16+'51'!G16+'52'!G16</f>
        <v>0</v>
      </c>
      <c r="H16" s="522">
        <f>+'49'!H16+'50'!H16+'51'!H16+'52'!H16</f>
        <v>0</v>
      </c>
      <c r="I16" s="522">
        <f>+'49'!I16+'50'!I16+'51'!I16+'52'!I16</f>
        <v>0</v>
      </c>
      <c r="J16" s="523">
        <f>+'49'!J16+'50'!J16+'51'!J16+'52'!J16</f>
        <v>0</v>
      </c>
      <c r="K16" s="522">
        <f>+'49'!K16+'50'!K16+'51'!K16+'52'!K16</f>
        <v>0</v>
      </c>
      <c r="L16" s="522">
        <f>+'49'!L16+'50'!L16+'51'!L16+'52'!L16</f>
        <v>0</v>
      </c>
      <c r="M16" s="507">
        <f>+'49'!M16+'50'!M16+'51'!M16+'52'!M16</f>
        <v>0</v>
      </c>
      <c r="N16" s="522">
        <f>+'49'!N16+'50'!N16+'51'!N16+'52'!N16</f>
        <v>0</v>
      </c>
      <c r="O16" s="522">
        <f>+'49'!O16+'50'!O16+'51'!O16+'52'!O16</f>
        <v>0</v>
      </c>
      <c r="P16" s="522">
        <f>+'49'!P16+'50'!P16+'51'!P16+'52'!P16</f>
        <v>0</v>
      </c>
      <c r="Q16" s="522">
        <f>+'49'!P16+'50'!P16+'51'!P16+'52'!P16</f>
        <v>0</v>
      </c>
      <c r="R16" s="352">
        <f>+'49'!R16+'50'!R16+'51'!R16+'52'!R16</f>
        <v>0</v>
      </c>
      <c r="S16" s="353">
        <f>+'49'!S16+'50'!S16+'51'!S16+'52'!S16</f>
        <v>0</v>
      </c>
      <c r="T16" s="353">
        <f>+'49'!T16+'50'!T16+'51'!T16+'52'!T16</f>
        <v>0</v>
      </c>
      <c r="U16" s="353">
        <f>+'49'!U16+'50'!U16+'51'!U16+'52'!U16</f>
        <v>0</v>
      </c>
      <c r="V16" s="352"/>
      <c r="W16" s="353"/>
      <c r="X16" s="353"/>
      <c r="Y16" s="353"/>
      <c r="Z16" s="352"/>
      <c r="AA16" s="353"/>
      <c r="AB16" s="466"/>
      <c r="AC16" s="522">
        <f>+'49'!AC16+'50'!AC16+'51'!AC16+'52'!AC16</f>
        <v>0</v>
      </c>
      <c r="AD16" s="522">
        <f>+'49'!AD16+'50'!AD16+'51'!AD16+'52'!AD16</f>
        <v>0</v>
      </c>
      <c r="AE16" s="522">
        <f>+'49'!AE16+'50'!AE16+'51'!AE16+'52'!AE16</f>
        <v>0</v>
      </c>
      <c r="AF16" s="522">
        <f>+'49'!AF16+'50'!AF16+'51'!AF16+'52'!AF16</f>
        <v>0</v>
      </c>
      <c r="AG16" s="523">
        <f>+'51'!AG16+'52'!AG16</f>
        <v>0</v>
      </c>
      <c r="AH16" s="522">
        <f>+'51'!AH16+'52'!AH16</f>
        <v>0</v>
      </c>
      <c r="AI16" s="522">
        <f>+'51'!AI16+'52'!AI16</f>
        <v>0</v>
      </c>
      <c r="AJ16" s="523">
        <f>+'51'!AK16+'52'!AK16</f>
        <v>0</v>
      </c>
      <c r="AK16" s="522"/>
      <c r="AL16" s="507">
        <f>+'51'!AL16+'52'!AL16</f>
        <v>0</v>
      </c>
      <c r="AM16" s="522">
        <f t="shared" si="1"/>
        <v>513</v>
      </c>
      <c r="AN16" s="522">
        <f t="shared" si="2"/>
        <v>0</v>
      </c>
      <c r="AO16" s="522">
        <f t="shared" si="3"/>
        <v>0</v>
      </c>
      <c r="AP16" s="507">
        <f t="shared" si="4"/>
        <v>0</v>
      </c>
      <c r="AR16" s="1259"/>
    </row>
    <row r="17" spans="1:44" ht="18" customHeight="1">
      <c r="A17" s="506" t="s">
        <v>976</v>
      </c>
      <c r="B17" s="523">
        <f>+'49'!B17+'50'!B17+'51'!B17+'52'!B17</f>
        <v>768</v>
      </c>
      <c r="C17" s="522">
        <f>+'49'!C17+'50'!C17+'51'!C17+'52'!C17</f>
        <v>768</v>
      </c>
      <c r="D17" s="522">
        <f>+'49'!D17+'50'!D17+'51'!D17+'52'!D17</f>
        <v>721</v>
      </c>
      <c r="E17" s="507">
        <f>+'49'!E17+'50'!E17+'51'!E17+'52'!E17</f>
        <v>508</v>
      </c>
      <c r="F17" s="522">
        <f>+'49'!F17+'50'!F17+'51'!F17+'52'!F17</f>
        <v>0</v>
      </c>
      <c r="G17" s="522">
        <f>+'49'!G17+'50'!G17+'51'!G17+'52'!G17</f>
        <v>0</v>
      </c>
      <c r="H17" s="522">
        <f>+'49'!H17+'50'!H17+'51'!H17+'52'!H17</f>
        <v>0</v>
      </c>
      <c r="I17" s="522">
        <f>+'49'!I17+'50'!I17+'51'!I17+'52'!I17</f>
        <v>0</v>
      </c>
      <c r="J17" s="523">
        <f>+'49'!J17+'50'!J17+'51'!J17+'52'!J17</f>
        <v>0</v>
      </c>
      <c r="K17" s="522">
        <f>+'49'!K17+'50'!K17+'51'!K17+'52'!K17</f>
        <v>0</v>
      </c>
      <c r="L17" s="522">
        <f>+'49'!L17+'50'!L17+'51'!L17+'52'!L17</f>
        <v>0</v>
      </c>
      <c r="M17" s="507">
        <f>+'49'!M17+'50'!M17+'51'!M17+'52'!M17</f>
        <v>0</v>
      </c>
      <c r="N17" s="522">
        <f>+'49'!N17+'50'!N17+'51'!N17+'52'!N17</f>
        <v>0</v>
      </c>
      <c r="O17" s="522">
        <f>+'49'!O17+'50'!O17+'51'!O17+'52'!O17</f>
        <v>0</v>
      </c>
      <c r="P17" s="522">
        <f>+'49'!P17+'50'!P17+'51'!P17+'52'!P17</f>
        <v>0</v>
      </c>
      <c r="Q17" s="522">
        <f>+'49'!P17+'50'!P17+'51'!P17+'52'!P17</f>
        <v>0</v>
      </c>
      <c r="R17" s="352">
        <f>+'49'!R17+'50'!R17+'51'!R17+'52'!R17</f>
        <v>0</v>
      </c>
      <c r="S17" s="353">
        <f>+'49'!S17+'50'!S17+'51'!S17+'52'!S17</f>
        <v>0</v>
      </c>
      <c r="T17" s="353">
        <f>+'49'!T17+'50'!T17+'51'!T17+'52'!T17</f>
        <v>0</v>
      </c>
      <c r="U17" s="353">
        <f>+'49'!U17+'50'!U17+'51'!U17+'52'!U17</f>
        <v>0</v>
      </c>
      <c r="V17" s="352"/>
      <c r="W17" s="353"/>
      <c r="X17" s="353"/>
      <c r="Y17" s="353"/>
      <c r="Z17" s="352"/>
      <c r="AA17" s="353"/>
      <c r="AB17" s="466"/>
      <c r="AC17" s="522">
        <f>+'49'!AC17+'50'!AC17+'51'!AC17+'52'!AC17</f>
        <v>0</v>
      </c>
      <c r="AD17" s="522">
        <f>+'49'!AD17+'50'!AD17+'51'!AD17+'52'!AD17</f>
        <v>0</v>
      </c>
      <c r="AE17" s="522">
        <f>+'49'!AE17+'50'!AE17+'51'!AE17+'52'!AE17</f>
        <v>0</v>
      </c>
      <c r="AF17" s="522">
        <f>+'49'!AF17+'50'!AF17+'51'!AF17+'52'!AF17</f>
        <v>0</v>
      </c>
      <c r="AG17" s="523">
        <f>+'51'!AG17+'52'!AG17</f>
        <v>0</v>
      </c>
      <c r="AH17" s="522">
        <f>+'51'!AH17+'52'!AH17</f>
        <v>0</v>
      </c>
      <c r="AI17" s="522">
        <f>+'51'!AI17+'52'!AI17</f>
        <v>0</v>
      </c>
      <c r="AJ17" s="523">
        <f>+'51'!AK17+'52'!AK17</f>
        <v>0</v>
      </c>
      <c r="AK17" s="522"/>
      <c r="AL17" s="507">
        <f>+'51'!AL17+'52'!AL17</f>
        <v>0</v>
      </c>
      <c r="AM17" s="522">
        <f t="shared" si="1"/>
        <v>768</v>
      </c>
      <c r="AN17" s="522">
        <f t="shared" si="2"/>
        <v>768</v>
      </c>
      <c r="AO17" s="522">
        <f t="shared" si="3"/>
        <v>721</v>
      </c>
      <c r="AP17" s="507">
        <f t="shared" si="4"/>
        <v>508</v>
      </c>
      <c r="AR17" s="1259"/>
    </row>
    <row r="18" spans="1:44" ht="18" customHeight="1">
      <c r="A18" s="506" t="s">
        <v>977</v>
      </c>
      <c r="B18" s="523">
        <f>+'49'!B18+'50'!B18+'51'!B18+'52'!B18</f>
        <v>0</v>
      </c>
      <c r="C18" s="522">
        <f>+'49'!C18+'50'!C18+'51'!C18+'52'!C18</f>
        <v>0</v>
      </c>
      <c r="D18" s="522">
        <f>+'49'!D18+'50'!D18+'51'!D18+'52'!D18</f>
        <v>0</v>
      </c>
      <c r="E18" s="507">
        <f>+'49'!E18+'50'!E18+'51'!E18+'52'!E18</f>
        <v>0</v>
      </c>
      <c r="F18" s="522">
        <f>+'49'!F18+'50'!F18+'51'!F18+'52'!F18</f>
        <v>2628</v>
      </c>
      <c r="G18" s="522">
        <f>+'49'!G18+'50'!G18+'51'!G18+'52'!G18</f>
        <v>2807</v>
      </c>
      <c r="H18" s="522">
        <f>+'49'!H18+'50'!H18+'51'!H18+'52'!H18</f>
        <v>2919</v>
      </c>
      <c r="I18" s="522">
        <f>+'49'!I18+'50'!I18+'51'!I18+'52'!I18</f>
        <v>1457</v>
      </c>
      <c r="J18" s="523">
        <f>+'49'!J18+'50'!J18+'51'!J18+'52'!J18</f>
        <v>0</v>
      </c>
      <c r="K18" s="522">
        <f>+'49'!K18+'50'!K18+'51'!K18+'52'!K18</f>
        <v>0</v>
      </c>
      <c r="L18" s="522">
        <f>+'49'!L18+'50'!L18+'51'!L18+'52'!L18</f>
        <v>0</v>
      </c>
      <c r="M18" s="507">
        <f>+'49'!M18+'50'!M18+'51'!M18+'52'!M18</f>
        <v>0</v>
      </c>
      <c r="N18" s="522">
        <f>+'49'!N18+'50'!N18+'51'!N18+'52'!N18</f>
        <v>0</v>
      </c>
      <c r="O18" s="522">
        <f>+'49'!O18+'50'!O18+'51'!O18+'52'!O18</f>
        <v>0</v>
      </c>
      <c r="P18" s="522">
        <f>+'49'!P18+'50'!P18+'51'!P18+'52'!P18</f>
        <v>0</v>
      </c>
      <c r="Q18" s="522">
        <f>+'49'!P18+'50'!P18+'51'!P18+'52'!P18</f>
        <v>0</v>
      </c>
      <c r="R18" s="352">
        <f>+'49'!R18+'50'!R18+'51'!R18+'52'!R18</f>
        <v>0</v>
      </c>
      <c r="S18" s="353">
        <f>+'49'!S18+'50'!S18+'51'!S18+'52'!S18</f>
        <v>0</v>
      </c>
      <c r="T18" s="353">
        <f>+'49'!T18+'50'!T18+'51'!T18+'52'!T18</f>
        <v>0</v>
      </c>
      <c r="U18" s="353">
        <f>+'49'!U18+'50'!U18+'51'!U18+'52'!U18</f>
        <v>0</v>
      </c>
      <c r="V18" s="352"/>
      <c r="W18" s="353"/>
      <c r="X18" s="353"/>
      <c r="Y18" s="353"/>
      <c r="Z18" s="352"/>
      <c r="AA18" s="353"/>
      <c r="AB18" s="466"/>
      <c r="AC18" s="522">
        <f>+'49'!AC18+'50'!AC18+'51'!AC18+'52'!AC18</f>
        <v>0</v>
      </c>
      <c r="AD18" s="522">
        <f>+'49'!AD18+'50'!AD18+'51'!AD18+'52'!AD18</f>
        <v>0</v>
      </c>
      <c r="AE18" s="522">
        <f>+'49'!AE18+'50'!AE18+'51'!AE18+'52'!AE18</f>
        <v>0</v>
      </c>
      <c r="AF18" s="522">
        <f>+'49'!AF18+'50'!AF18+'51'!AF18+'52'!AF18</f>
        <v>0</v>
      </c>
      <c r="AG18" s="523">
        <f>+'51'!AG18+'52'!AG18</f>
        <v>0</v>
      </c>
      <c r="AH18" s="522">
        <f>+'51'!AH18+'52'!AH18</f>
        <v>0</v>
      </c>
      <c r="AI18" s="522">
        <f>+'51'!AI18+'52'!AI18</f>
        <v>0</v>
      </c>
      <c r="AJ18" s="523">
        <f>+'51'!AK18+'52'!AK18</f>
        <v>0</v>
      </c>
      <c r="AK18" s="522"/>
      <c r="AL18" s="507">
        <f>+'51'!AL18+'52'!AL18</f>
        <v>0</v>
      </c>
      <c r="AM18" s="522">
        <f t="shared" si="1"/>
        <v>2628</v>
      </c>
      <c r="AN18" s="522">
        <f t="shared" si="2"/>
        <v>2807</v>
      </c>
      <c r="AO18" s="522">
        <f t="shared" si="3"/>
        <v>2919</v>
      </c>
      <c r="AP18" s="507">
        <f t="shared" si="4"/>
        <v>1457</v>
      </c>
      <c r="AR18" s="1259"/>
    </row>
    <row r="19" spans="1:44" ht="18" customHeight="1">
      <c r="A19" s="92" t="s">
        <v>978</v>
      </c>
      <c r="B19" s="523">
        <f>+'49'!B19+'50'!B19+'51'!B19+'52'!B19</f>
        <v>0</v>
      </c>
      <c r="C19" s="522">
        <f>+'49'!C19+'50'!C19+'51'!C19+'52'!C19</f>
        <v>0</v>
      </c>
      <c r="D19" s="522">
        <f>+'49'!D19+'50'!D19+'51'!D19+'52'!D19</f>
        <v>0</v>
      </c>
      <c r="E19" s="507">
        <f>+'49'!E19+'50'!E19+'51'!E19+'52'!E19</f>
        <v>0</v>
      </c>
      <c r="F19" s="522">
        <f>+'49'!F19+'50'!F19+'51'!F19+'52'!F19</f>
        <v>2694</v>
      </c>
      <c r="G19" s="522">
        <f>+'49'!G19+'50'!G19+'51'!G19+'52'!G19</f>
        <v>2632</v>
      </c>
      <c r="H19" s="522">
        <f>+'49'!H19+'50'!H19+'51'!H19+'52'!H19</f>
        <v>3225</v>
      </c>
      <c r="I19" s="522">
        <f>+'49'!I19+'50'!I19+'51'!I19+'52'!I19</f>
        <v>671</v>
      </c>
      <c r="J19" s="523">
        <f>+'49'!J19+'50'!J19+'51'!J19+'52'!J19</f>
        <v>0</v>
      </c>
      <c r="K19" s="522">
        <f>+'49'!K19+'50'!K19+'51'!K19+'52'!K19</f>
        <v>0</v>
      </c>
      <c r="L19" s="522">
        <f>+'49'!L19+'50'!L19+'51'!L19+'52'!L19</f>
        <v>0</v>
      </c>
      <c r="M19" s="507">
        <f>+'49'!M19+'50'!M19+'51'!M19+'52'!M19</f>
        <v>0</v>
      </c>
      <c r="N19" s="522">
        <f>+'49'!N19+'50'!N19+'51'!N19+'52'!N19</f>
        <v>0</v>
      </c>
      <c r="O19" s="522">
        <f>+'49'!O19+'50'!O19+'51'!O19+'52'!O19</f>
        <v>0</v>
      </c>
      <c r="P19" s="522">
        <f>+'49'!P19+'50'!P19+'51'!P19+'52'!P19</f>
        <v>0</v>
      </c>
      <c r="Q19" s="522">
        <f>+'49'!P19+'50'!P19+'51'!P19+'52'!P19</f>
        <v>0</v>
      </c>
      <c r="R19" s="352">
        <f>+'49'!R19+'50'!R19+'51'!R19+'52'!R19</f>
        <v>0</v>
      </c>
      <c r="S19" s="353">
        <f>+'49'!S19+'50'!S19+'51'!S19+'52'!S19</f>
        <v>0</v>
      </c>
      <c r="T19" s="353">
        <f>+'49'!T19+'50'!T19+'51'!T19+'52'!T19</f>
        <v>0</v>
      </c>
      <c r="U19" s="353">
        <f>+'49'!U19+'50'!U19+'51'!U19+'52'!U19</f>
        <v>0</v>
      </c>
      <c r="V19" s="352"/>
      <c r="W19" s="353"/>
      <c r="X19" s="353"/>
      <c r="Y19" s="353"/>
      <c r="Z19" s="352"/>
      <c r="AA19" s="353"/>
      <c r="AB19" s="466"/>
      <c r="AC19" s="522">
        <f>+'49'!AC19+'50'!AC19+'51'!AC19+'52'!AC19</f>
        <v>0</v>
      </c>
      <c r="AD19" s="522">
        <f>+'49'!AD19+'50'!AD19+'51'!AD19+'52'!AD19</f>
        <v>0</v>
      </c>
      <c r="AE19" s="522">
        <f>+'49'!AE19+'50'!AE19+'51'!AE19+'52'!AE19</f>
        <v>0</v>
      </c>
      <c r="AF19" s="522">
        <f>+'49'!AF19+'50'!AF19+'51'!AF19+'52'!AF19</f>
        <v>0</v>
      </c>
      <c r="AG19" s="523">
        <f>+'51'!AG19+'52'!AG19</f>
        <v>0</v>
      </c>
      <c r="AH19" s="522">
        <f>+'51'!AH19+'52'!AH19</f>
        <v>0</v>
      </c>
      <c r="AI19" s="522">
        <f>+'51'!AI19+'52'!AI19</f>
        <v>0</v>
      </c>
      <c r="AJ19" s="523">
        <f>+'51'!AK19+'52'!AK19</f>
        <v>0</v>
      </c>
      <c r="AK19" s="522"/>
      <c r="AL19" s="507">
        <f>+'51'!AL19+'52'!AL19</f>
        <v>0</v>
      </c>
      <c r="AM19" s="522">
        <f t="shared" si="1"/>
        <v>2694</v>
      </c>
      <c r="AN19" s="522">
        <f t="shared" si="2"/>
        <v>2632</v>
      </c>
      <c r="AO19" s="522">
        <f t="shared" si="3"/>
        <v>3225</v>
      </c>
      <c r="AP19" s="507">
        <f t="shared" si="4"/>
        <v>671</v>
      </c>
      <c r="AR19" s="1259"/>
    </row>
    <row r="20" spans="1:44" ht="18" customHeight="1">
      <c r="A20" s="92" t="s">
        <v>979</v>
      </c>
      <c r="B20" s="523">
        <f>+'49'!B20+'50'!B20+'51'!B20+'52'!B20</f>
        <v>0</v>
      </c>
      <c r="C20" s="522">
        <f>+'49'!C20+'50'!C20+'51'!C20+'52'!C20</f>
        <v>0</v>
      </c>
      <c r="D20" s="522">
        <f>+'49'!D20+'50'!D20+'51'!D20+'52'!D20</f>
        <v>0</v>
      </c>
      <c r="E20" s="507">
        <f>+'49'!E20+'50'!E20+'51'!E20+'52'!E20</f>
        <v>0</v>
      </c>
      <c r="F20" s="522">
        <f>+'49'!F20+'50'!F20+'51'!F20+'52'!F20</f>
        <v>649</v>
      </c>
      <c r="G20" s="522">
        <f>+'49'!G20+'50'!G20+'51'!G20+'52'!G20</f>
        <v>1445</v>
      </c>
      <c r="H20" s="522">
        <f>+'49'!H20+'50'!H20+'51'!H20+'52'!H20</f>
        <v>1581</v>
      </c>
      <c r="I20" s="522">
        <f>+'49'!I20+'50'!I20+'51'!I20+'52'!I20</f>
        <v>799</v>
      </c>
      <c r="J20" s="523">
        <f>+'49'!J20+'50'!J20+'51'!J20+'52'!J20</f>
        <v>0</v>
      </c>
      <c r="K20" s="522">
        <f>+'49'!K20+'50'!K20+'51'!K20+'52'!K20</f>
        <v>0</v>
      </c>
      <c r="L20" s="522">
        <f>+'49'!L20+'50'!L20+'51'!L20+'52'!L20</f>
        <v>0</v>
      </c>
      <c r="M20" s="507">
        <f>+'49'!M20+'50'!M20+'51'!M20+'52'!M20</f>
        <v>0</v>
      </c>
      <c r="N20" s="522">
        <f>+'49'!N20+'50'!N20+'51'!N20+'52'!N20</f>
        <v>0</v>
      </c>
      <c r="O20" s="522">
        <f>+'49'!O20+'50'!O20+'51'!O20+'52'!O20</f>
        <v>0</v>
      </c>
      <c r="P20" s="522">
        <f>+'49'!P20+'50'!P20+'51'!P20+'52'!P20</f>
        <v>0</v>
      </c>
      <c r="Q20" s="522">
        <f>+'49'!P20+'50'!P20+'51'!P20+'52'!P20</f>
        <v>0</v>
      </c>
      <c r="R20" s="352">
        <f>+'49'!R20+'50'!R20+'51'!R20+'52'!R20</f>
        <v>0</v>
      </c>
      <c r="S20" s="353">
        <f>+'49'!S20+'50'!S20+'51'!S20+'52'!S20</f>
        <v>0</v>
      </c>
      <c r="T20" s="353">
        <f>+'49'!T20+'50'!T20+'51'!T20+'52'!T20</f>
        <v>0</v>
      </c>
      <c r="U20" s="353">
        <f>+'49'!U20+'50'!U20+'51'!U20+'52'!U20</f>
        <v>0</v>
      </c>
      <c r="V20" s="352"/>
      <c r="W20" s="353"/>
      <c r="X20" s="353"/>
      <c r="Y20" s="353"/>
      <c r="Z20" s="352"/>
      <c r="AA20" s="353"/>
      <c r="AB20" s="466"/>
      <c r="AC20" s="522">
        <f>+'49'!AC20+'50'!AC20+'51'!AC20+'52'!AC20</f>
        <v>0</v>
      </c>
      <c r="AD20" s="522">
        <f>+'49'!AD20+'50'!AD20+'51'!AD20+'52'!AD20</f>
        <v>0</v>
      </c>
      <c r="AE20" s="522">
        <f>+'49'!AE20+'50'!AE20+'51'!AE20+'52'!AE20</f>
        <v>0</v>
      </c>
      <c r="AF20" s="522">
        <f>+'49'!AF20+'50'!AF20+'51'!AF20+'52'!AF20</f>
        <v>0</v>
      </c>
      <c r="AG20" s="523">
        <f>+'51'!AG20+'52'!AG20</f>
        <v>0</v>
      </c>
      <c r="AH20" s="522">
        <f>+'51'!AH20+'52'!AH20</f>
        <v>0</v>
      </c>
      <c r="AI20" s="522">
        <f>+'51'!AI20+'52'!AI20</f>
        <v>0</v>
      </c>
      <c r="AJ20" s="523">
        <f>+'51'!AK20+'52'!AK20</f>
        <v>0</v>
      </c>
      <c r="AK20" s="522"/>
      <c r="AL20" s="507">
        <f>+'51'!AL20+'52'!AL20</f>
        <v>0</v>
      </c>
      <c r="AM20" s="522">
        <f t="shared" si="1"/>
        <v>649</v>
      </c>
      <c r="AN20" s="522">
        <f t="shared" si="2"/>
        <v>1445</v>
      </c>
      <c r="AO20" s="522">
        <f t="shared" si="3"/>
        <v>1581</v>
      </c>
      <c r="AP20" s="507">
        <f t="shared" si="4"/>
        <v>799</v>
      </c>
      <c r="AR20" s="1259"/>
    </row>
    <row r="21" spans="1:44" ht="18" customHeight="1">
      <c r="A21" s="961" t="s">
        <v>784</v>
      </c>
      <c r="B21" s="523">
        <f>+'49'!B21+'50'!B21+'51'!B21+'52'!B21</f>
        <v>0</v>
      </c>
      <c r="C21" s="522">
        <f>+'49'!C21+'50'!C21+'51'!C21+'52'!C21</f>
        <v>0</v>
      </c>
      <c r="D21" s="522">
        <f>+'49'!D21+'50'!D21+'51'!D21+'52'!D21</f>
        <v>0</v>
      </c>
      <c r="E21" s="507">
        <f>+'49'!E21+'50'!E21+'51'!E21+'52'!E21</f>
        <v>0</v>
      </c>
      <c r="F21" s="522">
        <f>+'49'!F21+'50'!F21+'51'!F21+'52'!F21</f>
        <v>692</v>
      </c>
      <c r="G21" s="522">
        <f>+'49'!G21+'50'!G21+'51'!G21+'52'!G21</f>
        <v>0</v>
      </c>
      <c r="H21" s="522">
        <f>+'49'!H21+'50'!H21+'51'!H21+'52'!H21</f>
        <v>0</v>
      </c>
      <c r="I21" s="522">
        <f>+'49'!I21+'50'!I21+'51'!I21+'52'!I21</f>
        <v>0</v>
      </c>
      <c r="J21" s="523">
        <f>+'49'!J21+'50'!J21+'51'!J21+'52'!J21</f>
        <v>0</v>
      </c>
      <c r="K21" s="522">
        <f>+'49'!K21+'50'!K21+'51'!K21+'52'!K21</f>
        <v>0</v>
      </c>
      <c r="L21" s="522">
        <f>+'49'!L21+'50'!L21+'51'!L21+'52'!L21</f>
        <v>0</v>
      </c>
      <c r="M21" s="507">
        <f>+'49'!M21+'50'!M21+'51'!M21+'52'!M21</f>
        <v>0</v>
      </c>
      <c r="N21" s="522">
        <f>+'49'!N21+'50'!N21+'51'!N21+'52'!N21</f>
        <v>0</v>
      </c>
      <c r="O21" s="522">
        <f>+'49'!O21+'50'!O21+'51'!O21+'52'!O21</f>
        <v>0</v>
      </c>
      <c r="P21" s="522">
        <f>+'49'!P21+'50'!P21+'51'!P21+'52'!P21</f>
        <v>0</v>
      </c>
      <c r="Q21" s="522">
        <f>+'49'!P21+'50'!P21+'51'!P21+'52'!P21</f>
        <v>0</v>
      </c>
      <c r="R21" s="352">
        <f>+'49'!R21+'50'!R21+'51'!R21+'52'!R21</f>
        <v>0</v>
      </c>
      <c r="S21" s="353">
        <f>+'49'!S21+'50'!S21+'51'!S21+'52'!S21</f>
        <v>0</v>
      </c>
      <c r="T21" s="353">
        <f>+'49'!T21+'50'!T21+'51'!T21+'52'!T21</f>
        <v>0</v>
      </c>
      <c r="U21" s="353">
        <f>+'49'!U21+'50'!U21+'51'!U21+'52'!U21</f>
        <v>0</v>
      </c>
      <c r="V21" s="352"/>
      <c r="W21" s="353"/>
      <c r="X21" s="353"/>
      <c r="Y21" s="353"/>
      <c r="Z21" s="352"/>
      <c r="AA21" s="353"/>
      <c r="AB21" s="466"/>
      <c r="AC21" s="522">
        <f>+'49'!AC21+'50'!AC21+'51'!AC21+'52'!AC21</f>
        <v>0</v>
      </c>
      <c r="AD21" s="522">
        <f>+'49'!AD21+'50'!AD21+'51'!AD21+'52'!AD21</f>
        <v>0</v>
      </c>
      <c r="AE21" s="522">
        <f>+'49'!AE21+'50'!AE21+'51'!AE21+'52'!AE21</f>
        <v>0</v>
      </c>
      <c r="AF21" s="522">
        <f>+'49'!AF21+'50'!AF21+'51'!AF21+'52'!AF21</f>
        <v>0</v>
      </c>
      <c r="AG21" s="523">
        <f>+'51'!AG21+'52'!AG21</f>
        <v>0</v>
      </c>
      <c r="AH21" s="522">
        <f>+'51'!AH21+'52'!AH21</f>
        <v>0</v>
      </c>
      <c r="AI21" s="522">
        <f>+'51'!AI21+'52'!AI21</f>
        <v>0</v>
      </c>
      <c r="AJ21" s="523">
        <f>+'51'!AK21+'52'!AK21</f>
        <v>0</v>
      </c>
      <c r="AK21" s="522"/>
      <c r="AL21" s="507">
        <f>+'51'!AL21+'52'!AL21</f>
        <v>0</v>
      </c>
      <c r="AM21" s="522">
        <f t="shared" si="1"/>
        <v>692</v>
      </c>
      <c r="AN21" s="522">
        <f t="shared" si="2"/>
        <v>0</v>
      </c>
      <c r="AO21" s="522">
        <f t="shared" si="3"/>
        <v>0</v>
      </c>
      <c r="AP21" s="507">
        <f t="shared" si="4"/>
        <v>0</v>
      </c>
      <c r="AR21" s="1259"/>
    </row>
    <row r="22" spans="1:44" ht="18" customHeight="1">
      <c r="A22" s="92" t="s">
        <v>980</v>
      </c>
      <c r="B22" s="523">
        <f>+'49'!B22+'50'!B22+'51'!B22+'52'!B22</f>
        <v>8257</v>
      </c>
      <c r="C22" s="522">
        <f>+'49'!C22+'50'!C22+'51'!C22+'52'!C22</f>
        <v>7007</v>
      </c>
      <c r="D22" s="522">
        <f>+'49'!D22+'50'!D22+'51'!D22+'52'!D22</f>
        <v>9042</v>
      </c>
      <c r="E22" s="507">
        <f>+'49'!E22+'50'!E22+'51'!E22+'52'!E22</f>
        <v>5926</v>
      </c>
      <c r="F22" s="522">
        <f>+'49'!F22+'50'!F22+'51'!F22+'52'!F22</f>
        <v>1045</v>
      </c>
      <c r="G22" s="522">
        <f>+'49'!G22+'50'!G22+'51'!G22+'52'!G22</f>
        <v>1198</v>
      </c>
      <c r="H22" s="522">
        <f>+'49'!H22+'50'!H22+'51'!H22+'52'!H22</f>
        <v>1193</v>
      </c>
      <c r="I22" s="522">
        <f>+'49'!I22+'50'!I22+'51'!I22+'52'!I22</f>
        <v>465</v>
      </c>
      <c r="J22" s="523">
        <f>+'49'!J22+'50'!J22+'51'!J22+'52'!J22</f>
        <v>0</v>
      </c>
      <c r="K22" s="522">
        <f>+'49'!K22+'50'!K22+'51'!K22+'52'!K22</f>
        <v>0</v>
      </c>
      <c r="L22" s="522">
        <f>+'49'!L22+'50'!L22+'51'!L22+'52'!L22</f>
        <v>0</v>
      </c>
      <c r="M22" s="507">
        <f>+'49'!M22+'50'!M22+'51'!M22+'52'!M22</f>
        <v>0</v>
      </c>
      <c r="N22" s="522">
        <f>+'49'!N22+'50'!N22+'51'!N22+'52'!N22</f>
        <v>0</v>
      </c>
      <c r="O22" s="522">
        <f>+'49'!O22+'50'!O22+'51'!O22+'52'!O22</f>
        <v>0</v>
      </c>
      <c r="P22" s="522">
        <f>+'49'!P22+'50'!P22+'51'!P22+'52'!P22</f>
        <v>0</v>
      </c>
      <c r="Q22" s="522">
        <f>+'49'!P22+'50'!P22+'51'!P22+'52'!P22</f>
        <v>0</v>
      </c>
      <c r="R22" s="352">
        <f>+'49'!R22+'50'!R22+'51'!R22+'52'!R22</f>
        <v>0</v>
      </c>
      <c r="S22" s="353">
        <f>+'49'!S22+'50'!S22+'51'!S22+'52'!S22</f>
        <v>0</v>
      </c>
      <c r="T22" s="353">
        <f>+'49'!T22+'50'!T22+'51'!T22+'52'!T22</f>
        <v>0</v>
      </c>
      <c r="U22" s="353">
        <f>+'49'!U22+'50'!U22+'51'!U22+'52'!U22</f>
        <v>0</v>
      </c>
      <c r="V22" s="352"/>
      <c r="W22" s="353"/>
      <c r="X22" s="353"/>
      <c r="Y22" s="353"/>
      <c r="Z22" s="352"/>
      <c r="AA22" s="353"/>
      <c r="AB22" s="466"/>
      <c r="AC22" s="522">
        <f>+'49'!AC22+'50'!AC22+'51'!AC22+'52'!AC22</f>
        <v>0</v>
      </c>
      <c r="AD22" s="522">
        <f>+'49'!AD22+'50'!AD22+'51'!AD22+'52'!AD22</f>
        <v>0</v>
      </c>
      <c r="AE22" s="522">
        <f>+'49'!AE22+'50'!AE22+'51'!AE22+'52'!AE22</f>
        <v>0</v>
      </c>
      <c r="AF22" s="522">
        <f>+'49'!AF22+'50'!AF22+'51'!AF22+'52'!AF22</f>
        <v>0</v>
      </c>
      <c r="AG22" s="523">
        <f>+'51'!AG22+'52'!AG22</f>
        <v>0</v>
      </c>
      <c r="AH22" s="522">
        <f>+'51'!AH22+'52'!AH22</f>
        <v>0</v>
      </c>
      <c r="AI22" s="522">
        <f>+'51'!AI22+'52'!AI22</f>
        <v>0</v>
      </c>
      <c r="AJ22" s="523">
        <f>+'51'!AK22+'52'!AK22</f>
        <v>0</v>
      </c>
      <c r="AK22" s="522"/>
      <c r="AL22" s="507">
        <f>+'51'!AL22+'52'!AL22</f>
        <v>0</v>
      </c>
      <c r="AM22" s="522">
        <f t="shared" si="1"/>
        <v>9302</v>
      </c>
      <c r="AN22" s="522">
        <f t="shared" si="2"/>
        <v>8205</v>
      </c>
      <c r="AO22" s="522">
        <f t="shared" si="3"/>
        <v>10235</v>
      </c>
      <c r="AP22" s="507">
        <f t="shared" si="4"/>
        <v>6391</v>
      </c>
      <c r="AR22" s="1259"/>
    </row>
    <row r="23" spans="1:44" ht="18" customHeight="1">
      <c r="A23" s="92" t="s">
        <v>981</v>
      </c>
      <c r="B23" s="523">
        <f>+'49'!B23+'50'!B23+'51'!B23+'52'!B23</f>
        <v>0</v>
      </c>
      <c r="C23" s="522">
        <f>+'49'!C23+'50'!C23+'51'!C23+'52'!C23</f>
        <v>0</v>
      </c>
      <c r="D23" s="522">
        <f>+'49'!D23+'50'!D23+'51'!D23+'52'!D23</f>
        <v>0</v>
      </c>
      <c r="E23" s="507">
        <f>+'49'!E23+'50'!E23+'51'!E23+'52'!E23</f>
        <v>0</v>
      </c>
      <c r="F23" s="522">
        <f>+'49'!F23+'50'!F23+'51'!F23+'52'!F23</f>
        <v>0</v>
      </c>
      <c r="G23" s="522">
        <f>+'49'!G23+'50'!G23+'51'!G23+'52'!G23</f>
        <v>0</v>
      </c>
      <c r="H23" s="522">
        <f>+'49'!H23+'50'!H23+'51'!H23+'52'!H23</f>
        <v>0</v>
      </c>
      <c r="I23" s="522">
        <f>+'49'!I23+'50'!I23+'51'!I23+'52'!I23</f>
        <v>0</v>
      </c>
      <c r="J23" s="523">
        <f>+'49'!J23+'50'!J23+'51'!J23+'52'!J23</f>
        <v>0</v>
      </c>
      <c r="K23" s="522">
        <f>+'49'!K23+'50'!K23+'51'!K23+'52'!K23</f>
        <v>0</v>
      </c>
      <c r="L23" s="522">
        <f>+'49'!L23+'50'!L23+'51'!L23+'52'!L23</f>
        <v>521</v>
      </c>
      <c r="M23" s="507">
        <f>+'49'!M23+'50'!M23+'51'!M23+'52'!M23</f>
        <v>730</v>
      </c>
      <c r="N23" s="522">
        <f>+'49'!N23+'50'!N23+'51'!N23+'52'!N23</f>
        <v>2218</v>
      </c>
      <c r="O23" s="522">
        <f>+'49'!O23+'50'!O23+'51'!O23+'52'!O23</f>
        <v>0</v>
      </c>
      <c r="P23" s="522">
        <f>+'49'!P23+'50'!P23+'51'!P23+'52'!P23</f>
        <v>0</v>
      </c>
      <c r="Q23" s="522">
        <f>+'49'!P23+'50'!P23+'51'!P23+'52'!P23</f>
        <v>0</v>
      </c>
      <c r="R23" s="352">
        <f>+'49'!R23+'50'!R23+'51'!R23+'52'!R23</f>
        <v>434</v>
      </c>
      <c r="S23" s="353">
        <f>+'49'!S23+'50'!S23+'51'!S23+'52'!S23</f>
        <v>0</v>
      </c>
      <c r="T23" s="353">
        <f>+'49'!T23+'50'!T23+'51'!T23+'52'!T23</f>
        <v>0</v>
      </c>
      <c r="U23" s="353">
        <f>+'49'!U23+'50'!U23+'51'!U23+'52'!U23</f>
        <v>0</v>
      </c>
      <c r="V23" s="352">
        <f>+'49'!V23+'50'!V23+'51'!V23+'52'!V23</f>
        <v>1819</v>
      </c>
      <c r="W23" s="353">
        <f>+'49'!W23+'50'!W23+'51'!W23+'52'!W23</f>
        <v>4009</v>
      </c>
      <c r="X23" s="353">
        <f>+'49'!X23+'50'!X23+'51'!X23+'52'!X23</f>
        <v>3118</v>
      </c>
      <c r="Y23" s="522">
        <f>+'49'!Y23+'50'!Y23+'51'!Y23+'52'!Y23</f>
        <v>1249</v>
      </c>
      <c r="Z23" s="523">
        <f>+'49'!Z23+'50'!Z23+'51'!Z23+'52'!Z23</f>
        <v>1780</v>
      </c>
      <c r="AA23" s="522">
        <f>+'49'!AA23+'50'!AA23++'51'!AA23+'52'!AA23</f>
        <v>2542</v>
      </c>
      <c r="AB23" s="507">
        <f>+'49'!AB23+'50'!AB23+'51'!AB23+'52'!AB23</f>
        <v>2810</v>
      </c>
      <c r="AC23" s="522">
        <f>+'49'!AC23+'50'!AC23+'51'!AC23+'52'!AC23</f>
        <v>747</v>
      </c>
      <c r="AD23" s="522">
        <f>+'49'!AD23+'50'!AD23+'51'!AD23+'52'!AD23</f>
        <v>0</v>
      </c>
      <c r="AE23" s="522">
        <f>+'49'!AE23+'50'!AE23+'51'!AE23+'52'!AE23</f>
        <v>0</v>
      </c>
      <c r="AF23" s="522">
        <f>+'49'!AF23+'50'!AF23+'51'!AF23+'52'!AF23</f>
        <v>0</v>
      </c>
      <c r="AG23" s="523">
        <f>+'51'!AG23+'52'!AG23</f>
        <v>0</v>
      </c>
      <c r="AH23" s="522">
        <f>+'51'!AH23+'52'!AH23</f>
        <v>0</v>
      </c>
      <c r="AI23" s="522">
        <f>+'51'!AI23+'52'!AI23</f>
        <v>0</v>
      </c>
      <c r="AJ23" s="523">
        <f>+'51'!AK23+'52'!AK23</f>
        <v>0</v>
      </c>
      <c r="AK23" s="522"/>
      <c r="AL23" s="507">
        <f>+'51'!AL23+'52'!AL23</f>
        <v>0</v>
      </c>
      <c r="AM23" s="522">
        <f>+N23+J23+F23+B23+R23+V23+AC23+AG23</f>
        <v>5218</v>
      </c>
      <c r="AN23" s="522">
        <f>+K23+G23+C23+S23+W23+Z23+AD23+AJ23</f>
        <v>5789</v>
      </c>
      <c r="AO23" s="522">
        <f>+L23+H23+D23+T23+X23+AA23+AE23+AK23</f>
        <v>6181</v>
      </c>
      <c r="AP23" s="507">
        <f>+M23+I23+E23+U23+Y23+AB23+AF23+AL23</f>
        <v>4789</v>
      </c>
      <c r="AR23" s="1259"/>
    </row>
    <row r="24" spans="1:44" ht="18" customHeight="1">
      <c r="A24" s="92" t="s">
        <v>982</v>
      </c>
      <c r="B24" s="523">
        <f>+'49'!B24+'50'!B24+'51'!B24+'52'!B24</f>
        <v>11198</v>
      </c>
      <c r="C24" s="522">
        <f>+'49'!C24+'50'!C24+'51'!C24+'52'!C24</f>
        <v>12716</v>
      </c>
      <c r="D24" s="522">
        <f>+'49'!D24+'50'!D24+'51'!D24+'52'!D24</f>
        <v>12423</v>
      </c>
      <c r="E24" s="507">
        <f>+'49'!E24+'50'!E24+'51'!E24+'52'!E24</f>
        <v>6855</v>
      </c>
      <c r="F24" s="522">
        <f>+'49'!F24+'50'!F24+'51'!F24+'52'!F24</f>
        <v>4979</v>
      </c>
      <c r="G24" s="522">
        <f>+'49'!G24+'50'!G24+'51'!G24+'52'!G24</f>
        <v>5958</v>
      </c>
      <c r="H24" s="522">
        <f>+'49'!H24+'50'!H24+'51'!H24+'52'!H24</f>
        <v>6250</v>
      </c>
      <c r="I24" s="522">
        <f>+'49'!I24+'50'!I24+'51'!I24+'52'!I24</f>
        <v>3078</v>
      </c>
      <c r="J24" s="523">
        <f>+'49'!J24+'50'!J24+'51'!J24+'52'!J24</f>
        <v>0</v>
      </c>
      <c r="K24" s="522">
        <f>+'49'!K24+'50'!K24+'51'!K24+'52'!K24</f>
        <v>0</v>
      </c>
      <c r="L24" s="522">
        <f>+'49'!L24+'50'!L24+'51'!L24+'52'!L24</f>
        <v>0</v>
      </c>
      <c r="M24" s="507">
        <f>+'49'!M24+'50'!M24+'51'!M24+'52'!M24</f>
        <v>0</v>
      </c>
      <c r="N24" s="522">
        <f>+'49'!N24+'50'!N24+'51'!N24+'52'!N24</f>
        <v>0</v>
      </c>
      <c r="O24" s="522">
        <f>+'49'!O24+'50'!O24+'51'!O24+'52'!O24</f>
        <v>0</v>
      </c>
      <c r="P24" s="522">
        <f>+'49'!P24+'50'!P24+'51'!P24+'52'!P24</f>
        <v>0</v>
      </c>
      <c r="Q24" s="522">
        <f>+'49'!P24+'50'!P24+'51'!P24+'52'!P24</f>
        <v>0</v>
      </c>
      <c r="R24" s="352">
        <f>+'49'!R24+'50'!R24+'51'!R24+'52'!R24</f>
        <v>0</v>
      </c>
      <c r="S24" s="353">
        <f>+'49'!S24+'50'!S24+'51'!S24+'52'!S24</f>
        <v>0</v>
      </c>
      <c r="T24" s="353">
        <f>+'49'!T24+'50'!T24+'51'!T24+'52'!T24</f>
        <v>0</v>
      </c>
      <c r="U24" s="353">
        <f>+'49'!U24+'50'!U24+'51'!U24+'52'!U24</f>
        <v>0</v>
      </c>
      <c r="V24" s="352"/>
      <c r="W24" s="353"/>
      <c r="X24" s="353"/>
      <c r="Y24" s="353"/>
      <c r="Z24" s="352"/>
      <c r="AA24" s="353"/>
      <c r="AB24" s="466"/>
      <c r="AC24" s="522">
        <f>+'49'!AC24+'50'!AC24+'51'!AC24+'52'!AC24</f>
        <v>0</v>
      </c>
      <c r="AD24" s="522">
        <f>+'49'!AD24+'50'!AD24+'51'!AD24+'52'!AD24</f>
        <v>0</v>
      </c>
      <c r="AE24" s="522">
        <f>+'49'!AE24+'50'!AE24+'51'!AE24+'52'!AE24</f>
        <v>0</v>
      </c>
      <c r="AF24" s="522">
        <f>+'49'!AF24+'50'!AF24+'51'!AF24+'52'!AF24</f>
        <v>0</v>
      </c>
      <c r="AG24" s="523">
        <f>+'51'!AG24+'52'!AG24</f>
        <v>0</v>
      </c>
      <c r="AH24" s="522">
        <f>+'51'!AH24+'52'!AH24</f>
        <v>0</v>
      </c>
      <c r="AI24" s="522">
        <f>+'51'!AI24+'52'!AI24</f>
        <v>0</v>
      </c>
      <c r="AJ24" s="523">
        <f>+'51'!AK24+'52'!AK24</f>
        <v>0</v>
      </c>
      <c r="AK24" s="522"/>
      <c r="AL24" s="507">
        <f>+'51'!AL24+'52'!AL24</f>
        <v>0</v>
      </c>
      <c r="AM24" s="522">
        <f t="shared" ref="AM24:AM35" si="5">+N24+J24+F24+B24+AC24+AG24</f>
        <v>16177</v>
      </c>
      <c r="AN24" s="522">
        <f t="shared" ref="AN24:AN35" si="6">+O24+K24+G24+C24+AD24+AH24</f>
        <v>18674</v>
      </c>
      <c r="AO24" s="522">
        <f t="shared" ref="AO24:AO35" si="7">+Q24+L24+H24+D24+AE24+AI24</f>
        <v>18673</v>
      </c>
      <c r="AP24" s="507">
        <f t="shared" ref="AP24:AP37" si="8">+M24+I24+E24+U24+Y24+AF24+AL24</f>
        <v>9933</v>
      </c>
      <c r="AQ24" s="539"/>
      <c r="AR24" s="1259"/>
    </row>
    <row r="25" spans="1:44" ht="18" customHeight="1">
      <c r="A25" s="92" t="s">
        <v>983</v>
      </c>
      <c r="B25" s="523">
        <f>+'49'!B25+'50'!B25+'51'!B25+'52'!B25</f>
        <v>0</v>
      </c>
      <c r="C25" s="522">
        <f>+'49'!C25+'50'!C25+'51'!C25+'52'!C25</f>
        <v>0</v>
      </c>
      <c r="D25" s="522">
        <f>+'49'!D25+'50'!D25+'51'!D25+'52'!D25</f>
        <v>0</v>
      </c>
      <c r="E25" s="507">
        <f>+'49'!E25+'50'!E25+'51'!E25+'52'!E25</f>
        <v>0</v>
      </c>
      <c r="F25" s="522">
        <f>+'49'!F25+'50'!F25+'51'!F25+'52'!F25</f>
        <v>1118</v>
      </c>
      <c r="G25" s="522">
        <f>+'49'!G25+'50'!G25+'51'!G25+'52'!G25</f>
        <v>0</v>
      </c>
      <c r="H25" s="522">
        <f>+'49'!H25+'50'!H25+'51'!H25+'52'!H25</f>
        <v>0</v>
      </c>
      <c r="I25" s="522">
        <f>+'49'!I25+'50'!I25+'51'!I25+'52'!I25</f>
        <v>0</v>
      </c>
      <c r="J25" s="523">
        <f>+'49'!J25+'50'!J25+'51'!J25+'52'!J25</f>
        <v>0</v>
      </c>
      <c r="K25" s="522">
        <f>+'49'!K25+'50'!K25+'51'!K25+'52'!K25</f>
        <v>0</v>
      </c>
      <c r="L25" s="522">
        <f>+'49'!L25+'50'!L25+'51'!L25+'52'!L25</f>
        <v>0</v>
      </c>
      <c r="M25" s="507">
        <f>+'49'!M25+'50'!M25+'51'!M25+'52'!M25</f>
        <v>0</v>
      </c>
      <c r="N25" s="522">
        <f>+'49'!N25+'50'!N25+'51'!N25+'52'!N25</f>
        <v>0</v>
      </c>
      <c r="O25" s="522">
        <f>+'49'!O25+'50'!O25+'51'!O25+'52'!O25</f>
        <v>0</v>
      </c>
      <c r="P25" s="522">
        <f>+'49'!P25+'50'!P25+'51'!P25+'52'!P25</f>
        <v>0</v>
      </c>
      <c r="Q25" s="522">
        <f>+'49'!P25+'50'!P25+'51'!P25+'52'!P25</f>
        <v>0</v>
      </c>
      <c r="R25" s="352">
        <f>+'49'!R25+'50'!R25+'51'!R25+'52'!R25</f>
        <v>0</v>
      </c>
      <c r="S25" s="353">
        <f>+'49'!S25+'50'!S25+'51'!S25+'52'!S25</f>
        <v>0</v>
      </c>
      <c r="T25" s="353">
        <f>+'49'!T25+'50'!T25+'51'!T25+'52'!T25</f>
        <v>0</v>
      </c>
      <c r="U25" s="353">
        <f>+'49'!U25+'50'!U25+'51'!U25+'52'!U25</f>
        <v>0</v>
      </c>
      <c r="V25" s="352"/>
      <c r="W25" s="353"/>
      <c r="X25" s="353"/>
      <c r="Y25" s="353"/>
      <c r="Z25" s="352"/>
      <c r="AA25" s="353"/>
      <c r="AB25" s="466"/>
      <c r="AC25" s="522">
        <f>+'49'!AC25+'50'!AC25+'51'!AC25+'52'!AC25</f>
        <v>0</v>
      </c>
      <c r="AD25" s="522">
        <f>+'49'!AD25+'50'!AD25+'51'!AD25+'52'!AD25</f>
        <v>0</v>
      </c>
      <c r="AE25" s="522">
        <f>+'49'!AE25+'50'!AE25+'51'!AE25+'52'!AE25</f>
        <v>0</v>
      </c>
      <c r="AF25" s="522">
        <f>+'49'!AF25+'50'!AF25+'51'!AF25+'52'!AF25</f>
        <v>0</v>
      </c>
      <c r="AG25" s="523">
        <f>+'51'!AG25+'52'!AG25</f>
        <v>0</v>
      </c>
      <c r="AH25" s="522">
        <f>+'51'!AH25+'52'!AH25</f>
        <v>0</v>
      </c>
      <c r="AI25" s="522">
        <f>+'51'!AI25+'52'!AI25</f>
        <v>0</v>
      </c>
      <c r="AJ25" s="523">
        <f>+'51'!AK25+'52'!AK25</f>
        <v>0</v>
      </c>
      <c r="AK25" s="522"/>
      <c r="AL25" s="507">
        <f>+'51'!AL25+'52'!AL25</f>
        <v>0</v>
      </c>
      <c r="AM25" s="522">
        <f t="shared" si="5"/>
        <v>1118</v>
      </c>
      <c r="AN25" s="522">
        <f t="shared" si="6"/>
        <v>0</v>
      </c>
      <c r="AO25" s="522">
        <f t="shared" si="7"/>
        <v>0</v>
      </c>
      <c r="AP25" s="507">
        <f t="shared" si="8"/>
        <v>0</v>
      </c>
      <c r="AR25" s="1259"/>
    </row>
    <row r="26" spans="1:44" ht="18" customHeight="1">
      <c r="A26" s="961" t="s">
        <v>1450</v>
      </c>
      <c r="B26" s="523">
        <f>+'49'!B26+'50'!B26+'51'!B26+'52'!B26</f>
        <v>45</v>
      </c>
      <c r="C26" s="522">
        <f>+'49'!C26+'50'!C26+'51'!C26+'52'!C26</f>
        <v>128</v>
      </c>
      <c r="D26" s="522">
        <f>+'49'!D26+'50'!D26+'51'!D26+'52'!D26</f>
        <v>158</v>
      </c>
      <c r="E26" s="507">
        <f>+'49'!E26+'50'!E26+'51'!E26+'52'!E26</f>
        <v>70</v>
      </c>
      <c r="F26" s="522">
        <f>+'49'!F26+'50'!F26+'51'!F26+'52'!F26</f>
        <v>0</v>
      </c>
      <c r="G26" s="522">
        <f>+'49'!G26+'50'!G26+'51'!G26+'52'!G26</f>
        <v>0</v>
      </c>
      <c r="H26" s="522">
        <f>+'49'!H26+'50'!H26+'51'!H26+'52'!H26</f>
        <v>0</v>
      </c>
      <c r="I26" s="522">
        <f>+'49'!I26+'50'!I26+'51'!I26+'52'!I26</f>
        <v>0</v>
      </c>
      <c r="J26" s="523">
        <f>+'49'!J26+'50'!J26+'51'!J26+'52'!J26</f>
        <v>0</v>
      </c>
      <c r="K26" s="522">
        <f>+'49'!K26+'50'!K26+'51'!K26+'52'!K26</f>
        <v>0</v>
      </c>
      <c r="L26" s="522">
        <f>+'49'!L26+'50'!L26+'51'!L26+'52'!L26</f>
        <v>0</v>
      </c>
      <c r="M26" s="507">
        <f>+'49'!M26+'50'!M26+'51'!M26+'52'!M26</f>
        <v>0</v>
      </c>
      <c r="N26" s="522">
        <f>+'49'!N26+'50'!N26+'51'!N26+'52'!N26</f>
        <v>0</v>
      </c>
      <c r="O26" s="522">
        <f>+'49'!O26+'50'!O26+'51'!O26+'52'!O26</f>
        <v>0</v>
      </c>
      <c r="P26" s="522">
        <f>+'49'!P26+'50'!P26+'51'!P26+'52'!P26</f>
        <v>0</v>
      </c>
      <c r="Q26" s="522">
        <f>+'49'!P26+'50'!P26+'51'!P26+'52'!P26</f>
        <v>0</v>
      </c>
      <c r="R26" s="352">
        <f>+'49'!R26+'50'!R26+'51'!R26+'52'!R26</f>
        <v>0</v>
      </c>
      <c r="S26" s="353">
        <f>+'49'!S26+'50'!S26+'51'!S26+'52'!S26</f>
        <v>0</v>
      </c>
      <c r="T26" s="353">
        <f>+'49'!T26+'50'!T26+'51'!T26+'52'!T26</f>
        <v>0</v>
      </c>
      <c r="U26" s="353">
        <f>+'49'!U26+'50'!U26+'51'!U26+'52'!U26</f>
        <v>0</v>
      </c>
      <c r="V26" s="352"/>
      <c r="W26" s="353"/>
      <c r="X26" s="353"/>
      <c r="Y26" s="353"/>
      <c r="Z26" s="352"/>
      <c r="AA26" s="353"/>
      <c r="AB26" s="466"/>
      <c r="AC26" s="522">
        <f>+'49'!AC26+'50'!AC26+'51'!AC26+'52'!AC26</f>
        <v>0</v>
      </c>
      <c r="AD26" s="522">
        <f>+'49'!AD26+'50'!AD26+'51'!AD26+'52'!AD26</f>
        <v>0</v>
      </c>
      <c r="AE26" s="522">
        <f>+'49'!AE26+'50'!AE26+'51'!AE26+'52'!AE26</f>
        <v>0</v>
      </c>
      <c r="AF26" s="522">
        <f>+'49'!AF26+'50'!AF26+'51'!AF26+'52'!AF26</f>
        <v>0</v>
      </c>
      <c r="AG26" s="523">
        <f>+'51'!AG26+'52'!AG26</f>
        <v>0</v>
      </c>
      <c r="AH26" s="522">
        <f>+'51'!AH26+'52'!AH26</f>
        <v>0</v>
      </c>
      <c r="AI26" s="522">
        <f>+'51'!AI26+'52'!AI26</f>
        <v>0</v>
      </c>
      <c r="AJ26" s="523">
        <f>+'51'!AK26+'52'!AK26</f>
        <v>0</v>
      </c>
      <c r="AK26" s="522"/>
      <c r="AL26" s="507">
        <f>+'51'!AL26+'52'!AL26</f>
        <v>0</v>
      </c>
      <c r="AM26" s="522">
        <f t="shared" si="5"/>
        <v>45</v>
      </c>
      <c r="AN26" s="522">
        <f t="shared" si="6"/>
        <v>128</v>
      </c>
      <c r="AO26" s="522">
        <f t="shared" si="7"/>
        <v>158</v>
      </c>
      <c r="AP26" s="507">
        <f t="shared" si="8"/>
        <v>70</v>
      </c>
      <c r="AR26" s="1259"/>
    </row>
    <row r="27" spans="1:44" ht="18" customHeight="1">
      <c r="A27" s="92" t="s">
        <v>984</v>
      </c>
      <c r="B27" s="523">
        <f>+'49'!B27+'50'!B27+'51'!B27+'52'!B27</f>
        <v>0</v>
      </c>
      <c r="C27" s="522">
        <f>+'49'!C27+'50'!C27+'51'!C27+'52'!C27</f>
        <v>0</v>
      </c>
      <c r="D27" s="522">
        <f>+'49'!D27+'50'!D27+'51'!D27+'52'!D27</f>
        <v>0</v>
      </c>
      <c r="E27" s="507">
        <f>+'49'!E27+'50'!E27+'51'!E27+'52'!E27</f>
        <v>0</v>
      </c>
      <c r="F27" s="522">
        <f>+'49'!F27+'50'!F27+'51'!F27+'52'!F27</f>
        <v>625</v>
      </c>
      <c r="G27" s="522">
        <f>+'49'!G27+'50'!G27+'51'!G27+'52'!G27</f>
        <v>356</v>
      </c>
      <c r="H27" s="522">
        <f>+'49'!H27+'50'!H27+'51'!H27+'52'!H27</f>
        <v>696</v>
      </c>
      <c r="I27" s="522">
        <f>+'49'!I27+'50'!I27+'51'!I27+'52'!I27</f>
        <v>372</v>
      </c>
      <c r="J27" s="523">
        <f>+'49'!J27+'50'!J27+'51'!J27+'52'!J27</f>
        <v>0</v>
      </c>
      <c r="K27" s="522">
        <f>+'49'!K27+'50'!K27+'51'!K27+'52'!K27</f>
        <v>0</v>
      </c>
      <c r="L27" s="522">
        <f>+'49'!L27+'50'!L27+'51'!L27+'52'!L27</f>
        <v>0</v>
      </c>
      <c r="M27" s="507">
        <f>+'49'!M27+'50'!M27+'51'!M27+'52'!M27</f>
        <v>0</v>
      </c>
      <c r="N27" s="522">
        <f>+'49'!N27+'50'!N27+'51'!N27+'52'!N27</f>
        <v>0</v>
      </c>
      <c r="O27" s="522">
        <f>+'49'!O27+'50'!O27+'51'!O27+'52'!O27</f>
        <v>0</v>
      </c>
      <c r="P27" s="522">
        <f>+'49'!P27+'50'!P27+'51'!P27+'52'!P27</f>
        <v>0</v>
      </c>
      <c r="Q27" s="522">
        <f>+'49'!P27+'50'!P27+'51'!P27+'52'!P27</f>
        <v>0</v>
      </c>
      <c r="R27" s="352">
        <f>+'49'!R27+'50'!R27+'51'!R27+'52'!R27</f>
        <v>0</v>
      </c>
      <c r="S27" s="353">
        <f>+'49'!S27+'50'!S27+'51'!S27+'52'!S27</f>
        <v>0</v>
      </c>
      <c r="T27" s="353">
        <f>+'49'!T27+'50'!T27+'51'!T27+'52'!T27</f>
        <v>0</v>
      </c>
      <c r="U27" s="353">
        <f>+'49'!U27+'50'!U27+'51'!U27+'52'!U27</f>
        <v>0</v>
      </c>
      <c r="V27" s="352"/>
      <c r="W27" s="353"/>
      <c r="X27" s="353"/>
      <c r="Y27" s="353"/>
      <c r="Z27" s="352"/>
      <c r="AA27" s="353"/>
      <c r="AB27" s="466"/>
      <c r="AC27" s="522">
        <f>+'49'!AC27+'50'!AC27+'51'!AC27+'52'!AC27</f>
        <v>0</v>
      </c>
      <c r="AD27" s="522">
        <f>+'49'!AD27+'50'!AD27+'51'!AD27+'52'!AD27</f>
        <v>0</v>
      </c>
      <c r="AE27" s="522">
        <f>+'49'!AE27+'50'!AE27+'51'!AE27+'52'!AE27</f>
        <v>0</v>
      </c>
      <c r="AF27" s="522">
        <f>+'49'!AF27+'50'!AF27+'51'!AF27+'52'!AF27</f>
        <v>0</v>
      </c>
      <c r="AG27" s="523">
        <f>+'51'!AG27+'52'!AG27</f>
        <v>0</v>
      </c>
      <c r="AH27" s="522">
        <f>+'51'!AH27+'52'!AH27</f>
        <v>0</v>
      </c>
      <c r="AI27" s="522">
        <f>+'51'!AI27+'52'!AI27</f>
        <v>0</v>
      </c>
      <c r="AJ27" s="523">
        <f>+'51'!AK27+'52'!AK27</f>
        <v>0</v>
      </c>
      <c r="AK27" s="522"/>
      <c r="AL27" s="507">
        <f>+'51'!AL27+'52'!AL27</f>
        <v>0</v>
      </c>
      <c r="AM27" s="522">
        <f t="shared" si="5"/>
        <v>625</v>
      </c>
      <c r="AN27" s="522">
        <f t="shared" si="6"/>
        <v>356</v>
      </c>
      <c r="AO27" s="522">
        <f t="shared" si="7"/>
        <v>696</v>
      </c>
      <c r="AP27" s="507">
        <f t="shared" si="8"/>
        <v>372</v>
      </c>
      <c r="AQ27" s="539"/>
      <c r="AR27" s="1259"/>
    </row>
    <row r="28" spans="1:44" ht="18" customHeight="1">
      <c r="A28" s="92" t="s">
        <v>1449</v>
      </c>
      <c r="B28" s="523">
        <f>+'49'!B28+'50'!B28+'51'!B28+'52'!B28</f>
        <v>3</v>
      </c>
      <c r="C28" s="522">
        <f>+'49'!C28+'50'!C28+'51'!C28+'52'!C28</f>
        <v>0</v>
      </c>
      <c r="D28" s="522">
        <f>+'49'!D28+'50'!D28+'51'!D28+'52'!D28</f>
        <v>0</v>
      </c>
      <c r="E28" s="507">
        <f>+'49'!E28+'50'!E28+'51'!E28+'52'!E28</f>
        <v>0</v>
      </c>
      <c r="F28" s="522">
        <f>+'49'!F28+'50'!F28+'51'!F28+'52'!F28</f>
        <v>461</v>
      </c>
      <c r="G28" s="522">
        <f>+'49'!G28+'50'!G28+'51'!G28+'52'!G28</f>
        <v>414</v>
      </c>
      <c r="H28" s="522">
        <f>+'49'!H28+'50'!H28+'51'!H28+'52'!H28</f>
        <v>557</v>
      </c>
      <c r="I28" s="522">
        <f>+'49'!I28+'50'!I28+'51'!I28+'52'!I28</f>
        <v>148</v>
      </c>
      <c r="J28" s="523">
        <f>+'49'!J28+'50'!J28+'51'!J28+'52'!J28</f>
        <v>0</v>
      </c>
      <c r="K28" s="522">
        <f>+'49'!K28+'50'!K28+'51'!K28+'52'!K28</f>
        <v>0</v>
      </c>
      <c r="L28" s="522">
        <f>+'49'!L28+'50'!L28+'51'!L28+'52'!L28</f>
        <v>0</v>
      </c>
      <c r="M28" s="507">
        <f>+'49'!M28+'50'!M28+'51'!M28+'52'!M28</f>
        <v>0</v>
      </c>
      <c r="N28" s="522">
        <f>+'49'!N28+'50'!N28+'51'!N28+'52'!N28</f>
        <v>0</v>
      </c>
      <c r="O28" s="522">
        <f>+'49'!O28+'50'!O28+'51'!O28+'52'!O28</f>
        <v>0</v>
      </c>
      <c r="P28" s="522">
        <f>+'49'!P28+'50'!P28+'51'!P28+'52'!P28</f>
        <v>0</v>
      </c>
      <c r="Q28" s="522">
        <f>+'49'!P28+'50'!P28+'51'!P28+'52'!P28</f>
        <v>0</v>
      </c>
      <c r="R28" s="352">
        <f>+'49'!R28+'50'!R28+'51'!R28+'52'!R28</f>
        <v>0</v>
      </c>
      <c r="S28" s="353">
        <f>+'49'!S28+'50'!S28+'51'!S28+'52'!S28</f>
        <v>0</v>
      </c>
      <c r="T28" s="353">
        <f>+'49'!T28+'50'!T28+'51'!T28+'52'!T28</f>
        <v>0</v>
      </c>
      <c r="U28" s="353">
        <f>+'49'!U28+'50'!U28+'51'!U28+'52'!U28</f>
        <v>0</v>
      </c>
      <c r="V28" s="352"/>
      <c r="W28" s="353"/>
      <c r="X28" s="353"/>
      <c r="Y28" s="353"/>
      <c r="Z28" s="352"/>
      <c r="AA28" s="353"/>
      <c r="AB28" s="466"/>
      <c r="AC28" s="522">
        <f>+'49'!AC28+'50'!AC28+'51'!AC28+'52'!AC28</f>
        <v>0</v>
      </c>
      <c r="AD28" s="522">
        <f>+'49'!AD28+'50'!AD28+'51'!AD28+'52'!AD28</f>
        <v>0</v>
      </c>
      <c r="AE28" s="522">
        <f>+'49'!AE28+'50'!AE28+'51'!AE28+'52'!AE28</f>
        <v>0</v>
      </c>
      <c r="AF28" s="522">
        <f>+'49'!AF28+'50'!AF28+'51'!AF28+'52'!AF28</f>
        <v>0</v>
      </c>
      <c r="AG28" s="523">
        <f>+'51'!AG28+'52'!AG28</f>
        <v>0</v>
      </c>
      <c r="AH28" s="522">
        <f>+'51'!AH28+'52'!AH28</f>
        <v>0</v>
      </c>
      <c r="AI28" s="522">
        <f>+'51'!AI28+'52'!AI28</f>
        <v>0</v>
      </c>
      <c r="AJ28" s="523">
        <f>+'51'!AK28+'52'!AK28</f>
        <v>0</v>
      </c>
      <c r="AK28" s="522"/>
      <c r="AL28" s="507">
        <f>+'51'!AL28+'52'!AL28</f>
        <v>0</v>
      </c>
      <c r="AM28" s="522">
        <f t="shared" si="5"/>
        <v>464</v>
      </c>
      <c r="AN28" s="522">
        <f t="shared" si="6"/>
        <v>414</v>
      </c>
      <c r="AO28" s="522">
        <f t="shared" si="7"/>
        <v>557</v>
      </c>
      <c r="AP28" s="507">
        <f t="shared" si="8"/>
        <v>148</v>
      </c>
      <c r="AR28" s="1259"/>
    </row>
    <row r="29" spans="1:44" ht="18" customHeight="1">
      <c r="A29" s="92" t="s">
        <v>985</v>
      </c>
      <c r="B29" s="523">
        <f>+'49'!B29+'50'!B29+'51'!B29+'52'!B29</f>
        <v>4165</v>
      </c>
      <c r="C29" s="522">
        <f>+'49'!C29+'50'!C29+'51'!C29+'52'!C29</f>
        <v>4471</v>
      </c>
      <c r="D29" s="522">
        <f>+'49'!D29+'50'!D29+'51'!D29+'52'!D29</f>
        <v>4526</v>
      </c>
      <c r="E29" s="507">
        <f>+'49'!E29+'50'!E29+'51'!E29+'52'!E29</f>
        <v>2495</v>
      </c>
      <c r="F29" s="522">
        <f>+'49'!F29+'50'!F29+'51'!F29+'52'!F29</f>
        <v>0</v>
      </c>
      <c r="G29" s="522">
        <f>+'49'!G29+'50'!G29+'51'!G29+'52'!G29</f>
        <v>0</v>
      </c>
      <c r="H29" s="522">
        <f>+'49'!H29+'50'!H29+'51'!H29+'52'!H29</f>
        <v>0</v>
      </c>
      <c r="I29" s="522">
        <f>+'49'!I29+'50'!I29+'51'!I29+'52'!I29</f>
        <v>0</v>
      </c>
      <c r="J29" s="523">
        <f>+'49'!J29+'50'!J29+'51'!J29+'52'!J29</f>
        <v>0</v>
      </c>
      <c r="K29" s="522">
        <f>+'49'!K29+'50'!K29+'51'!K29+'52'!K29</f>
        <v>0</v>
      </c>
      <c r="L29" s="522">
        <f>+'49'!L29+'50'!L29+'51'!L29+'52'!L29</f>
        <v>0</v>
      </c>
      <c r="M29" s="507">
        <f>+'49'!M29+'50'!M29+'51'!M29+'52'!M29</f>
        <v>0</v>
      </c>
      <c r="N29" s="522">
        <f>+'49'!N29+'50'!N29+'51'!N29+'52'!N29</f>
        <v>0</v>
      </c>
      <c r="O29" s="522">
        <f>+'49'!O29+'50'!O29+'51'!O29+'52'!O29</f>
        <v>0</v>
      </c>
      <c r="P29" s="522">
        <f>+'49'!P29+'50'!P29+'51'!P29+'52'!P29</f>
        <v>0</v>
      </c>
      <c r="Q29" s="522">
        <f>+'49'!P29+'50'!P29+'51'!P29+'52'!P29</f>
        <v>0</v>
      </c>
      <c r="R29" s="352">
        <f>+'49'!R29+'50'!R29+'51'!R29+'52'!R29</f>
        <v>0</v>
      </c>
      <c r="S29" s="353">
        <f>+'49'!S29+'50'!S29+'51'!S29+'52'!S29</f>
        <v>0</v>
      </c>
      <c r="T29" s="353">
        <f>+'49'!T29+'50'!T29+'51'!T29+'52'!T29</f>
        <v>0</v>
      </c>
      <c r="U29" s="353">
        <f>+'49'!U29+'50'!U29+'51'!U29+'52'!U29</f>
        <v>0</v>
      </c>
      <c r="V29" s="352"/>
      <c r="W29" s="353"/>
      <c r="X29" s="353"/>
      <c r="Y29" s="353"/>
      <c r="Z29" s="352"/>
      <c r="AA29" s="353"/>
      <c r="AB29" s="466"/>
      <c r="AC29" s="522">
        <f>+'49'!AC29+'50'!AC29+'51'!AC29+'52'!AC29</f>
        <v>0</v>
      </c>
      <c r="AD29" s="522">
        <f>+'49'!AD29+'50'!AD29+'51'!AD29+'52'!AD29</f>
        <v>0</v>
      </c>
      <c r="AE29" s="522">
        <f>+'49'!AE29+'50'!AE29+'51'!AE29+'52'!AE29</f>
        <v>0</v>
      </c>
      <c r="AF29" s="522">
        <f>+'49'!AF29+'50'!AF29+'51'!AF29+'52'!AF29</f>
        <v>0</v>
      </c>
      <c r="AG29" s="523">
        <f>+'51'!AG29+'52'!AG29</f>
        <v>0</v>
      </c>
      <c r="AH29" s="522">
        <f>+'51'!AH29+'52'!AH29</f>
        <v>0</v>
      </c>
      <c r="AI29" s="522">
        <f>+'51'!AI29+'52'!AI29</f>
        <v>0</v>
      </c>
      <c r="AJ29" s="523">
        <f>+'51'!AK29+'52'!AK29</f>
        <v>0</v>
      </c>
      <c r="AK29" s="522"/>
      <c r="AL29" s="507">
        <f>+'51'!AL29+'52'!AL29</f>
        <v>0</v>
      </c>
      <c r="AM29" s="522">
        <f t="shared" si="5"/>
        <v>4165</v>
      </c>
      <c r="AN29" s="522">
        <f t="shared" si="6"/>
        <v>4471</v>
      </c>
      <c r="AO29" s="522">
        <f t="shared" si="7"/>
        <v>4526</v>
      </c>
      <c r="AP29" s="507">
        <f t="shared" si="8"/>
        <v>2495</v>
      </c>
      <c r="AR29" s="1259"/>
    </row>
    <row r="30" spans="1:44" ht="18" customHeight="1">
      <c r="A30" s="92" t="s">
        <v>986</v>
      </c>
      <c r="B30" s="523">
        <f>+'49'!B30+'50'!B30+'51'!B30+'52'!B30</f>
        <v>2493</v>
      </c>
      <c r="C30" s="522">
        <f>+'49'!C30+'50'!C30+'51'!C30+'52'!C30</f>
        <v>3068</v>
      </c>
      <c r="D30" s="522">
        <f>+'49'!D30+'50'!D30+'51'!D30+'52'!D30</f>
        <v>2826</v>
      </c>
      <c r="E30" s="507">
        <f>+'49'!E30+'50'!E30+'51'!E30+'52'!E30</f>
        <v>2642</v>
      </c>
      <c r="F30" s="522">
        <f>+'49'!F30+'50'!F30+'51'!F30+'52'!F30</f>
        <v>3330</v>
      </c>
      <c r="G30" s="522">
        <f>+'49'!G30+'50'!G30+'51'!G30+'52'!G30</f>
        <v>3286</v>
      </c>
      <c r="H30" s="522">
        <f>+'49'!H30+'50'!H30+'51'!H30+'52'!H30</f>
        <v>3031</v>
      </c>
      <c r="I30" s="522">
        <f>+'49'!I30+'50'!I30+'51'!I30+'52'!I30</f>
        <v>2554</v>
      </c>
      <c r="J30" s="523">
        <f>+'49'!J30+'50'!J30+'51'!J30+'52'!J30</f>
        <v>885</v>
      </c>
      <c r="K30" s="522">
        <f>+'49'!K30+'50'!K30+'51'!K30+'52'!K30</f>
        <v>732</v>
      </c>
      <c r="L30" s="522">
        <f>+'49'!L30+'50'!L30+'51'!L30+'52'!L30</f>
        <v>851</v>
      </c>
      <c r="M30" s="507">
        <f>+'49'!M30+'50'!M30+'51'!M30+'52'!M30</f>
        <v>734</v>
      </c>
      <c r="N30" s="522">
        <f>+'49'!N30+'50'!N30+'51'!N30+'52'!N30</f>
        <v>0</v>
      </c>
      <c r="O30" s="522">
        <f>+'49'!O30+'50'!O30+'51'!O30+'52'!O30</f>
        <v>0</v>
      </c>
      <c r="P30" s="522">
        <f>+'49'!P30+'50'!P30+'51'!P30+'52'!P30</f>
        <v>0</v>
      </c>
      <c r="Q30" s="522">
        <f>+'49'!P30+'50'!P30+'51'!P30+'52'!P30</f>
        <v>0</v>
      </c>
      <c r="R30" s="352">
        <f>+'49'!R30+'50'!R30+'51'!R30+'52'!R30</f>
        <v>0</v>
      </c>
      <c r="S30" s="353">
        <f>+'49'!S30+'50'!S30+'51'!S30+'52'!S30</f>
        <v>0</v>
      </c>
      <c r="T30" s="353">
        <f>+'49'!T30+'50'!T30+'51'!T30+'52'!T30</f>
        <v>0</v>
      </c>
      <c r="U30" s="353">
        <f>+'49'!U30+'50'!U30+'51'!U30+'52'!U30</f>
        <v>0</v>
      </c>
      <c r="V30" s="352"/>
      <c r="W30" s="353"/>
      <c r="X30" s="353"/>
      <c r="Y30" s="353"/>
      <c r="Z30" s="352"/>
      <c r="AA30" s="353"/>
      <c r="AB30" s="466"/>
      <c r="AC30" s="522">
        <f>+'49'!AC30+'50'!AC30+'51'!AC30+'52'!AC30</f>
        <v>0</v>
      </c>
      <c r="AD30" s="522">
        <f>+'49'!AD30+'50'!AD30+'51'!AD30+'52'!AD30</f>
        <v>0</v>
      </c>
      <c r="AE30" s="522">
        <f>+'49'!AE30+'50'!AE30+'51'!AE30+'52'!AE30</f>
        <v>0</v>
      </c>
      <c r="AF30" s="522">
        <f>+'49'!AF30+'50'!AF30+'51'!AF30+'52'!AF30</f>
        <v>0</v>
      </c>
      <c r="AG30" s="523">
        <f>+'51'!AG30+'52'!AG30</f>
        <v>0</v>
      </c>
      <c r="AH30" s="522">
        <f>+'51'!AH30+'52'!AH30</f>
        <v>0</v>
      </c>
      <c r="AI30" s="522">
        <f>+'51'!AI30+'52'!AI30</f>
        <v>0</v>
      </c>
      <c r="AJ30" s="523">
        <f>+'51'!AK30+'52'!AK30</f>
        <v>0</v>
      </c>
      <c r="AK30" s="522"/>
      <c r="AL30" s="507">
        <f>+'51'!AL30+'52'!AL30</f>
        <v>0</v>
      </c>
      <c r="AM30" s="522">
        <f t="shared" si="5"/>
        <v>6708</v>
      </c>
      <c r="AN30" s="522">
        <f t="shared" si="6"/>
        <v>7086</v>
      </c>
      <c r="AO30" s="522">
        <f t="shared" si="7"/>
        <v>6708</v>
      </c>
      <c r="AP30" s="507">
        <f t="shared" si="8"/>
        <v>5930</v>
      </c>
      <c r="AR30" s="1259"/>
    </row>
    <row r="31" spans="1:44" ht="18" customHeight="1">
      <c r="A31" s="92" t="s">
        <v>987</v>
      </c>
      <c r="B31" s="523">
        <f>+'49'!B31+'50'!B31+'51'!B31+'52'!B31</f>
        <v>4548</v>
      </c>
      <c r="C31" s="522">
        <f>+'49'!C31+'50'!C31+'51'!C31+'52'!C31</f>
        <v>3400</v>
      </c>
      <c r="D31" s="522">
        <f>+'49'!D31+'50'!D31+'51'!D31+'52'!D31</f>
        <v>3816</v>
      </c>
      <c r="E31" s="507">
        <f>+'49'!E31+'50'!E31+'51'!E31+'52'!E31</f>
        <v>1848</v>
      </c>
      <c r="F31" s="522">
        <f>+'49'!F31+'50'!F31+'51'!F31+'52'!F31</f>
        <v>3430</v>
      </c>
      <c r="G31" s="522">
        <f>+'49'!G31+'50'!G31+'51'!G31+'52'!G31</f>
        <v>4749</v>
      </c>
      <c r="H31" s="522">
        <f>+'49'!H31+'50'!H31+'51'!H31+'52'!H31</f>
        <v>4526</v>
      </c>
      <c r="I31" s="522">
        <f>+'49'!I31+'50'!I31+'51'!I31+'52'!I31</f>
        <v>1787</v>
      </c>
      <c r="J31" s="523">
        <f>+'49'!J31+'50'!J31+'51'!J31+'52'!J31</f>
        <v>0</v>
      </c>
      <c r="K31" s="522">
        <f>+'49'!K31+'50'!K31+'51'!K31+'52'!K31</f>
        <v>0</v>
      </c>
      <c r="L31" s="522">
        <f>+'49'!L31+'50'!L31+'51'!L31+'52'!L31</f>
        <v>65</v>
      </c>
      <c r="M31" s="507">
        <f>+'49'!M31+'50'!M31+'51'!M31+'52'!M31</f>
        <v>0</v>
      </c>
      <c r="N31" s="522">
        <f>+'49'!N31+'50'!N31+'51'!N31+'52'!N31</f>
        <v>0</v>
      </c>
      <c r="O31" s="522">
        <f>+'49'!O31+'50'!O31+'51'!O31+'52'!O31</f>
        <v>0</v>
      </c>
      <c r="P31" s="522">
        <f>+'49'!P31+'50'!P31+'51'!P31+'52'!P31</f>
        <v>0</v>
      </c>
      <c r="Q31" s="522">
        <f>+'49'!P31+'50'!P31+'51'!P31+'52'!P31</f>
        <v>0</v>
      </c>
      <c r="R31" s="352">
        <f>+'49'!R31+'50'!R31+'51'!R31+'52'!R31</f>
        <v>0</v>
      </c>
      <c r="S31" s="353">
        <f>+'49'!S31+'50'!S31+'51'!S31+'52'!S31</f>
        <v>0</v>
      </c>
      <c r="T31" s="353">
        <f>+'49'!T31+'50'!T31+'51'!T31+'52'!T31</f>
        <v>0</v>
      </c>
      <c r="U31" s="353">
        <f>+'49'!U31+'50'!U31+'51'!U31+'52'!U31</f>
        <v>0</v>
      </c>
      <c r="V31" s="352"/>
      <c r="W31" s="353"/>
      <c r="X31" s="353"/>
      <c r="Y31" s="353"/>
      <c r="Z31" s="352"/>
      <c r="AA31" s="353"/>
      <c r="AB31" s="466"/>
      <c r="AC31" s="522">
        <f>+'49'!AC31+'50'!AC31+'51'!AC31+'52'!AC31</f>
        <v>0</v>
      </c>
      <c r="AD31" s="522">
        <f>+'49'!AD31+'50'!AD31+'51'!AD31+'52'!AD31</f>
        <v>0</v>
      </c>
      <c r="AE31" s="522">
        <f>+'49'!AE31+'50'!AE31+'51'!AE31+'52'!AE31</f>
        <v>0</v>
      </c>
      <c r="AF31" s="522">
        <f>+'49'!AF31+'50'!AF31+'51'!AF31+'52'!AF31</f>
        <v>0</v>
      </c>
      <c r="AG31" s="523">
        <f>+'51'!AG31+'52'!AG31</f>
        <v>0</v>
      </c>
      <c r="AH31" s="522">
        <f>+'51'!AH31+'52'!AH31</f>
        <v>0</v>
      </c>
      <c r="AI31" s="522">
        <f>+'51'!AI31+'52'!AI31</f>
        <v>0</v>
      </c>
      <c r="AJ31" s="523">
        <f>+'51'!AK31+'52'!AK31</f>
        <v>0</v>
      </c>
      <c r="AK31" s="522"/>
      <c r="AL31" s="507">
        <f>+'51'!AL31+'52'!AL31</f>
        <v>0</v>
      </c>
      <c r="AM31" s="522">
        <f t="shared" si="5"/>
        <v>7978</v>
      </c>
      <c r="AN31" s="522">
        <f t="shared" si="6"/>
        <v>8149</v>
      </c>
      <c r="AO31" s="522">
        <f t="shared" si="7"/>
        <v>8407</v>
      </c>
      <c r="AP31" s="507">
        <f t="shared" si="8"/>
        <v>3635</v>
      </c>
      <c r="AR31" s="1259"/>
    </row>
    <row r="32" spans="1:44" ht="18" customHeight="1">
      <c r="A32" s="92" t="s">
        <v>988</v>
      </c>
      <c r="B32" s="523">
        <f>+'49'!B32+'50'!B32+'51'!B32+'52'!B32</f>
        <v>12303</v>
      </c>
      <c r="C32" s="522">
        <f>+'49'!C32+'50'!C32+'51'!C32+'52'!C32</f>
        <v>8002</v>
      </c>
      <c r="D32" s="522">
        <f>+'49'!D32+'50'!D32+'51'!D32+'52'!D32</f>
        <v>8485</v>
      </c>
      <c r="E32" s="507">
        <f>+'49'!E32+'50'!E32+'51'!E32+'52'!E32</f>
        <v>4986</v>
      </c>
      <c r="F32" s="522">
        <f>+'49'!F32+'50'!F32+'51'!F32+'52'!F32</f>
        <v>0</v>
      </c>
      <c r="G32" s="522">
        <f>+'49'!G32+'50'!G32+'51'!G32+'52'!G32</f>
        <v>0</v>
      </c>
      <c r="H32" s="522">
        <f>+'49'!H32+'50'!H32+'51'!H32+'52'!H32</f>
        <v>0</v>
      </c>
      <c r="I32" s="522">
        <f>+'49'!I32+'50'!I32+'51'!I32+'52'!I32</f>
        <v>0</v>
      </c>
      <c r="J32" s="523">
        <f>+'49'!J32+'50'!J32+'51'!J32+'52'!J32</f>
        <v>0</v>
      </c>
      <c r="K32" s="522">
        <f>+'49'!K32+'50'!K32+'51'!K32+'52'!K32</f>
        <v>0</v>
      </c>
      <c r="L32" s="522">
        <f>+'49'!L32+'50'!L32+'51'!L32+'52'!L32</f>
        <v>0</v>
      </c>
      <c r="M32" s="507">
        <f>+'49'!M32+'50'!M32+'51'!M32+'52'!M32</f>
        <v>0</v>
      </c>
      <c r="N32" s="522">
        <f>+'49'!N32+'50'!N32+'51'!N32+'52'!N32</f>
        <v>0</v>
      </c>
      <c r="O32" s="522">
        <f>+'49'!O32+'50'!O32+'51'!O32+'52'!O32</f>
        <v>0</v>
      </c>
      <c r="P32" s="522">
        <f>+'49'!P32+'50'!P32+'51'!P32+'52'!P32</f>
        <v>0</v>
      </c>
      <c r="Q32" s="522">
        <f>+'49'!P32+'50'!P32+'51'!P32+'52'!P32</f>
        <v>0</v>
      </c>
      <c r="R32" s="352">
        <f>+'49'!R32+'50'!R32+'51'!R32+'52'!R32</f>
        <v>0</v>
      </c>
      <c r="S32" s="353">
        <f>+'49'!S32+'50'!S32+'51'!S32+'52'!S32</f>
        <v>0</v>
      </c>
      <c r="T32" s="353">
        <f>+'49'!T32+'50'!T32+'51'!T32+'52'!T32</f>
        <v>0</v>
      </c>
      <c r="U32" s="353">
        <f>+'49'!U32+'50'!U32+'51'!U32+'52'!U32</f>
        <v>0</v>
      </c>
      <c r="V32" s="352"/>
      <c r="W32" s="353"/>
      <c r="X32" s="353"/>
      <c r="Y32" s="353"/>
      <c r="Z32" s="352"/>
      <c r="AA32" s="353"/>
      <c r="AB32" s="466"/>
      <c r="AC32" s="522">
        <f>+'49'!AC32+'50'!AC32+'51'!AC32+'52'!AC32</f>
        <v>0</v>
      </c>
      <c r="AD32" s="522">
        <f>+'49'!AD32+'50'!AD32+'51'!AD32+'52'!AD32</f>
        <v>0</v>
      </c>
      <c r="AE32" s="522">
        <f>+'49'!AE32+'50'!AE32+'51'!AE32+'52'!AE32</f>
        <v>0</v>
      </c>
      <c r="AF32" s="522">
        <f>+'49'!AF32+'50'!AF32+'51'!AF32+'52'!AF32</f>
        <v>0</v>
      </c>
      <c r="AG32" s="523">
        <f>+'49'!AG32+'50'!AG32+'51'!AG32+'52'!AG32</f>
        <v>0</v>
      </c>
      <c r="AH32" s="522">
        <f>+'49'!AH32+'50'!AH32+'51'!AH32+'52'!AH32</f>
        <v>0</v>
      </c>
      <c r="AI32" s="522">
        <f>+'49'!AI32+'50'!AI32+'51'!AI32+'52'!AI32</f>
        <v>0</v>
      </c>
      <c r="AJ32" s="523">
        <f>+'51'!AK32+'52'!AK32</f>
        <v>0</v>
      </c>
      <c r="AK32" s="522"/>
      <c r="AL32" s="507">
        <f>+'49'!AL32+'50'!AL32+'51'!AL32+'52'!AL32</f>
        <v>0</v>
      </c>
      <c r="AM32" s="522">
        <f t="shared" si="5"/>
        <v>12303</v>
      </c>
      <c r="AN32" s="522">
        <f t="shared" si="6"/>
        <v>8002</v>
      </c>
      <c r="AO32" s="522">
        <f t="shared" si="7"/>
        <v>8485</v>
      </c>
      <c r="AP32" s="507">
        <f t="shared" si="8"/>
        <v>4986</v>
      </c>
      <c r="AR32" s="1259"/>
    </row>
    <row r="33" spans="1:44" ht="18" customHeight="1">
      <c r="A33" s="92" t="s">
        <v>989</v>
      </c>
      <c r="B33" s="523">
        <f>+'49'!B33+'50'!B33+'51'!B33+'52'!B33</f>
        <v>5580</v>
      </c>
      <c r="C33" s="522">
        <f>+'49'!C33+'50'!C33+'51'!C33+'52'!C33</f>
        <v>4590</v>
      </c>
      <c r="D33" s="522">
        <f>+'49'!D33+'50'!D33+'51'!D33+'52'!D33</f>
        <v>8159</v>
      </c>
      <c r="E33" s="507">
        <f>+'49'!E33+'50'!E33+'51'!E33+'52'!E33</f>
        <v>4329</v>
      </c>
      <c r="F33" s="522">
        <f>+'49'!F33+'50'!F33+'51'!F33+'52'!F33</f>
        <v>0</v>
      </c>
      <c r="G33" s="522">
        <f>+'49'!G33+'50'!G33+'51'!G33+'52'!G33</f>
        <v>0</v>
      </c>
      <c r="H33" s="522">
        <f>+'49'!H33+'50'!H33+'51'!H33+'52'!H33</f>
        <v>0</v>
      </c>
      <c r="I33" s="522">
        <f>+'49'!I33+'50'!I33+'51'!I33+'52'!I33</f>
        <v>0</v>
      </c>
      <c r="J33" s="523">
        <f>+'49'!J33+'50'!J33+'51'!J33+'52'!J33</f>
        <v>0</v>
      </c>
      <c r="K33" s="522">
        <f>+'49'!K33+'50'!K33+'51'!K33+'52'!K33</f>
        <v>0</v>
      </c>
      <c r="L33" s="522">
        <f>+'49'!L33+'50'!L33+'51'!L33+'52'!L33</f>
        <v>0</v>
      </c>
      <c r="M33" s="507">
        <f>+'49'!M33+'50'!M33+'51'!M33+'52'!M33</f>
        <v>0</v>
      </c>
      <c r="N33" s="522">
        <f>+'49'!N33+'50'!N33+'51'!N33+'52'!N33</f>
        <v>0</v>
      </c>
      <c r="O33" s="522">
        <f>+'49'!O33+'50'!O33+'51'!O33+'52'!O33</f>
        <v>0</v>
      </c>
      <c r="P33" s="522">
        <f>+'49'!P33+'50'!P33+'51'!P33+'52'!P33</f>
        <v>0</v>
      </c>
      <c r="Q33" s="522">
        <f>+'49'!P33+'50'!P33+'51'!P33+'52'!P33</f>
        <v>0</v>
      </c>
      <c r="R33" s="352">
        <f>+'49'!R33+'50'!R33+'51'!R33+'52'!R33</f>
        <v>0</v>
      </c>
      <c r="S33" s="353">
        <f>+'49'!S33+'50'!S33+'51'!S33+'52'!S33</f>
        <v>0</v>
      </c>
      <c r="T33" s="353">
        <f>+'49'!T33+'50'!T33+'51'!T33+'52'!T33</f>
        <v>0</v>
      </c>
      <c r="U33" s="353">
        <f>+'49'!U33+'50'!U33+'51'!U33+'52'!U33</f>
        <v>0</v>
      </c>
      <c r="V33" s="352"/>
      <c r="W33" s="353"/>
      <c r="X33" s="353"/>
      <c r="Y33" s="353"/>
      <c r="Z33" s="352"/>
      <c r="AA33" s="353"/>
      <c r="AB33" s="466"/>
      <c r="AC33" s="522">
        <f>+'49'!AC33+'50'!AC33+'51'!AC33+'52'!AC33</f>
        <v>0</v>
      </c>
      <c r="AD33" s="522">
        <f>+'49'!AD33+'50'!AD33+'51'!AD33+'52'!AD33</f>
        <v>0</v>
      </c>
      <c r="AE33" s="522">
        <f>+'49'!AE33+'50'!AE33+'51'!AE33+'52'!AE33</f>
        <v>0</v>
      </c>
      <c r="AF33" s="522">
        <f>+'49'!AF33+'50'!AF33+'51'!AF33+'52'!AF33</f>
        <v>0</v>
      </c>
      <c r="AG33" s="523">
        <f>+'51'!AG33+'52'!AG33</f>
        <v>0</v>
      </c>
      <c r="AH33" s="522">
        <f>+'51'!AH33+'52'!AH33</f>
        <v>0</v>
      </c>
      <c r="AI33" s="522">
        <f>+'51'!AI33+'52'!AI33</f>
        <v>0</v>
      </c>
      <c r="AJ33" s="523">
        <f>+'51'!AK33+'52'!AK33</f>
        <v>0</v>
      </c>
      <c r="AK33" s="522"/>
      <c r="AL33" s="507">
        <f>+'51'!AL33+'52'!AL33</f>
        <v>0</v>
      </c>
      <c r="AM33" s="522">
        <f t="shared" si="5"/>
        <v>5580</v>
      </c>
      <c r="AN33" s="522">
        <f t="shared" si="6"/>
        <v>4590</v>
      </c>
      <c r="AO33" s="522">
        <f t="shared" si="7"/>
        <v>8159</v>
      </c>
      <c r="AP33" s="507">
        <f t="shared" si="8"/>
        <v>4329</v>
      </c>
      <c r="AR33" s="1259"/>
    </row>
    <row r="34" spans="1:44" ht="18" customHeight="1">
      <c r="A34" s="92" t="s">
        <v>990</v>
      </c>
      <c r="B34" s="523">
        <f>+'49'!B34+'50'!B34+'51'!B34+'52'!B34</f>
        <v>0</v>
      </c>
      <c r="C34" s="522">
        <f>+'49'!C34+'50'!C34+'51'!C34+'52'!C34</f>
        <v>0</v>
      </c>
      <c r="D34" s="522">
        <f>+'49'!D34+'50'!D34+'51'!D34+'52'!D34</f>
        <v>0</v>
      </c>
      <c r="E34" s="507">
        <f>+'49'!E34+'50'!E34+'51'!E34+'52'!E34</f>
        <v>0</v>
      </c>
      <c r="F34" s="522">
        <f>+'49'!F34+'50'!F34+'51'!F34+'52'!F34</f>
        <v>14235</v>
      </c>
      <c r="G34" s="522">
        <f>+'49'!G34+'50'!G34+'51'!G34+'52'!G34</f>
        <v>16257</v>
      </c>
      <c r="H34" s="522">
        <f>+'49'!H34+'50'!H34+'51'!H34+'52'!H34</f>
        <v>17532</v>
      </c>
      <c r="I34" s="522">
        <f>+'49'!I34+'50'!I34+'51'!I34+'52'!I34</f>
        <v>6986</v>
      </c>
      <c r="J34" s="523">
        <f>+'49'!J34+'50'!J34+'51'!J34+'52'!J34</f>
        <v>0</v>
      </c>
      <c r="K34" s="522">
        <f>+'49'!K34+'50'!K34+'51'!K34+'52'!K34</f>
        <v>0</v>
      </c>
      <c r="L34" s="522">
        <f>+'49'!L34+'50'!L34+'51'!L34+'52'!L34</f>
        <v>0</v>
      </c>
      <c r="M34" s="507">
        <f>+'49'!M34+'50'!M34+'51'!M34+'52'!M34</f>
        <v>0</v>
      </c>
      <c r="N34" s="522">
        <f>+'49'!N34+'50'!N34+'51'!N34+'52'!N34</f>
        <v>0</v>
      </c>
      <c r="O34" s="522">
        <f>+'49'!O34+'50'!O34+'51'!O34+'52'!O34</f>
        <v>0</v>
      </c>
      <c r="P34" s="522">
        <f>+'49'!P34+'50'!P34+'51'!P34+'52'!P34</f>
        <v>0</v>
      </c>
      <c r="Q34" s="522">
        <f>+'49'!P34+'50'!P34+'51'!P34+'52'!P34</f>
        <v>0</v>
      </c>
      <c r="R34" s="352">
        <f>+'49'!R34+'50'!R34+'51'!R34+'52'!R34</f>
        <v>0</v>
      </c>
      <c r="S34" s="353">
        <f>+'49'!S34+'50'!S34+'51'!S34+'52'!S34</f>
        <v>0</v>
      </c>
      <c r="T34" s="353">
        <f>+'49'!T34+'50'!T34+'51'!T34+'52'!T34</f>
        <v>0</v>
      </c>
      <c r="U34" s="353">
        <f>+'49'!U34+'50'!U34+'51'!U34+'52'!U34</f>
        <v>0</v>
      </c>
      <c r="V34" s="352"/>
      <c r="W34" s="353"/>
      <c r="X34" s="353"/>
      <c r="Y34" s="353"/>
      <c r="Z34" s="352"/>
      <c r="AA34" s="353"/>
      <c r="AB34" s="466"/>
      <c r="AC34" s="522">
        <f>+'49'!AC34+'50'!AC34+'51'!AC34+'52'!AC34</f>
        <v>0</v>
      </c>
      <c r="AD34" s="522">
        <f>+'49'!AD34+'50'!AD34+'51'!AD34+'52'!AD34</f>
        <v>0</v>
      </c>
      <c r="AE34" s="522">
        <f>+'49'!AE34+'50'!AE34+'51'!AE34+'52'!AE34</f>
        <v>0</v>
      </c>
      <c r="AF34" s="522">
        <f>+'49'!AF34+'50'!AF34+'51'!AF34+'52'!AF34</f>
        <v>0</v>
      </c>
      <c r="AG34" s="523">
        <f>+'51'!AG34+'52'!AG34</f>
        <v>0</v>
      </c>
      <c r="AH34" s="522">
        <f>+'51'!AH34+'52'!AH34</f>
        <v>0</v>
      </c>
      <c r="AI34" s="522">
        <f>+'51'!AI34+'52'!AI34</f>
        <v>0</v>
      </c>
      <c r="AJ34" s="523">
        <f>+'51'!AK34+'52'!AK34</f>
        <v>0</v>
      </c>
      <c r="AK34" s="522"/>
      <c r="AL34" s="507">
        <f>+'51'!AL34+'52'!AL34</f>
        <v>0</v>
      </c>
      <c r="AM34" s="522">
        <f t="shared" si="5"/>
        <v>14235</v>
      </c>
      <c r="AN34" s="522">
        <f t="shared" si="6"/>
        <v>16257</v>
      </c>
      <c r="AO34" s="522">
        <f t="shared" si="7"/>
        <v>17532</v>
      </c>
      <c r="AP34" s="507">
        <f t="shared" si="8"/>
        <v>6986</v>
      </c>
      <c r="AR34" s="1259"/>
    </row>
    <row r="35" spans="1:44" ht="18" customHeight="1">
      <c r="A35" s="92" t="s">
        <v>991</v>
      </c>
      <c r="B35" s="523">
        <f>+'49'!B35+'50'!B35+'51'!B35+'52'!B35</f>
        <v>0</v>
      </c>
      <c r="C35" s="522">
        <f>+'49'!C35+'50'!C35+'51'!C35+'52'!C35</f>
        <v>0</v>
      </c>
      <c r="D35" s="522">
        <f>+'49'!D35+'50'!D35+'51'!D35+'52'!D35</f>
        <v>0</v>
      </c>
      <c r="E35" s="507">
        <f>+'49'!E35+'50'!E35+'51'!E35+'52'!E35</f>
        <v>0</v>
      </c>
      <c r="F35" s="522">
        <f>+'49'!F35+'50'!F35+'51'!F35+'52'!F35</f>
        <v>4628</v>
      </c>
      <c r="G35" s="522">
        <f>+'49'!G35+'50'!G35+'51'!G35+'52'!G35</f>
        <v>3607</v>
      </c>
      <c r="H35" s="522">
        <f>+'49'!H35+'50'!H35+'51'!H35+'52'!H35</f>
        <v>3465</v>
      </c>
      <c r="I35" s="522">
        <f>+'49'!I35+'50'!I35+'51'!I35+'52'!I35</f>
        <v>1809</v>
      </c>
      <c r="J35" s="523">
        <f>+'49'!J35+'50'!J35+'51'!J35+'52'!J35</f>
        <v>0</v>
      </c>
      <c r="K35" s="522">
        <f>+'49'!K35+'50'!K35+'51'!K35+'52'!K35</f>
        <v>0</v>
      </c>
      <c r="L35" s="522">
        <f>+'49'!L35+'50'!L35+'51'!L35+'52'!L35</f>
        <v>0</v>
      </c>
      <c r="M35" s="507">
        <f>+'49'!M35+'50'!M35+'51'!M35+'52'!M35</f>
        <v>0</v>
      </c>
      <c r="N35" s="522">
        <f>+'49'!N35+'50'!N35+'51'!N35+'52'!N35</f>
        <v>0</v>
      </c>
      <c r="O35" s="522">
        <f>+'49'!O35+'50'!O35+'51'!O35+'52'!O35</f>
        <v>0</v>
      </c>
      <c r="P35" s="522">
        <f>+'49'!P35+'50'!P35+'51'!P35+'52'!P35</f>
        <v>0</v>
      </c>
      <c r="Q35" s="522">
        <f>+'49'!P35+'50'!P35+'51'!P35+'52'!P35</f>
        <v>0</v>
      </c>
      <c r="R35" s="352">
        <f>+'49'!R35+'50'!R35+'51'!R35+'52'!R35</f>
        <v>0</v>
      </c>
      <c r="S35" s="353">
        <f>+'49'!S35+'50'!S35+'51'!S35+'52'!S35</f>
        <v>0</v>
      </c>
      <c r="T35" s="353">
        <f>+'49'!T35+'50'!T35+'51'!T35+'52'!T35</f>
        <v>0</v>
      </c>
      <c r="U35" s="353">
        <f>+'49'!U35+'50'!U35+'51'!U35+'52'!U35</f>
        <v>0</v>
      </c>
      <c r="V35" s="352"/>
      <c r="W35" s="353"/>
      <c r="X35" s="353"/>
      <c r="Y35" s="353"/>
      <c r="Z35" s="352"/>
      <c r="AA35" s="353"/>
      <c r="AB35" s="466"/>
      <c r="AC35" s="522">
        <f>+'49'!AC35+'50'!AC35+'51'!AC35+'52'!AC35</f>
        <v>0</v>
      </c>
      <c r="AD35" s="522">
        <f>+'49'!AD35+'50'!AD35+'51'!AD35+'52'!AD35</f>
        <v>0</v>
      </c>
      <c r="AE35" s="522">
        <f>+'49'!AE35+'50'!AE35+'51'!AE35+'52'!AE35</f>
        <v>0</v>
      </c>
      <c r="AF35" s="522">
        <f>+'49'!AF35+'50'!AF35+'51'!AF35+'52'!AF35</f>
        <v>0</v>
      </c>
      <c r="AG35" s="523">
        <f>+'51'!AG35+'52'!AG35</f>
        <v>0</v>
      </c>
      <c r="AH35" s="522">
        <f>+'51'!AH35+'52'!AH35</f>
        <v>0</v>
      </c>
      <c r="AI35" s="522">
        <f>+'51'!AI35+'52'!AI35</f>
        <v>0</v>
      </c>
      <c r="AJ35" s="523">
        <f>+'51'!AK35+'52'!AK35</f>
        <v>0</v>
      </c>
      <c r="AK35" s="522"/>
      <c r="AL35" s="507">
        <f>+'51'!AL35+'52'!AL35</f>
        <v>0</v>
      </c>
      <c r="AM35" s="522">
        <f t="shared" si="5"/>
        <v>4628</v>
      </c>
      <c r="AN35" s="522">
        <f t="shared" si="6"/>
        <v>3607</v>
      </c>
      <c r="AO35" s="522">
        <f t="shared" si="7"/>
        <v>3465</v>
      </c>
      <c r="AP35" s="507">
        <f t="shared" si="8"/>
        <v>1809</v>
      </c>
      <c r="AR35" s="1259"/>
    </row>
    <row r="36" spans="1:44" ht="18" customHeight="1">
      <c r="A36" s="92" t="s">
        <v>1574</v>
      </c>
      <c r="B36" s="523">
        <f>+'49'!B36+'50'!B36+'51'!B36+'52'!B36</f>
        <v>0</v>
      </c>
      <c r="C36" s="522">
        <f>+'49'!C36+'50'!C36+'51'!C36+'52'!C36</f>
        <v>0</v>
      </c>
      <c r="D36" s="522">
        <f>+'49'!D36+'50'!D36+'51'!D36+'52'!D36</f>
        <v>0</v>
      </c>
      <c r="E36" s="507">
        <f>+'49'!E36+'50'!E36+'51'!E36+'52'!E36</f>
        <v>0</v>
      </c>
      <c r="F36" s="522"/>
      <c r="G36" s="522"/>
      <c r="H36" s="522"/>
      <c r="I36" s="522"/>
      <c r="J36" s="523"/>
      <c r="K36" s="522"/>
      <c r="L36" s="522"/>
      <c r="M36" s="507"/>
      <c r="N36" s="522"/>
      <c r="O36" s="522"/>
      <c r="P36" s="522">
        <f>+'49'!P36+'50'!P36+'51'!P36+'52'!P36</f>
        <v>0</v>
      </c>
      <c r="Q36" s="522"/>
      <c r="R36" s="352"/>
      <c r="S36" s="353"/>
      <c r="T36" s="353"/>
      <c r="U36" s="353"/>
      <c r="V36" s="352"/>
      <c r="W36" s="353"/>
      <c r="X36" s="353"/>
      <c r="Y36" s="353"/>
      <c r="Z36" s="352"/>
      <c r="AA36" s="353"/>
      <c r="AB36" s="466"/>
      <c r="AC36" s="522"/>
      <c r="AD36" s="522"/>
      <c r="AE36" s="522"/>
      <c r="AF36" s="522"/>
      <c r="AG36" s="523"/>
      <c r="AH36" s="522"/>
      <c r="AI36" s="522"/>
      <c r="AJ36" s="523">
        <f>+'50'!AJ36+'51'!AJ36+'52'!AJ36</f>
        <v>19</v>
      </c>
      <c r="AK36" s="522">
        <f>+'49'!AK36+'50'!AK36+'51'!AK36+'52'!AK36</f>
        <v>30</v>
      </c>
      <c r="AL36" s="507">
        <f>+'49'!AL36+'50'!AL36+'51'!AL36+'52'!AL36</f>
        <v>0</v>
      </c>
      <c r="AM36" s="522">
        <f>+N36+J36+F36+B36+AC36+AG36</f>
        <v>0</v>
      </c>
      <c r="AN36" s="522">
        <f>+O36+K36+G36+C36+AD36+AH36+AJ36</f>
        <v>19</v>
      </c>
      <c r="AO36" s="522">
        <f>+L36+H36+D36+T36+X36+AE36+AK36</f>
        <v>30</v>
      </c>
      <c r="AP36" s="507">
        <f t="shared" si="8"/>
        <v>0</v>
      </c>
      <c r="AR36" s="1259"/>
    </row>
    <row r="37" spans="1:44" ht="18" customHeight="1">
      <c r="A37" s="92" t="s">
        <v>992</v>
      </c>
      <c r="B37" s="523">
        <f>+'49'!B37+'50'!B37+'51'!B37+'52'!B37</f>
        <v>1530</v>
      </c>
      <c r="C37" s="522">
        <f>+'49'!C37+'50'!C37+'51'!C37+'52'!C37</f>
        <v>1674</v>
      </c>
      <c r="D37" s="522">
        <f>+'49'!D37+'50'!D37+'51'!D37+'52'!D37</f>
        <v>2029</v>
      </c>
      <c r="E37" s="507">
        <f>+'49'!E37+'50'!E37+'51'!E37+'52'!E37</f>
        <v>1242</v>
      </c>
      <c r="F37" s="522">
        <f>+'49'!F37+'50'!F37+'51'!F37+'52'!F37</f>
        <v>0</v>
      </c>
      <c r="G37" s="522">
        <f>+'49'!G37+'50'!G37+'51'!G37+'52'!G37</f>
        <v>0</v>
      </c>
      <c r="H37" s="522">
        <f>+'49'!H37+'50'!H37+'51'!H37+'52'!H37</f>
        <v>0</v>
      </c>
      <c r="I37" s="522">
        <f>+'49'!I37+'50'!I37+'51'!I37+'52'!I37</f>
        <v>0</v>
      </c>
      <c r="J37" s="523">
        <f>+'49'!J37+'50'!J37+'51'!J37+'52'!J37</f>
        <v>0</v>
      </c>
      <c r="K37" s="522">
        <f>+'49'!K37+'50'!K37+'51'!K37+'52'!K37</f>
        <v>0</v>
      </c>
      <c r="L37" s="522">
        <f>+'49'!L37+'50'!L37+'51'!L37+'52'!L37</f>
        <v>0</v>
      </c>
      <c r="M37" s="507">
        <f>+'49'!M37+'50'!M37+'51'!M37+'52'!M37</f>
        <v>0</v>
      </c>
      <c r="N37" s="522">
        <f>+'49'!N37+'50'!N37+'51'!N37+'52'!N37</f>
        <v>0</v>
      </c>
      <c r="O37" s="522">
        <f>+'49'!O37+'50'!O37+'51'!O37+'52'!O37</f>
        <v>0</v>
      </c>
      <c r="P37" s="522">
        <f>+'49'!P37+'50'!P37+'51'!P37+'52'!P37</f>
        <v>0</v>
      </c>
      <c r="Q37" s="522">
        <f>+'49'!P37+'50'!P37+'51'!P37+'52'!P37</f>
        <v>0</v>
      </c>
      <c r="R37" s="352">
        <f>+'49'!R37+'50'!R37+'51'!R37+'52'!R37</f>
        <v>0</v>
      </c>
      <c r="S37" s="353">
        <f>+'49'!S37+'50'!S37+'51'!S37+'52'!S37</f>
        <v>0</v>
      </c>
      <c r="T37" s="353">
        <f>+'49'!T37+'50'!T37+'51'!T37+'52'!T37</f>
        <v>0</v>
      </c>
      <c r="U37" s="353">
        <f>+'49'!U37+'50'!U37+'51'!U37+'52'!U37</f>
        <v>0</v>
      </c>
      <c r="V37" s="352"/>
      <c r="W37" s="353"/>
      <c r="X37" s="353"/>
      <c r="Y37" s="353"/>
      <c r="Z37" s="352"/>
      <c r="AA37" s="353"/>
      <c r="AB37" s="466"/>
      <c r="AC37" s="522">
        <f>+'49'!AC37+'50'!AC37+'51'!AC37+'52'!AC37</f>
        <v>0</v>
      </c>
      <c r="AD37" s="522">
        <f>+'49'!AD37+'50'!AD37+'51'!AD37+'52'!AD37</f>
        <v>0</v>
      </c>
      <c r="AE37" s="522">
        <f>+'49'!AE37+'50'!AE37+'51'!AE37+'52'!AE37</f>
        <v>0</v>
      </c>
      <c r="AF37" s="522">
        <f>+'49'!AF37+'50'!AF37+'51'!AF37+'52'!AF37</f>
        <v>0</v>
      </c>
      <c r="AG37" s="523">
        <f>+'51'!AG37+'52'!AG37</f>
        <v>0</v>
      </c>
      <c r="AH37" s="522">
        <f>+'51'!AH37+'52'!AH37</f>
        <v>0</v>
      </c>
      <c r="AI37" s="522">
        <f>+'51'!AI37+'52'!AI37</f>
        <v>0</v>
      </c>
      <c r="AJ37" s="523">
        <f>+'51'!AK37+'52'!AK37</f>
        <v>0</v>
      </c>
      <c r="AK37" s="522"/>
      <c r="AL37" s="507">
        <f>+'51'!AL37+'52'!AL37</f>
        <v>0</v>
      </c>
      <c r="AM37" s="522">
        <f>+N37+J37+F37+B37+AC37+AG37</f>
        <v>1530</v>
      </c>
      <c r="AN37" s="522">
        <f>+O37+K37+G37+C37+AD37+AH37</f>
        <v>1674</v>
      </c>
      <c r="AO37" s="522">
        <f>+Q37+L37+H37+D37+AE37+AI37</f>
        <v>2029</v>
      </c>
      <c r="AP37" s="507">
        <f t="shared" si="8"/>
        <v>1242</v>
      </c>
      <c r="AR37" s="1259"/>
    </row>
    <row r="38" spans="1:44" ht="18" customHeight="1">
      <c r="A38" s="14" t="s">
        <v>832</v>
      </c>
      <c r="B38" s="527">
        <f t="shared" ref="B38:AP38" si="9">SUM(B9:B37)</f>
        <v>75534</v>
      </c>
      <c r="C38" s="525">
        <f t="shared" si="9"/>
        <v>69586</v>
      </c>
      <c r="D38" s="525">
        <f t="shared" si="9"/>
        <v>76636</v>
      </c>
      <c r="E38" s="526">
        <f t="shared" si="9"/>
        <v>43822</v>
      </c>
      <c r="F38" s="525">
        <f t="shared" si="9"/>
        <v>55462</v>
      </c>
      <c r="G38" s="525">
        <f t="shared" si="9"/>
        <v>57062</v>
      </c>
      <c r="H38" s="525">
        <f t="shared" si="9"/>
        <v>62164</v>
      </c>
      <c r="I38" s="525">
        <f t="shared" si="9"/>
        <v>29340</v>
      </c>
      <c r="J38" s="527">
        <f t="shared" si="9"/>
        <v>885</v>
      </c>
      <c r="K38" s="525">
        <f t="shared" si="9"/>
        <v>732</v>
      </c>
      <c r="L38" s="525">
        <f t="shared" si="9"/>
        <v>1437</v>
      </c>
      <c r="M38" s="526">
        <f t="shared" si="9"/>
        <v>1464</v>
      </c>
      <c r="N38" s="525">
        <f t="shared" si="9"/>
        <v>2218</v>
      </c>
      <c r="O38" s="525">
        <f t="shared" si="9"/>
        <v>0</v>
      </c>
      <c r="P38" s="525">
        <f t="shared" si="9"/>
        <v>0</v>
      </c>
      <c r="Q38" s="525">
        <f t="shared" si="9"/>
        <v>0</v>
      </c>
      <c r="R38" s="356">
        <f t="shared" si="9"/>
        <v>434</v>
      </c>
      <c r="S38" s="357">
        <f t="shared" si="9"/>
        <v>0</v>
      </c>
      <c r="T38" s="357">
        <f>SUM(T9:T37)</f>
        <v>0</v>
      </c>
      <c r="U38" s="509">
        <f>SUM(U9:U37)</f>
        <v>0</v>
      </c>
      <c r="V38" s="525">
        <f t="shared" si="9"/>
        <v>1819</v>
      </c>
      <c r="W38" s="525">
        <f>SUM(W9:W37)</f>
        <v>4009</v>
      </c>
      <c r="X38" s="525">
        <f>SUM(X9:X37)</f>
        <v>3118</v>
      </c>
      <c r="Y38" s="357">
        <f>SUM(Y12:Y37)</f>
        <v>1249</v>
      </c>
      <c r="Z38" s="356">
        <f>SUM(Z9:Z37)</f>
        <v>1780</v>
      </c>
      <c r="AA38" s="357">
        <f>SUM(AA9:AA37)</f>
        <v>2542</v>
      </c>
      <c r="AB38" s="509">
        <f>SUM(AB9:AB37)</f>
        <v>2810</v>
      </c>
      <c r="AC38" s="525">
        <f t="shared" si="9"/>
        <v>747</v>
      </c>
      <c r="AD38" s="525">
        <f t="shared" si="9"/>
        <v>0</v>
      </c>
      <c r="AE38" s="525">
        <f t="shared" si="9"/>
        <v>0</v>
      </c>
      <c r="AF38" s="526">
        <f t="shared" si="9"/>
        <v>0</v>
      </c>
      <c r="AG38" s="527">
        <f t="shared" si="9"/>
        <v>0</v>
      </c>
      <c r="AH38" s="525">
        <f t="shared" si="9"/>
        <v>0</v>
      </c>
      <c r="AI38" s="525">
        <f t="shared" si="9"/>
        <v>0</v>
      </c>
      <c r="AJ38" s="527">
        <f>SUM(AJ9:AJ37)</f>
        <v>19</v>
      </c>
      <c r="AK38" s="525">
        <f>SUM(AK9:AK37)</f>
        <v>30</v>
      </c>
      <c r="AL38" s="526">
        <f t="shared" si="9"/>
        <v>0</v>
      </c>
      <c r="AM38" s="525">
        <f t="shared" si="9"/>
        <v>137099</v>
      </c>
      <c r="AN38" s="525">
        <f t="shared" si="9"/>
        <v>133188</v>
      </c>
      <c r="AO38" s="525">
        <f t="shared" si="9"/>
        <v>145927</v>
      </c>
      <c r="AP38" s="526">
        <f t="shared" si="9"/>
        <v>78685</v>
      </c>
      <c r="AQ38" s="539"/>
    </row>
    <row r="39" spans="1:44" ht="18" customHeight="1">
      <c r="A39" s="8"/>
      <c r="B39" s="528"/>
      <c r="C39" s="528"/>
      <c r="D39" s="528"/>
      <c r="E39" s="528"/>
      <c r="F39" s="528"/>
      <c r="G39" s="528"/>
      <c r="H39" s="528"/>
      <c r="I39" s="528"/>
      <c r="J39" s="528"/>
      <c r="K39" s="528"/>
      <c r="L39" s="528"/>
      <c r="M39" s="528"/>
      <c r="N39" s="528"/>
      <c r="O39" s="528"/>
      <c r="P39" s="528"/>
      <c r="Q39" s="528"/>
      <c r="R39" s="522"/>
      <c r="S39" s="528"/>
      <c r="T39" s="528"/>
      <c r="U39" s="528"/>
      <c r="V39" s="522"/>
      <c r="W39" s="522"/>
      <c r="X39" s="522"/>
      <c r="Y39" s="522"/>
      <c r="Z39" s="522"/>
      <c r="AA39" s="522"/>
      <c r="AB39" s="522"/>
      <c r="AC39" s="528"/>
      <c r="AD39" s="528"/>
      <c r="AE39" s="528"/>
      <c r="AF39" s="528"/>
      <c r="AG39" s="528"/>
      <c r="AH39" s="528"/>
      <c r="AI39" s="528"/>
      <c r="AJ39" s="522"/>
      <c r="AK39" s="522"/>
      <c r="AL39" s="522"/>
      <c r="AM39" s="1101"/>
      <c r="AN39" s="1101"/>
      <c r="AO39" s="528"/>
      <c r="AP39" s="528"/>
      <c r="AQ39" s="539"/>
    </row>
    <row r="40" spans="1:44" ht="18" customHeight="1">
      <c r="A40" s="485" t="s">
        <v>993</v>
      </c>
      <c r="B40" s="528"/>
      <c r="C40" s="528"/>
      <c r="D40" s="528"/>
      <c r="E40" s="525"/>
      <c r="F40" s="528"/>
      <c r="G40" s="528"/>
      <c r="H40" s="528"/>
      <c r="I40" s="528"/>
      <c r="J40" s="528"/>
      <c r="K40" s="528"/>
      <c r="L40" s="528"/>
      <c r="M40" s="528"/>
      <c r="N40" s="528"/>
      <c r="O40" s="528"/>
      <c r="P40" s="528"/>
      <c r="Q40" s="528"/>
      <c r="R40" s="522"/>
      <c r="S40" s="528"/>
      <c r="T40" s="528"/>
      <c r="U40" s="528"/>
      <c r="V40" s="522"/>
      <c r="W40" s="522"/>
      <c r="X40" s="522"/>
      <c r="Y40" s="522"/>
      <c r="Z40" s="525"/>
      <c r="AA40" s="522"/>
      <c r="AB40" s="522"/>
      <c r="AC40" s="528"/>
      <c r="AD40" s="528"/>
      <c r="AE40" s="528"/>
      <c r="AF40" s="528"/>
      <c r="AG40" s="528"/>
      <c r="AH40" s="528"/>
      <c r="AI40" s="528"/>
      <c r="AJ40" s="522"/>
      <c r="AK40" s="522"/>
      <c r="AL40" s="522"/>
      <c r="AM40" s="528"/>
      <c r="AN40" s="528"/>
      <c r="AO40" s="528"/>
      <c r="AP40" s="528"/>
    </row>
    <row r="41" spans="1:44" ht="18" customHeight="1">
      <c r="A41" s="532" t="s">
        <v>994</v>
      </c>
      <c r="B41" s="529">
        <f>+'49'!B41+'50'!B41+'51'!B41+'52'!B41</f>
        <v>1990</v>
      </c>
      <c r="C41" s="530">
        <f>+'49'!C41+'50'!C41+'51'!C41+'52'!C41</f>
        <v>3623</v>
      </c>
      <c r="D41" s="530">
        <f>+'49'!D41+'50'!D41+'51'!D41+'52'!D41</f>
        <v>4325</v>
      </c>
      <c r="E41" s="507">
        <f>+'49'!E41+'50'!E41+'51'!E41+'52'!E41</f>
        <v>3354</v>
      </c>
      <c r="F41" s="529">
        <f>+'49'!F41+'50'!F41+'51'!F41+'52'!F41</f>
        <v>6977</v>
      </c>
      <c r="G41" s="530">
        <f>+'49'!G41+'50'!G41+'51'!G41+'52'!G41</f>
        <v>2251</v>
      </c>
      <c r="H41" s="530">
        <f>+'49'!H41+'50'!H41+'51'!H41+'52'!H41</f>
        <v>2864</v>
      </c>
      <c r="I41" s="531">
        <f>+'49'!I41+'50'!I41+'51'!I41+'52'!I41</f>
        <v>2559</v>
      </c>
      <c r="J41" s="529">
        <f>+'49'!J41+'50'!J41+'51'!J41+'52'!J41</f>
        <v>0</v>
      </c>
      <c r="K41" s="530">
        <f>+'49'!K41+'50'!K41+'51'!K41+'52'!K41</f>
        <v>0</v>
      </c>
      <c r="L41" s="530">
        <f>+'49'!L41+'50'!L41+'51'!L41+'52'!L41</f>
        <v>0</v>
      </c>
      <c r="M41" s="531">
        <f>+'49'!M41+'50'!M41+'51'!M41+'52'!M41</f>
        <v>0</v>
      </c>
      <c r="N41" s="529">
        <f>+'49'!N41+'50'!N41+'51'!N41+'52'!N41</f>
        <v>0</v>
      </c>
      <c r="O41" s="530">
        <f>+'49'!O41+'50'!O41+'51'!O41+'52'!O41</f>
        <v>0</v>
      </c>
      <c r="P41" s="530">
        <f>+'49'!P41+'50'!P41+'51'!P41+'52'!P41</f>
        <v>0</v>
      </c>
      <c r="Q41" s="530">
        <f>+'49'!P41+'50'!P41+'51'!P41+'52'!P41</f>
        <v>0</v>
      </c>
      <c r="R41" s="529">
        <f>+'49'!R41+'50'!R41+'51'!R41+'52'!R41</f>
        <v>0</v>
      </c>
      <c r="S41" s="530">
        <f>+'49'!S41+'50'!S41+'51'!S41+'52'!S41</f>
        <v>0</v>
      </c>
      <c r="T41" s="530">
        <f>+'49'!T41+'50'!T41+'51'!T41+'52'!T41</f>
        <v>0</v>
      </c>
      <c r="U41" s="530">
        <f>+'49'!U41+'50'!U41+'51'!U41+'52'!U41</f>
        <v>0</v>
      </c>
      <c r="V41" s="529"/>
      <c r="W41" s="530"/>
      <c r="X41" s="530"/>
      <c r="Y41" s="530"/>
      <c r="Z41" s="523">
        <f>+'49'!Z41+'50'!Z41+'51'!Z41+'52'!Z41</f>
        <v>2340</v>
      </c>
      <c r="AA41" s="530">
        <f>+'49'!AA41+'50'!AA41+'51'!AA41+'52'!AA41</f>
        <v>0</v>
      </c>
      <c r="AB41" s="531">
        <f>+'49'!AB41+'50'!AB41+'51'!AB41+'52'!AB41</f>
        <v>0</v>
      </c>
      <c r="AC41" s="530">
        <f>+'49'!AC41+'50'!AC41+'51'!AC41+'52'!AC41</f>
        <v>0</v>
      </c>
      <c r="AD41" s="530">
        <f>+'49'!AD41+'50'!AD41+'51'!AD41+'52'!AD41</f>
        <v>0</v>
      </c>
      <c r="AE41" s="530">
        <f>+'49'!AE41+'50'!AE41+'51'!AE41+'52'!AE41</f>
        <v>0</v>
      </c>
      <c r="AF41" s="530">
        <f>+'49'!AF41+'50'!AF41+'51'!AF41+'52'!AF41</f>
        <v>0</v>
      </c>
      <c r="AG41" s="529"/>
      <c r="AH41" s="530"/>
      <c r="AI41" s="530"/>
      <c r="AJ41" s="529"/>
      <c r="AK41" s="530"/>
      <c r="AL41" s="531"/>
      <c r="AM41" s="530">
        <f t="shared" ref="AM41:AM48" si="10">+N41+J41+F41+B41</f>
        <v>8967</v>
      </c>
      <c r="AN41" s="530">
        <f>+O41+K41+G41+C41+Z41</f>
        <v>8214</v>
      </c>
      <c r="AO41" s="530">
        <f>+L41+H41+D41+T41+X41+AA41</f>
        <v>7189</v>
      </c>
      <c r="AP41" s="531">
        <f t="shared" ref="AP41:AP49" si="11">+M41+I41+E41+U41+Y41+AB41+AF41+AL41+Q41</f>
        <v>5913</v>
      </c>
      <c r="AR41" s="539"/>
    </row>
    <row r="42" spans="1:44" ht="18" customHeight="1">
      <c r="A42" s="534" t="s">
        <v>995</v>
      </c>
      <c r="B42" s="523">
        <f>+'49'!B42+'50'!B42+'51'!B42+'52'!B42</f>
        <v>107</v>
      </c>
      <c r="C42" s="522">
        <f>+'49'!C42+'50'!C42+'51'!C42+'52'!C42</f>
        <v>110</v>
      </c>
      <c r="D42" s="522">
        <f>+'49'!D42+'50'!D42+'51'!D42+'52'!D42</f>
        <v>392</v>
      </c>
      <c r="E42" s="507">
        <f>+'49'!E42+'50'!E42+'51'!E42+'52'!E42</f>
        <v>182</v>
      </c>
      <c r="F42" s="523">
        <f>+'49'!F42+'50'!F42+'51'!F42+'52'!F42</f>
        <v>734</v>
      </c>
      <c r="G42" s="522">
        <f>+'49'!G42+'50'!G42+'51'!G42+'52'!G42</f>
        <v>1101</v>
      </c>
      <c r="H42" s="522">
        <f>+'49'!H42+'50'!H42+'51'!H42+'52'!H42</f>
        <v>2568</v>
      </c>
      <c r="I42" s="507">
        <f>+'49'!I42+'50'!I42+'51'!I42+'52'!I42</f>
        <v>435</v>
      </c>
      <c r="J42" s="523">
        <f>+'49'!J42+'50'!J42+'51'!J42+'52'!J42</f>
        <v>0</v>
      </c>
      <c r="K42" s="522">
        <f>+'49'!K42+'50'!K42+'51'!K42+'52'!K42</f>
        <v>0</v>
      </c>
      <c r="L42" s="522">
        <f>+'49'!L42+'50'!L42+'51'!L42+'52'!L42</f>
        <v>0</v>
      </c>
      <c r="M42" s="507">
        <f>+'49'!M42+'50'!M42+'51'!M42+'52'!M42</f>
        <v>0</v>
      </c>
      <c r="N42" s="523">
        <f>+'49'!N42+'50'!N42+'51'!N42+'52'!N42</f>
        <v>0</v>
      </c>
      <c r="O42" s="522">
        <f>+'49'!O42+'50'!O42+'51'!O42+'52'!O42</f>
        <v>0</v>
      </c>
      <c r="P42" s="522">
        <f>+'49'!P42+'50'!P42+'51'!P42+'52'!P42</f>
        <v>0</v>
      </c>
      <c r="Q42" s="522">
        <f>+'49'!P42+'50'!P42+'51'!P42+'52'!P42</f>
        <v>0</v>
      </c>
      <c r="R42" s="523">
        <f>+'49'!R42+'50'!R42+'51'!R42+'52'!R42</f>
        <v>0</v>
      </c>
      <c r="S42" s="522">
        <f>+'49'!S42+'50'!S42+'51'!S42+'52'!S42</f>
        <v>0</v>
      </c>
      <c r="T42" s="522">
        <f>+'49'!T42+'50'!T42+'51'!T42+'52'!T42</f>
        <v>0</v>
      </c>
      <c r="U42" s="522">
        <f>+'49'!U42+'50'!U42+'51'!U42+'52'!U42</f>
        <v>0</v>
      </c>
      <c r="V42" s="523"/>
      <c r="W42" s="522"/>
      <c r="X42" s="522"/>
      <c r="Y42" s="522"/>
      <c r="Z42" s="523">
        <f>+'49'!Z42+'50'!Z42+'51'!Z42+'52'!Z42</f>
        <v>0</v>
      </c>
      <c r="AA42" s="522">
        <f>+'49'!AA42+'50'!AA42+'51'!AA42+'52'!AA42</f>
        <v>0</v>
      </c>
      <c r="AB42" s="507">
        <f>+'49'!AB42+'50'!AB42+'51'!AB42+'52'!AB42</f>
        <v>0</v>
      </c>
      <c r="AC42" s="522">
        <f>+'49'!AC42+'50'!AC42+'51'!AC42+'52'!AC42</f>
        <v>0</v>
      </c>
      <c r="AD42" s="522">
        <f>+'49'!AD42+'50'!AD42+'51'!AD42+'52'!AD42</f>
        <v>0</v>
      </c>
      <c r="AE42" s="522">
        <f>+'49'!AE42+'50'!AE42+'51'!AE42+'52'!AE42</f>
        <v>0</v>
      </c>
      <c r="AF42" s="522">
        <f>+'49'!AF42+'50'!AF42+'51'!AF42+'52'!AF42</f>
        <v>0</v>
      </c>
      <c r="AG42" s="523"/>
      <c r="AH42" s="522"/>
      <c r="AI42" s="522"/>
      <c r="AJ42" s="523"/>
      <c r="AK42" s="522"/>
      <c r="AL42" s="507"/>
      <c r="AM42" s="522">
        <f t="shared" si="10"/>
        <v>841</v>
      </c>
      <c r="AN42" s="522">
        <f t="shared" ref="AN42:AN49" si="12">+O42+K42+G42+C42+Z42</f>
        <v>1211</v>
      </c>
      <c r="AO42" s="522">
        <f>+L42+H42+D42+T42+X42+Z42+AE42+AJ42</f>
        <v>2960</v>
      </c>
      <c r="AP42" s="507">
        <f t="shared" si="11"/>
        <v>617</v>
      </c>
      <c r="AR42" s="539"/>
    </row>
    <row r="43" spans="1:44" ht="18" customHeight="1">
      <c r="A43" s="534" t="s">
        <v>996</v>
      </c>
      <c r="B43" s="523">
        <f>+'49'!B43+'50'!B43+'51'!B43+'52'!B43</f>
        <v>1443</v>
      </c>
      <c r="C43" s="522">
        <f>+'49'!C43+'50'!C43+'51'!C43+'52'!C43</f>
        <v>1608</v>
      </c>
      <c r="D43" s="522">
        <f>+'49'!D43+'50'!D43+'51'!D43+'52'!D43</f>
        <v>1688</v>
      </c>
      <c r="E43" s="507">
        <f>+'49'!E43+'50'!E43+'51'!E43+'52'!E43</f>
        <v>1480</v>
      </c>
      <c r="F43" s="523">
        <f>+'49'!F43+'50'!F43+'51'!F43+'52'!F43</f>
        <v>2588</v>
      </c>
      <c r="G43" s="522">
        <f>+'49'!G43+'50'!G43+'51'!G43+'52'!G43</f>
        <v>3028</v>
      </c>
      <c r="H43" s="522">
        <f>+'49'!H43+'50'!H43+'51'!H43+'52'!H43</f>
        <v>2828</v>
      </c>
      <c r="I43" s="507">
        <f>+'49'!I43+'50'!I43+'51'!I43+'52'!I43</f>
        <v>1255</v>
      </c>
      <c r="J43" s="523">
        <f>+'49'!J43+'50'!J43+'51'!J43+'52'!J43</f>
        <v>0</v>
      </c>
      <c r="K43" s="522">
        <f>+'49'!K43+'50'!K43+'51'!K43+'52'!K43</f>
        <v>0</v>
      </c>
      <c r="L43" s="522">
        <f>+'49'!L43+'50'!L43+'51'!L43+'52'!L43</f>
        <v>0</v>
      </c>
      <c r="M43" s="507">
        <f>+'49'!M43+'50'!M43+'51'!M43+'52'!M43</f>
        <v>0</v>
      </c>
      <c r="N43" s="523">
        <f>+'49'!N43+'50'!N43+'51'!N43+'52'!N43</f>
        <v>0</v>
      </c>
      <c r="O43" s="522">
        <f>+'49'!O43+'50'!O43+'51'!O43+'52'!O43</f>
        <v>0</v>
      </c>
      <c r="P43" s="522">
        <f>+'49'!P43+'50'!P43+'51'!P43+'52'!P43</f>
        <v>0</v>
      </c>
      <c r="Q43" s="522">
        <f>+'49'!P43+'50'!P43+'51'!P43+'52'!P43</f>
        <v>0</v>
      </c>
      <c r="R43" s="523">
        <f>+'49'!R43+'50'!R43+'51'!R43+'52'!R43</f>
        <v>0</v>
      </c>
      <c r="S43" s="522">
        <f>+'49'!S43+'50'!S43+'51'!S43+'52'!S43</f>
        <v>0</v>
      </c>
      <c r="T43" s="522">
        <f>+'49'!T43+'50'!T43+'51'!T43+'52'!T43</f>
        <v>0</v>
      </c>
      <c r="U43" s="522">
        <f>+'49'!U43+'50'!U43+'51'!U43+'52'!U43</f>
        <v>0</v>
      </c>
      <c r="V43" s="523"/>
      <c r="W43" s="522"/>
      <c r="X43" s="522"/>
      <c r="Y43" s="522"/>
      <c r="Z43" s="523">
        <f>+'49'!Z43+'50'!Z43+'51'!Z43+'52'!Z43</f>
        <v>0</v>
      </c>
      <c r="AA43" s="522">
        <f>+'49'!AA43+'50'!AA43+'51'!AA43+'52'!AA43</f>
        <v>0</v>
      </c>
      <c r="AB43" s="507">
        <f>+'49'!AB43+'50'!AB43+'51'!AB43+'52'!AB43</f>
        <v>0</v>
      </c>
      <c r="AC43" s="522">
        <f>+'49'!AC43+'50'!AC43+'51'!AC43+'52'!AC43</f>
        <v>0</v>
      </c>
      <c r="AD43" s="522">
        <f>+'49'!AD43+'50'!AD43+'51'!AD43+'52'!AD43</f>
        <v>0</v>
      </c>
      <c r="AE43" s="522">
        <f>+'49'!AE43+'50'!AE43+'51'!AE43+'52'!AE43</f>
        <v>0</v>
      </c>
      <c r="AF43" s="522">
        <f>+'49'!AF43+'50'!AF43+'51'!AF43+'52'!AF43</f>
        <v>0</v>
      </c>
      <c r="AG43" s="523"/>
      <c r="AH43" s="522"/>
      <c r="AI43" s="522"/>
      <c r="AJ43" s="523"/>
      <c r="AK43" s="522"/>
      <c r="AL43" s="507"/>
      <c r="AM43" s="522">
        <f t="shared" si="10"/>
        <v>4031</v>
      </c>
      <c r="AN43" s="522">
        <f t="shared" si="12"/>
        <v>4636</v>
      </c>
      <c r="AO43" s="522">
        <f>+L43+H43+D43+T43+X43+Z43+AE43+AJ43</f>
        <v>4516</v>
      </c>
      <c r="AP43" s="507">
        <f t="shared" si="11"/>
        <v>2735</v>
      </c>
      <c r="AR43" s="539"/>
    </row>
    <row r="44" spans="1:44" ht="18" customHeight="1">
      <c r="A44" s="534" t="s">
        <v>997</v>
      </c>
      <c r="B44" s="523">
        <f>+'49'!B44+'50'!B44+'51'!B44+'52'!B44</f>
        <v>1201</v>
      </c>
      <c r="C44" s="522">
        <f>+'49'!C44+'50'!C44+'51'!C44+'52'!C44</f>
        <v>1300</v>
      </c>
      <c r="D44" s="522">
        <f>+'49'!D44+'50'!D44+'51'!D44+'52'!D44</f>
        <v>1331</v>
      </c>
      <c r="E44" s="507">
        <f>+'49'!E44+'50'!E44+'51'!E44+'52'!E44</f>
        <v>572</v>
      </c>
      <c r="F44" s="523">
        <f>+'49'!F44+'50'!F44+'51'!F44+'52'!F44</f>
        <v>2482</v>
      </c>
      <c r="G44" s="522">
        <f>+'49'!G44+'50'!G44+'51'!G44+'52'!G44</f>
        <v>1767</v>
      </c>
      <c r="H44" s="522">
        <f>+'49'!H44+'50'!H44+'51'!H44+'52'!H44</f>
        <v>1661</v>
      </c>
      <c r="I44" s="507">
        <f>+'49'!I44+'50'!I44+'51'!I44+'52'!I44</f>
        <v>670</v>
      </c>
      <c r="J44" s="523">
        <f>+'49'!J44+'50'!J44+'51'!J44+'52'!J44</f>
        <v>0</v>
      </c>
      <c r="K44" s="522">
        <f>+'49'!K44+'50'!K44+'51'!K44+'52'!K44</f>
        <v>0</v>
      </c>
      <c r="L44" s="522">
        <f>+'49'!L44+'50'!L44+'51'!L44+'52'!L44</f>
        <v>0</v>
      </c>
      <c r="M44" s="507">
        <f>+'49'!M44+'50'!M44+'51'!M44+'52'!M44</f>
        <v>0</v>
      </c>
      <c r="N44" s="523">
        <f>+'49'!N44+'50'!N44+'51'!N44+'52'!N44</f>
        <v>0</v>
      </c>
      <c r="O44" s="522">
        <f>+'49'!O44+'50'!O44+'51'!O44+'52'!O44</f>
        <v>0</v>
      </c>
      <c r="P44" s="522">
        <f>+'49'!P44+'50'!P44+'51'!P44+'52'!P44</f>
        <v>0</v>
      </c>
      <c r="Q44" s="522">
        <f>+'49'!P44+'50'!P44+'51'!P44+'52'!P44</f>
        <v>0</v>
      </c>
      <c r="R44" s="523">
        <f>+'49'!R44+'50'!R44+'51'!R44+'52'!R44</f>
        <v>0</v>
      </c>
      <c r="S44" s="522">
        <f>+'49'!S44+'50'!S44+'51'!S44+'52'!S44</f>
        <v>0</v>
      </c>
      <c r="T44" s="522">
        <f>+'49'!T44+'50'!T44+'51'!T44+'52'!T44</f>
        <v>0</v>
      </c>
      <c r="U44" s="522">
        <f>+'49'!U44+'50'!U44+'51'!U44+'52'!U44</f>
        <v>0</v>
      </c>
      <c r="V44" s="523"/>
      <c r="W44" s="522"/>
      <c r="X44" s="522"/>
      <c r="Y44" s="522"/>
      <c r="Z44" s="523">
        <f>+'49'!Z44+'50'!Z44+'51'!Z44+'52'!Z44</f>
        <v>1923</v>
      </c>
      <c r="AA44" s="522">
        <f>+'49'!AA44+'50'!AA44+'51'!AA44+'52'!AA44</f>
        <v>0</v>
      </c>
      <c r="AB44" s="507">
        <f>+'49'!AB44+'50'!AB44+'51'!AB44+'52'!AB44</f>
        <v>0</v>
      </c>
      <c r="AC44" s="522">
        <f>+'49'!AC44+'50'!AC44+'51'!AC44+'52'!AC44</f>
        <v>0</v>
      </c>
      <c r="AD44" s="522">
        <f>+'49'!AD44+'50'!AD44+'51'!AD44+'52'!AD44</f>
        <v>0</v>
      </c>
      <c r="AE44" s="522">
        <f>+'49'!AE44+'50'!AE44+'51'!AE44+'52'!AE44</f>
        <v>0</v>
      </c>
      <c r="AF44" s="522">
        <f>+'49'!AF44+'50'!AF44+'51'!AF44+'52'!AF44</f>
        <v>0</v>
      </c>
      <c r="AG44" s="523"/>
      <c r="AH44" s="522"/>
      <c r="AI44" s="522"/>
      <c r="AJ44" s="523"/>
      <c r="AK44" s="522"/>
      <c r="AL44" s="507"/>
      <c r="AM44" s="522">
        <f t="shared" si="10"/>
        <v>3683</v>
      </c>
      <c r="AN44" s="522">
        <f t="shared" si="12"/>
        <v>4990</v>
      </c>
      <c r="AO44" s="522">
        <f>+L44+H44+D44+T44+X44+AE44+AJ44</f>
        <v>2992</v>
      </c>
      <c r="AP44" s="507">
        <f t="shared" si="11"/>
        <v>1242</v>
      </c>
      <c r="AR44" s="539"/>
    </row>
    <row r="45" spans="1:44" ht="18" customHeight="1">
      <c r="A45" s="534" t="s">
        <v>998</v>
      </c>
      <c r="B45" s="523">
        <f>+'49'!B45+'50'!B45+'51'!B45+'52'!B45</f>
        <v>3312</v>
      </c>
      <c r="C45" s="522">
        <f>+'49'!C45+'50'!C45+'51'!C45+'52'!C45</f>
        <v>3233</v>
      </c>
      <c r="D45" s="522">
        <f>+'49'!D45+'50'!D45+'51'!D45+'52'!D45</f>
        <v>3008</v>
      </c>
      <c r="E45" s="507">
        <f>+'49'!E45+'50'!E45+'51'!E45+'52'!E45</f>
        <v>790</v>
      </c>
      <c r="F45" s="523">
        <f>+'49'!F45+'50'!F45+'51'!F45+'52'!F45</f>
        <v>0</v>
      </c>
      <c r="G45" s="522">
        <f>+'49'!G45+'50'!G45+'51'!G45+'52'!G45</f>
        <v>0</v>
      </c>
      <c r="H45" s="522">
        <f>+'49'!H45+'50'!H45+'51'!H45+'52'!H45</f>
        <v>0</v>
      </c>
      <c r="I45" s="507">
        <f>+'49'!I45+'50'!I45+'51'!I45+'52'!I45</f>
        <v>943</v>
      </c>
      <c r="J45" s="523">
        <f>+'49'!J45+'50'!J45+'51'!J45+'52'!J45</f>
        <v>0</v>
      </c>
      <c r="K45" s="522">
        <f>+'49'!K45+'50'!K45+'51'!K45+'52'!K45</f>
        <v>0</v>
      </c>
      <c r="L45" s="522">
        <f>+'49'!L45+'50'!L45+'51'!L45+'52'!L45</f>
        <v>0</v>
      </c>
      <c r="M45" s="507">
        <f>+'49'!M45+'50'!M45+'51'!M45+'52'!M45</f>
        <v>0</v>
      </c>
      <c r="N45" s="523">
        <f>+'49'!N45+'50'!N45+'51'!N45+'52'!N45</f>
        <v>0</v>
      </c>
      <c r="O45" s="522">
        <f>+'49'!O45+'50'!O45+'51'!O45+'52'!O45</f>
        <v>0</v>
      </c>
      <c r="P45" s="522">
        <f>+'49'!P45+'50'!P45+'51'!P45+'52'!P45</f>
        <v>0</v>
      </c>
      <c r="Q45" s="522">
        <f>+'49'!P45+'50'!P45+'51'!P45+'52'!P45</f>
        <v>0</v>
      </c>
      <c r="R45" s="523">
        <f>+'49'!R45+'50'!R45+'51'!R45+'52'!R45</f>
        <v>0</v>
      </c>
      <c r="S45" s="522">
        <f>+'49'!S45+'50'!S45+'51'!S45+'52'!S45</f>
        <v>0</v>
      </c>
      <c r="T45" s="522">
        <f>+'49'!T45+'50'!T45+'51'!T45+'52'!T45</f>
        <v>0</v>
      </c>
      <c r="U45" s="522">
        <f>+'49'!U45+'50'!U45+'51'!U45+'52'!U45</f>
        <v>0</v>
      </c>
      <c r="V45" s="523"/>
      <c r="W45" s="522"/>
      <c r="X45" s="522"/>
      <c r="Y45" s="522"/>
      <c r="Z45" s="523">
        <f>+'49'!Z45+'50'!Z45+'51'!Z45+'52'!Z45</f>
        <v>246</v>
      </c>
      <c r="AA45" s="522">
        <f>+'49'!AA45+'50'!AA45+'51'!AA45+'52'!AA45</f>
        <v>0</v>
      </c>
      <c r="AB45" s="507">
        <f>+'49'!AB45+'50'!AB45+'51'!AB45+'52'!AB45</f>
        <v>0</v>
      </c>
      <c r="AC45" s="522">
        <f>+'49'!AC45+'50'!AC45+'51'!AC45+'52'!AC45</f>
        <v>0</v>
      </c>
      <c r="AD45" s="522">
        <f>+'49'!AD45+'50'!AD45+'51'!AD45+'52'!AD45</f>
        <v>0</v>
      </c>
      <c r="AE45" s="522">
        <f>+'49'!AE45+'50'!AE45+'51'!AE45+'52'!AE45</f>
        <v>0</v>
      </c>
      <c r="AF45" s="522">
        <f>+'49'!AF45+'50'!AF45+'51'!AF45+'52'!AF45</f>
        <v>0</v>
      </c>
      <c r="AG45" s="523"/>
      <c r="AH45" s="522"/>
      <c r="AI45" s="522"/>
      <c r="AJ45" s="523"/>
      <c r="AK45" s="522"/>
      <c r="AL45" s="507"/>
      <c r="AM45" s="522">
        <f t="shared" si="10"/>
        <v>3312</v>
      </c>
      <c r="AN45" s="522">
        <f t="shared" si="12"/>
        <v>3479</v>
      </c>
      <c r="AO45" s="522">
        <f>+L45+H45+D45+T45+X45+AE45+AJ45</f>
        <v>3008</v>
      </c>
      <c r="AP45" s="507">
        <f t="shared" si="11"/>
        <v>1733</v>
      </c>
      <c r="AR45" s="539"/>
    </row>
    <row r="46" spans="1:44" ht="18" customHeight="1">
      <c r="A46" s="360" t="s">
        <v>999</v>
      </c>
      <c r="B46" s="523">
        <f>+'49'!B46+'50'!B46+'51'!B46+'52'!B46</f>
        <v>17281</v>
      </c>
      <c r="C46" s="522">
        <f>+'49'!C46+'50'!C46+'51'!C46+'52'!C46</f>
        <v>18200</v>
      </c>
      <c r="D46" s="522">
        <f>+'49'!D46+'50'!D46+'51'!D46+'52'!D46</f>
        <v>17231</v>
      </c>
      <c r="E46" s="507">
        <f>+'49'!E46+'50'!E46+'51'!E46+'52'!E46</f>
        <v>0</v>
      </c>
      <c r="F46" s="523">
        <f>+'49'!F46+'50'!F46+'51'!F46+'52'!F46</f>
        <v>14614</v>
      </c>
      <c r="G46" s="522">
        <f>+'49'!G46+'50'!G46+'51'!G46+'52'!G46</f>
        <v>14035</v>
      </c>
      <c r="H46" s="522">
        <f>+'49'!H46+'50'!H46+'51'!H46+'52'!H46</f>
        <v>15966</v>
      </c>
      <c r="I46" s="507">
        <f>+'49'!I46+'50'!I46+'51'!I46+'52'!I46</f>
        <v>0</v>
      </c>
      <c r="J46" s="523">
        <f>+'49'!J46+'50'!J46+'51'!J46+'52'!J46</f>
        <v>0</v>
      </c>
      <c r="K46" s="522">
        <f>+'49'!K46+'50'!K46+'51'!K46+'52'!K46</f>
        <v>0</v>
      </c>
      <c r="L46" s="522">
        <f>+'49'!L46+'50'!L46+'51'!L46+'52'!L46</f>
        <v>0</v>
      </c>
      <c r="M46" s="507">
        <f>+'49'!M46+'50'!M46+'51'!M46+'52'!M46</f>
        <v>0</v>
      </c>
      <c r="N46" s="523">
        <f>+'49'!N46+'50'!N46+'51'!N46+'52'!N46</f>
        <v>0</v>
      </c>
      <c r="O46" s="522">
        <f>+'49'!O46+'50'!O46+'51'!O46+'52'!O46</f>
        <v>0</v>
      </c>
      <c r="P46" s="522">
        <f>+'49'!P46+'50'!P46+'51'!P46+'52'!P46</f>
        <v>0</v>
      </c>
      <c r="Q46" s="522">
        <f>+'49'!P46+'50'!P46+'51'!P46+'52'!P46</f>
        <v>0</v>
      </c>
      <c r="R46" s="523">
        <f>+'49'!R46+'50'!R46+'51'!R46+'52'!R46</f>
        <v>0</v>
      </c>
      <c r="S46" s="522">
        <f>+'49'!S46+'50'!S46+'51'!S46+'52'!S46</f>
        <v>0</v>
      </c>
      <c r="T46" s="522">
        <f>+'49'!T46+'50'!T46+'51'!T46+'52'!T46</f>
        <v>0</v>
      </c>
      <c r="U46" s="522">
        <f>+'49'!U46+'50'!U46+'51'!U46+'52'!U46</f>
        <v>0</v>
      </c>
      <c r="V46" s="523"/>
      <c r="W46" s="522"/>
      <c r="X46" s="522"/>
      <c r="Y46" s="522"/>
      <c r="Z46" s="523">
        <f>+'49'!Z46+'50'!Z46+'51'!Z46+'52'!Z46</f>
        <v>185</v>
      </c>
      <c r="AA46" s="522">
        <f>+'49'!AA46+'50'!AA46+'51'!AA46+'52'!AA46</f>
        <v>0</v>
      </c>
      <c r="AB46" s="507">
        <f>+'49'!AB46+'50'!AB46+'51'!AB46+'52'!AB46</f>
        <v>0</v>
      </c>
      <c r="AC46" s="522">
        <f>+'49'!AC46+'50'!AC46+'51'!AC46+'52'!AC46</f>
        <v>0</v>
      </c>
      <c r="AD46" s="522">
        <f>+'49'!AD46+'50'!AD46+'51'!AD46+'52'!AD46</f>
        <v>0</v>
      </c>
      <c r="AE46" s="522">
        <f>+'49'!AE46+'50'!AE46+'51'!AE46+'52'!AE46</f>
        <v>0</v>
      </c>
      <c r="AF46" s="522">
        <f>+'49'!AF46+'50'!AF46+'51'!AF46+'52'!AF46</f>
        <v>0</v>
      </c>
      <c r="AG46" s="523"/>
      <c r="AH46" s="522"/>
      <c r="AI46" s="522"/>
      <c r="AJ46" s="523"/>
      <c r="AK46" s="522"/>
      <c r="AL46" s="507"/>
      <c r="AM46" s="522">
        <f t="shared" si="10"/>
        <v>31895</v>
      </c>
      <c r="AN46" s="522">
        <f t="shared" si="12"/>
        <v>32420</v>
      </c>
      <c r="AO46" s="522">
        <f>+L46+H46+D46+T46+X46+AE46+AJ46</f>
        <v>33197</v>
      </c>
      <c r="AP46" s="507">
        <f t="shared" si="11"/>
        <v>0</v>
      </c>
      <c r="AR46" s="539"/>
    </row>
    <row r="47" spans="1:44" ht="18" customHeight="1">
      <c r="A47" s="360" t="s">
        <v>1000</v>
      </c>
      <c r="B47" s="523">
        <f>+'49'!B47+'50'!B47+'51'!B47+'52'!B47</f>
        <v>1905</v>
      </c>
      <c r="C47" s="522">
        <f>+'49'!C47+'50'!C47+'51'!C47+'52'!C47</f>
        <v>1366</v>
      </c>
      <c r="D47" s="522">
        <f>+'49'!D47+'50'!D47+'51'!D47+'52'!D47</f>
        <v>1681</v>
      </c>
      <c r="E47" s="507">
        <f>+'49'!E47+'50'!E47+'51'!E47+'52'!E47</f>
        <v>0</v>
      </c>
      <c r="F47" s="523">
        <f>+'49'!F47+'50'!F47+'51'!F47+'52'!F47</f>
        <v>0</v>
      </c>
      <c r="G47" s="522">
        <f>+'49'!G47+'50'!G47+'51'!G47+'52'!G47</f>
        <v>0</v>
      </c>
      <c r="H47" s="522">
        <f>+'49'!H47+'50'!H47+'51'!H47+'52'!H47</f>
        <v>0</v>
      </c>
      <c r="I47" s="507">
        <f>+'49'!I47+'50'!I47+'51'!I47+'52'!I47</f>
        <v>0</v>
      </c>
      <c r="J47" s="523">
        <f>+'49'!J47+'50'!J47+'51'!J47+'52'!J47</f>
        <v>0</v>
      </c>
      <c r="K47" s="522">
        <f>+'49'!K47+'50'!K47+'51'!K47+'52'!K47</f>
        <v>0</v>
      </c>
      <c r="L47" s="522">
        <f>+'49'!L47+'50'!L47+'51'!L47+'52'!L47</f>
        <v>0</v>
      </c>
      <c r="M47" s="507">
        <f>+'49'!M47+'50'!M47+'51'!M47+'52'!M47</f>
        <v>0</v>
      </c>
      <c r="N47" s="523">
        <f>+'49'!N47+'50'!N47+'51'!N47+'52'!N47</f>
        <v>0</v>
      </c>
      <c r="O47" s="522">
        <f>+'49'!O47+'50'!O47+'51'!O47+'52'!O47</f>
        <v>0</v>
      </c>
      <c r="P47" s="522">
        <f>+'49'!P47+'50'!P47+'51'!P47+'52'!P47</f>
        <v>0</v>
      </c>
      <c r="Q47" s="522">
        <f>+'49'!P47+'50'!P47+'51'!P47+'52'!P47</f>
        <v>0</v>
      </c>
      <c r="R47" s="352">
        <f>+'49'!R47+'50'!R47+'51'!R47+'52'!R47</f>
        <v>0</v>
      </c>
      <c r="S47" s="353">
        <f>+'49'!S47+'50'!S47+'51'!S47+'52'!S47</f>
        <v>0</v>
      </c>
      <c r="T47" s="353">
        <f>+'49'!T47+'50'!T47+'51'!T47+'52'!T47</f>
        <v>0</v>
      </c>
      <c r="U47" s="353">
        <f>+'49'!U47+'50'!U47+'51'!U47+'52'!U47</f>
        <v>0</v>
      </c>
      <c r="V47" s="352"/>
      <c r="W47" s="353"/>
      <c r="X47" s="353"/>
      <c r="Y47" s="353"/>
      <c r="Z47" s="523">
        <f>+'49'!Z47+'50'!Z47+'51'!Z47+'52'!Z47</f>
        <v>2360</v>
      </c>
      <c r="AA47" s="353">
        <f>+'49'!AA47+'50'!AA47+'51'!AA47+'52'!AA47</f>
        <v>0</v>
      </c>
      <c r="AB47" s="507">
        <f>+'49'!AB47+'50'!AB47+'51'!AB47+'52'!AB47</f>
        <v>0</v>
      </c>
      <c r="AC47" s="522">
        <f>+'49'!AC47+'50'!AC47+'51'!AC47+'52'!AC47</f>
        <v>0</v>
      </c>
      <c r="AD47" s="522">
        <f>+'49'!AD47+'50'!AD47+'51'!AD47+'52'!AD47</f>
        <v>0</v>
      </c>
      <c r="AE47" s="522">
        <f>+'49'!AE47+'50'!AE47+'51'!AE47+'52'!AE47</f>
        <v>0</v>
      </c>
      <c r="AF47" s="522">
        <f>+'49'!AF47+'50'!AF47+'51'!AF47+'52'!AF47</f>
        <v>0</v>
      </c>
      <c r="AG47" s="523"/>
      <c r="AH47" s="522"/>
      <c r="AI47" s="522"/>
      <c r="AJ47" s="523"/>
      <c r="AK47" s="522"/>
      <c r="AL47" s="507"/>
      <c r="AM47" s="522">
        <f t="shared" si="10"/>
        <v>1905</v>
      </c>
      <c r="AN47" s="522">
        <f t="shared" si="12"/>
        <v>3726</v>
      </c>
      <c r="AO47" s="522">
        <f>+L47+H47+D47+T47+X47+AE47+AJ47</f>
        <v>1681</v>
      </c>
      <c r="AP47" s="507">
        <f t="shared" si="11"/>
        <v>0</v>
      </c>
      <c r="AR47" s="539"/>
    </row>
    <row r="48" spans="1:44" ht="18" customHeight="1">
      <c r="A48" s="534" t="str">
        <f>+'51'!A48</f>
        <v xml:space="preserve"> TECNOLOGO  MEDICO</v>
      </c>
      <c r="B48" s="523">
        <f>+'49'!B48+'50'!B48+'51'!B48+'52'!B48</f>
        <v>4588</v>
      </c>
      <c r="C48" s="522">
        <f>+'49'!C48+'50'!C48+'51'!C48+'52'!C48</f>
        <v>5716</v>
      </c>
      <c r="D48" s="522">
        <f>+'49'!D48+'50'!D48+'51'!D48+'52'!D48</f>
        <v>4538</v>
      </c>
      <c r="E48" s="507">
        <f>+'49'!E48+'50'!E48+'51'!E48+'52'!E48</f>
        <v>2621</v>
      </c>
      <c r="F48" s="523">
        <f>+'49'!F48+'50'!F48+'51'!F48+'52'!F48</f>
        <v>0</v>
      </c>
      <c r="G48" s="522">
        <f>+'49'!G48+'50'!G48+'51'!G48+'52'!G48</f>
        <v>0</v>
      </c>
      <c r="H48" s="522">
        <f>+'49'!H48+'50'!H48+'51'!H48+'52'!H48</f>
        <v>0</v>
      </c>
      <c r="I48" s="507">
        <f>+'49'!I48+'50'!I48+'51'!I48+'52'!I48</f>
        <v>0</v>
      </c>
      <c r="J48" s="523">
        <f>+'49'!J48+'50'!J48+'51'!J48+'52'!J48</f>
        <v>0</v>
      </c>
      <c r="K48" s="522">
        <f>+'49'!K48+'50'!K48+'51'!K48+'52'!K48</f>
        <v>0</v>
      </c>
      <c r="L48" s="522">
        <f>+'49'!L48+'50'!L48+'51'!L48+'52'!L48</f>
        <v>0</v>
      </c>
      <c r="M48" s="507">
        <f>+'49'!M48+'50'!M48+'51'!M48+'52'!M48</f>
        <v>0</v>
      </c>
      <c r="N48" s="523">
        <f>+'49'!N48+'50'!N48+'51'!N48+'52'!N48</f>
        <v>0</v>
      </c>
      <c r="O48" s="522">
        <f>+'49'!O48+'50'!O48+'51'!O48+'52'!O48</f>
        <v>0</v>
      </c>
      <c r="P48" s="522">
        <f>+'49'!P48+'50'!P48+'51'!P48+'52'!P48</f>
        <v>0</v>
      </c>
      <c r="Q48" s="522">
        <f>+'49'!P48+'50'!P48+'51'!P48+'52'!P48</f>
        <v>0</v>
      </c>
      <c r="R48" s="523">
        <f>+'49'!R48+'50'!R48+'51'!R48+'52'!R48</f>
        <v>0</v>
      </c>
      <c r="S48" s="522">
        <f>+'49'!S48+'50'!S48+'51'!S48+'52'!S48</f>
        <v>0</v>
      </c>
      <c r="T48" s="522">
        <f>+'49'!T48+'50'!T48+'51'!T48+'52'!T48</f>
        <v>0</v>
      </c>
      <c r="U48" s="522">
        <f>+'49'!U48+'50'!U48+'51'!U48+'52'!U48</f>
        <v>0</v>
      </c>
      <c r="V48" s="523"/>
      <c r="W48" s="522"/>
      <c r="X48" s="522"/>
      <c r="Y48" s="522"/>
      <c r="Z48" s="523">
        <f>+'49'!Z48+'50'!Z48+'51'!Z48+'52'!Z48</f>
        <v>0</v>
      </c>
      <c r="AA48" s="522">
        <f>+'49'!AA48+'50'!AA48+'51'!AA48+'52'!AA48</f>
        <v>0</v>
      </c>
      <c r="AB48" s="507">
        <f>+'49'!AB48+'50'!AB48+'51'!AB48+'52'!AB48</f>
        <v>0</v>
      </c>
      <c r="AC48" s="522">
        <f>+'49'!AC48+'50'!AC48+'51'!AC48+'52'!AC48</f>
        <v>0</v>
      </c>
      <c r="AD48" s="522">
        <f>+'49'!AD48+'50'!AD48+'51'!AD48+'52'!AD48</f>
        <v>0</v>
      </c>
      <c r="AE48" s="522">
        <f>+'49'!AE48+'50'!AE48+'51'!AE48+'52'!AE48</f>
        <v>0</v>
      </c>
      <c r="AF48" s="522">
        <f>+'49'!AF48+'50'!AF48+'51'!AF48+'52'!AF48</f>
        <v>0</v>
      </c>
      <c r="AG48" s="523"/>
      <c r="AH48" s="522"/>
      <c r="AI48" s="522"/>
      <c r="AJ48" s="523"/>
      <c r="AK48" s="522"/>
      <c r="AL48" s="507"/>
      <c r="AM48" s="522">
        <f t="shared" si="10"/>
        <v>4588</v>
      </c>
      <c r="AN48" s="522">
        <f t="shared" si="12"/>
        <v>5716</v>
      </c>
      <c r="AO48" s="522">
        <f>+L48+H48+D48+T48+X48+Z48+AE48+AJ48</f>
        <v>4538</v>
      </c>
      <c r="AP48" s="507">
        <f t="shared" si="11"/>
        <v>2621</v>
      </c>
      <c r="AR48" s="539"/>
    </row>
    <row r="49" spans="1:44" ht="18" customHeight="1">
      <c r="A49" s="538" t="s">
        <v>1002</v>
      </c>
      <c r="B49" s="527">
        <f>+'49'!B49+'50'!B49+'51'!B49+'52'!B49</f>
        <v>6230</v>
      </c>
      <c r="C49" s="525">
        <f>+'49'!C49+'50'!C49+'51'!C49+'52'!C49</f>
        <v>7062</v>
      </c>
      <c r="D49" s="525">
        <f>+'49'!D49+'50'!D49+'51'!D49+'52'!D49</f>
        <v>6984</v>
      </c>
      <c r="E49" s="526">
        <f>+'49'!E49+'50'!E49+'51'!E49+'52'!E49</f>
        <v>2875</v>
      </c>
      <c r="F49" s="527">
        <f>+'49'!F49+'50'!F49+'51'!F49+'52'!F49</f>
        <v>3107</v>
      </c>
      <c r="G49" s="525">
        <f>+'49'!G49+'50'!G49+'51'!G49+'52'!G49</f>
        <v>3642</v>
      </c>
      <c r="H49" s="525">
        <f>+'49'!H49+'50'!H49+'51'!H49+'52'!H49</f>
        <v>2537</v>
      </c>
      <c r="I49" s="526">
        <f>+'49'!I49+'50'!I49+'51'!I49+'52'!I49</f>
        <v>954</v>
      </c>
      <c r="J49" s="527">
        <f>+'49'!J49+'50'!J49+'51'!J49+'52'!J49</f>
        <v>0</v>
      </c>
      <c r="K49" s="525">
        <f>+'49'!K49+'50'!K49+'51'!K49+'52'!K49</f>
        <v>0</v>
      </c>
      <c r="L49" s="525">
        <f>+'49'!L49+'50'!L49+'51'!L49+'52'!L49</f>
        <v>0</v>
      </c>
      <c r="M49" s="526">
        <f>+'49'!M49+'50'!M49+'51'!M49+'52'!M49</f>
        <v>0</v>
      </c>
      <c r="N49" s="527">
        <f>+'49'!N49+'50'!N49+'51'!N49+'52'!N49</f>
        <v>0</v>
      </c>
      <c r="O49" s="525">
        <f>+'49'!O49+'50'!O49+'51'!O49+'52'!O49</f>
        <v>0</v>
      </c>
      <c r="P49" s="525">
        <f>+'49'!P49+'50'!P49+'51'!P49+'52'!P49</f>
        <v>0</v>
      </c>
      <c r="Q49" s="525">
        <f>+'49'!P49+'50'!P49+'51'!P49+'52'!P49</f>
        <v>0</v>
      </c>
      <c r="R49" s="527">
        <f>+'49'!R49+'50'!R49+'51'!R49+'52'!R49</f>
        <v>0</v>
      </c>
      <c r="S49" s="525">
        <f>+'49'!S49+'50'!S49+'51'!S49+'52'!S49</f>
        <v>0</v>
      </c>
      <c r="T49" s="525">
        <f>+'49'!T49+'50'!T49+'51'!T49+'52'!T49</f>
        <v>0</v>
      </c>
      <c r="U49" s="525">
        <f>+'49'!U49+'50'!U49+'51'!U49+'52'!U49</f>
        <v>0</v>
      </c>
      <c r="V49" s="527"/>
      <c r="W49" s="525"/>
      <c r="X49" s="525"/>
      <c r="Y49" s="525"/>
      <c r="Z49" s="527">
        <f>+'49'!Z49+'50'!Z49+'51'!Z49+'52'!Z49</f>
        <v>2313</v>
      </c>
      <c r="AA49" s="525">
        <f>+'49'!AA49+'50'!AA49+'51'!AA49+'52'!AA49</f>
        <v>0</v>
      </c>
      <c r="AB49" s="526">
        <f>+'49'!AB49+'50'!AB49+'51'!AB49+'52'!AB49</f>
        <v>0</v>
      </c>
      <c r="AC49" s="525">
        <f>+'49'!AC49+'50'!AC49+'51'!AC49+'52'!AC49</f>
        <v>0</v>
      </c>
      <c r="AD49" s="525">
        <f>+'49'!AD49+'50'!AD49+'51'!AD49+'52'!AD49</f>
        <v>0</v>
      </c>
      <c r="AE49" s="525">
        <f>+'49'!AE49+'50'!AE49+'51'!AE49+'52'!AE49</f>
        <v>0</v>
      </c>
      <c r="AF49" s="525">
        <f>+'49'!AF49+'50'!AF49+'51'!AF49+'52'!AF49</f>
        <v>0</v>
      </c>
      <c r="AG49" s="527"/>
      <c r="AH49" s="525"/>
      <c r="AI49" s="525"/>
      <c r="AJ49" s="527"/>
      <c r="AK49" s="525"/>
      <c r="AL49" s="526"/>
      <c r="AM49" s="525">
        <f>+N49+J49+F49+B49+R49</f>
        <v>9337</v>
      </c>
      <c r="AN49" s="525">
        <f t="shared" si="12"/>
        <v>13017</v>
      </c>
      <c r="AO49" s="525">
        <f>+L49+H49+D49+T49+X49+AE49+AJ49</f>
        <v>9521</v>
      </c>
      <c r="AP49" s="526">
        <f t="shared" si="11"/>
        <v>3829</v>
      </c>
      <c r="AR49" s="539"/>
    </row>
    <row r="50" spans="1:44">
      <c r="A50" s="8"/>
      <c r="B50" s="528"/>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c r="AN50" s="1101"/>
      <c r="AO50" s="528"/>
      <c r="AP50" s="528"/>
      <c r="AR50" s="539"/>
    </row>
    <row r="51" spans="1:44">
      <c r="A51" s="8"/>
      <c r="B51" s="528"/>
      <c r="C51" s="528"/>
      <c r="D51" s="528"/>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N51" s="528"/>
      <c r="AO51" s="528"/>
      <c r="AP51" s="528"/>
      <c r="AR51" s="539"/>
    </row>
    <row r="52" spans="1:44">
      <c r="A52" s="8"/>
      <c r="B52" s="528"/>
      <c r="C52" s="528"/>
      <c r="D52" s="528"/>
      <c r="E52" s="528"/>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c r="AN52" s="528"/>
      <c r="AO52" s="528"/>
      <c r="AP52" s="528"/>
    </row>
    <row r="53" spans="1:44">
      <c r="A53" s="8"/>
      <c r="B53" s="528"/>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O53" s="528"/>
      <c r="AP53" s="528"/>
    </row>
    <row r="54" spans="1:44">
      <c r="A54" s="8"/>
      <c r="B54" s="528"/>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O54" s="528"/>
      <c r="AP54" s="528"/>
    </row>
    <row r="55" spans="1:44">
      <c r="A55" s="8"/>
      <c r="B55" s="528"/>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c r="AO55" s="528"/>
      <c r="AP55" s="528"/>
    </row>
    <row r="56" spans="1:44">
      <c r="A56" s="8"/>
      <c r="B56" s="528"/>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c r="AN56" s="528"/>
      <c r="AO56" s="528"/>
      <c r="AP56" s="528"/>
    </row>
    <row r="57" spans="1:44">
      <c r="A57" s="8"/>
    </row>
    <row r="58" spans="1:44">
      <c r="A58" s="8"/>
    </row>
    <row r="59" spans="1:44">
      <c r="A59" s="8"/>
    </row>
    <row r="60" spans="1:44">
      <c r="A60" s="8"/>
    </row>
    <row r="61" spans="1:44">
      <c r="A61" s="8"/>
    </row>
  </sheetData>
  <mergeCells count="14">
    <mergeCell ref="A1:AP1"/>
    <mergeCell ref="A2:AP2"/>
    <mergeCell ref="A3:AP3"/>
    <mergeCell ref="B7:E7"/>
    <mergeCell ref="F7:I7"/>
    <mergeCell ref="J7:M7"/>
    <mergeCell ref="N7:Q7"/>
    <mergeCell ref="AM7:AP7"/>
    <mergeCell ref="AC7:AF7"/>
    <mergeCell ref="R7:U7"/>
    <mergeCell ref="V7:Y7"/>
    <mergeCell ref="AG7:AI7"/>
    <mergeCell ref="Z7:AB7"/>
    <mergeCell ref="AJ7:AL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
  <sheetViews>
    <sheetView topLeftCell="K22" workbookViewId="0">
      <selection activeCell="Y23" sqref="Y23"/>
    </sheetView>
  </sheetViews>
  <sheetFormatPr baseColWidth="10" defaultRowHeight="13.2"/>
  <cols>
    <col min="1" max="1" width="27.5546875" customWidth="1"/>
    <col min="2" max="15" width="10.21875" customWidth="1"/>
    <col min="16" max="19" width="11.44140625" customWidth="1"/>
    <col min="20" max="25" width="10.21875" customWidth="1"/>
  </cols>
  <sheetData>
    <row r="1" spans="1:27">
      <c r="A1" s="1643" t="s">
        <v>1570</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row>
    <row r="2" spans="1:27">
      <c r="A2" s="1616" t="s">
        <v>879</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row>
    <row r="6" spans="1:27">
      <c r="A6" s="29" t="s">
        <v>964</v>
      </c>
    </row>
    <row r="7" spans="1:27">
      <c r="A7" s="632" t="s">
        <v>965</v>
      </c>
      <c r="B7" s="1630" t="s">
        <v>966</v>
      </c>
      <c r="C7" s="1630"/>
      <c r="D7" s="1630"/>
      <c r="E7" s="1630"/>
      <c r="F7" s="1641" t="s">
        <v>885</v>
      </c>
      <c r="G7" s="1630"/>
      <c r="H7" s="1630"/>
      <c r="I7" s="1642"/>
      <c r="J7" s="1630" t="s">
        <v>1321</v>
      </c>
      <c r="K7" s="1630"/>
      <c r="L7" s="1644" t="s">
        <v>1194</v>
      </c>
      <c r="M7" s="1644"/>
      <c r="N7" s="1644"/>
      <c r="O7" s="1644" t="s">
        <v>1690</v>
      </c>
      <c r="P7" s="1644"/>
      <c r="Q7" s="1641" t="s">
        <v>1572</v>
      </c>
      <c r="R7" s="1630"/>
      <c r="S7" s="1642"/>
      <c r="T7" s="1599" t="s">
        <v>1586</v>
      </c>
      <c r="U7" s="1598"/>
      <c r="V7" s="1641" t="s">
        <v>517</v>
      </c>
      <c r="W7" s="1630"/>
      <c r="X7" s="1630"/>
      <c r="Y7" s="1642"/>
    </row>
    <row r="8" spans="1:27">
      <c r="A8" s="296"/>
      <c r="B8" s="1521">
        <v>2017</v>
      </c>
      <c r="C8" s="1521">
        <v>2018</v>
      </c>
      <c r="D8" s="1521">
        <v>2019</v>
      </c>
      <c r="E8" s="515">
        <v>2020</v>
      </c>
      <c r="F8" s="1528">
        <f>+B8</f>
        <v>2017</v>
      </c>
      <c r="G8" s="1527">
        <f>+C8</f>
        <v>2018</v>
      </c>
      <c r="H8" s="1527">
        <f t="shared" ref="H8:I8" si="0">+D8</f>
        <v>2019</v>
      </c>
      <c r="I8" s="1529">
        <f t="shared" si="0"/>
        <v>2020</v>
      </c>
      <c r="J8" s="515">
        <v>2017</v>
      </c>
      <c r="K8" s="515">
        <v>2017</v>
      </c>
      <c r="L8" s="1540">
        <v>2018</v>
      </c>
      <c r="M8" s="1556">
        <v>2019</v>
      </c>
      <c r="N8" s="1541">
        <v>2020</v>
      </c>
      <c r="O8" s="1486">
        <v>2018</v>
      </c>
      <c r="P8" s="1487">
        <v>2019</v>
      </c>
      <c r="Q8" s="1519">
        <v>2018</v>
      </c>
      <c r="R8" s="1542">
        <v>2019</v>
      </c>
      <c r="S8" s="1520">
        <v>2020</v>
      </c>
      <c r="T8" s="1528">
        <v>2019</v>
      </c>
      <c r="U8" s="1529">
        <v>2020</v>
      </c>
      <c r="V8" s="1463">
        <f>+B8</f>
        <v>2017</v>
      </c>
      <c r="W8" s="1462">
        <f>+C8</f>
        <v>2018</v>
      </c>
      <c r="X8" s="1462">
        <f>+D8</f>
        <v>2019</v>
      </c>
      <c r="Y8" s="1464">
        <f>+E8</f>
        <v>2020</v>
      </c>
    </row>
    <row r="9" spans="1:27">
      <c r="A9" s="632" t="s">
        <v>968</v>
      </c>
      <c r="B9" s="1148"/>
      <c r="C9" s="1148"/>
      <c r="D9" s="1148"/>
      <c r="E9" s="1149"/>
      <c r="F9" s="1148"/>
      <c r="G9" s="1148"/>
      <c r="H9" s="1150"/>
      <c r="I9" s="1147"/>
      <c r="J9" s="1148"/>
      <c r="K9" s="1148"/>
      <c r="L9" s="1488"/>
      <c r="M9" s="1150"/>
      <c r="N9" s="1149"/>
      <c r="O9" s="1150"/>
      <c r="P9" s="1147"/>
      <c r="Q9" s="1467"/>
      <c r="R9" s="1150"/>
      <c r="S9" s="1147"/>
      <c r="T9" s="1488"/>
      <c r="U9" s="1149"/>
      <c r="V9" s="1150">
        <f t="shared" ref="V9:V22" si="1">+B9+F9+J9</f>
        <v>0</v>
      </c>
      <c r="W9" s="1150">
        <f t="shared" ref="W9:W22" si="2">+C9+G9+K9</f>
        <v>0</v>
      </c>
      <c r="X9" s="1150">
        <f t="shared" ref="X9:X22" si="3">+D9+H9+L9</f>
        <v>0</v>
      </c>
      <c r="Y9" s="1147">
        <f t="shared" ref="Y9:Y22" si="4">+E9+I9+P9</f>
        <v>0</v>
      </c>
      <c r="AA9" s="115"/>
    </row>
    <row r="10" spans="1:27">
      <c r="A10" s="293" t="s">
        <v>969</v>
      </c>
      <c r="B10" s="1148">
        <v>583</v>
      </c>
      <c r="C10" s="1148"/>
      <c r="D10" s="1150"/>
      <c r="E10" s="1147">
        <v>236</v>
      </c>
      <c r="F10" s="1148">
        <v>46</v>
      </c>
      <c r="G10" s="1148">
        <v>158</v>
      </c>
      <c r="H10" s="1150">
        <v>446</v>
      </c>
      <c r="I10" s="1147">
        <v>166</v>
      </c>
      <c r="J10" s="1148"/>
      <c r="K10" s="1148"/>
      <c r="L10" s="1467"/>
      <c r="M10" s="1150"/>
      <c r="N10" s="1147"/>
      <c r="O10" s="1150"/>
      <c r="P10" s="1147"/>
      <c r="Q10" s="1467"/>
      <c r="R10" s="1150"/>
      <c r="S10" s="1147"/>
      <c r="T10" s="1467"/>
      <c r="U10" s="1147"/>
      <c r="V10" s="1150">
        <f t="shared" si="1"/>
        <v>629</v>
      </c>
      <c r="W10" s="1150">
        <f t="shared" si="2"/>
        <v>158</v>
      </c>
      <c r="X10" s="1150">
        <f t="shared" si="3"/>
        <v>446</v>
      </c>
      <c r="Y10" s="1147">
        <f t="shared" si="4"/>
        <v>402</v>
      </c>
      <c r="AA10" s="115"/>
    </row>
    <row r="11" spans="1:27">
      <c r="A11" s="293" t="s">
        <v>970</v>
      </c>
      <c r="B11" s="1148"/>
      <c r="C11" s="1148"/>
      <c r="D11" s="1150"/>
      <c r="E11" s="1147"/>
      <c r="F11" s="1148"/>
      <c r="G11" s="1148"/>
      <c r="H11" s="1150"/>
      <c r="I11" s="1147"/>
      <c r="J11" s="1148"/>
      <c r="K11" s="1148"/>
      <c r="L11" s="1467"/>
      <c r="M11" s="1150"/>
      <c r="N11" s="1147"/>
      <c r="O11" s="1150"/>
      <c r="P11" s="1147"/>
      <c r="Q11" s="1467"/>
      <c r="R11" s="1150"/>
      <c r="S11" s="1147"/>
      <c r="T11" s="1467"/>
      <c r="U11" s="1147"/>
      <c r="V11" s="1150">
        <f t="shared" si="1"/>
        <v>0</v>
      </c>
      <c r="W11" s="1150">
        <f t="shared" si="2"/>
        <v>0</v>
      </c>
      <c r="X11" s="1150">
        <f t="shared" si="3"/>
        <v>0</v>
      </c>
      <c r="Y11" s="1147">
        <f t="shared" si="4"/>
        <v>0</v>
      </c>
      <c r="AA11" s="115"/>
    </row>
    <row r="12" spans="1:27">
      <c r="A12" s="293" t="s">
        <v>971</v>
      </c>
      <c r="B12" s="1148"/>
      <c r="C12" s="1148"/>
      <c r="D12" s="1150"/>
      <c r="E12" s="1147"/>
      <c r="F12" s="1148"/>
      <c r="G12" s="1148"/>
      <c r="H12" s="1150"/>
      <c r="I12" s="1147"/>
      <c r="J12" s="1148"/>
      <c r="K12" s="1148"/>
      <c r="L12" s="1467"/>
      <c r="M12" s="1150"/>
      <c r="N12" s="1147"/>
      <c r="O12" s="1150"/>
      <c r="P12" s="1147"/>
      <c r="Q12" s="1467"/>
      <c r="R12" s="1150"/>
      <c r="S12" s="1147"/>
      <c r="T12" s="1467"/>
      <c r="U12" s="1147"/>
      <c r="V12" s="1150">
        <f t="shared" si="1"/>
        <v>0</v>
      </c>
      <c r="W12" s="1150">
        <f t="shared" si="2"/>
        <v>0</v>
      </c>
      <c r="X12" s="1150">
        <f t="shared" si="3"/>
        <v>0</v>
      </c>
      <c r="Y12" s="1147">
        <f t="shared" si="4"/>
        <v>0</v>
      </c>
      <c r="AA12" s="115"/>
    </row>
    <row r="13" spans="1:27">
      <c r="A13" s="293" t="s">
        <v>1004</v>
      </c>
      <c r="B13" s="1148">
        <v>53</v>
      </c>
      <c r="C13" s="1148">
        <v>60</v>
      </c>
      <c r="D13" s="1150">
        <v>91</v>
      </c>
      <c r="E13" s="1147">
        <v>94</v>
      </c>
      <c r="F13" s="1148"/>
      <c r="G13" s="1148"/>
      <c r="H13" s="1150"/>
      <c r="I13" s="1147"/>
      <c r="J13" s="1148"/>
      <c r="K13" s="1148"/>
      <c r="L13" s="1467"/>
      <c r="M13" s="1150"/>
      <c r="N13" s="1147"/>
      <c r="O13" s="1150"/>
      <c r="P13" s="1147"/>
      <c r="Q13" s="1467"/>
      <c r="R13" s="1150"/>
      <c r="S13" s="1147"/>
      <c r="T13" s="1467"/>
      <c r="U13" s="1147"/>
      <c r="V13" s="1150">
        <f t="shared" si="1"/>
        <v>53</v>
      </c>
      <c r="W13" s="1150">
        <f t="shared" si="2"/>
        <v>60</v>
      </c>
      <c r="X13" s="1150">
        <f t="shared" si="3"/>
        <v>91</v>
      </c>
      <c r="Y13" s="1147">
        <f t="shared" si="4"/>
        <v>94</v>
      </c>
      <c r="AA13" s="115"/>
    </row>
    <row r="14" spans="1:27">
      <c r="A14" s="293" t="s">
        <v>973</v>
      </c>
      <c r="B14" s="1148"/>
      <c r="C14" s="1148"/>
      <c r="D14" s="1150"/>
      <c r="E14" s="1147"/>
      <c r="F14" s="1148"/>
      <c r="G14" s="1148"/>
      <c r="H14" s="1150"/>
      <c r="I14" s="1147"/>
      <c r="J14" s="1148"/>
      <c r="K14" s="1148"/>
      <c r="L14" s="1467"/>
      <c r="M14" s="1150"/>
      <c r="N14" s="1147"/>
      <c r="O14" s="1150"/>
      <c r="P14" s="1147"/>
      <c r="Q14" s="1467"/>
      <c r="R14" s="1150"/>
      <c r="S14" s="1147"/>
      <c r="T14" s="1467"/>
      <c r="U14" s="1147"/>
      <c r="V14" s="1150">
        <f t="shared" si="1"/>
        <v>0</v>
      </c>
      <c r="W14" s="1150">
        <f t="shared" si="2"/>
        <v>0</v>
      </c>
      <c r="X14" s="1150">
        <f t="shared" si="3"/>
        <v>0</v>
      </c>
      <c r="Y14" s="1147">
        <f t="shared" si="4"/>
        <v>0</v>
      </c>
      <c r="AA14" s="115"/>
    </row>
    <row r="15" spans="1:27">
      <c r="A15" s="293" t="s">
        <v>974</v>
      </c>
      <c r="B15" s="1148"/>
      <c r="C15" s="1148"/>
      <c r="D15" s="1150"/>
      <c r="E15" s="1147"/>
      <c r="F15" s="1148"/>
      <c r="G15" s="1148"/>
      <c r="H15" s="1150"/>
      <c r="I15" s="1147"/>
      <c r="J15" s="1148"/>
      <c r="K15" s="1148"/>
      <c r="L15" s="1467"/>
      <c r="M15" s="1150"/>
      <c r="N15" s="1147"/>
      <c r="O15" s="1150"/>
      <c r="P15" s="1147"/>
      <c r="Q15" s="1467"/>
      <c r="R15" s="1150"/>
      <c r="S15" s="1147"/>
      <c r="T15" s="1467"/>
      <c r="U15" s="1147"/>
      <c r="V15" s="1150">
        <f t="shared" si="1"/>
        <v>0</v>
      </c>
      <c r="W15" s="1150">
        <f t="shared" si="2"/>
        <v>0</v>
      </c>
      <c r="X15" s="1150">
        <f t="shared" si="3"/>
        <v>0</v>
      </c>
      <c r="Y15" s="1147">
        <f t="shared" si="4"/>
        <v>0</v>
      </c>
      <c r="AA15" s="115"/>
    </row>
    <row r="16" spans="1:27">
      <c r="A16" s="293" t="s">
        <v>975</v>
      </c>
      <c r="B16" s="1148">
        <v>513</v>
      </c>
      <c r="C16" s="1148">
        <v>464</v>
      </c>
      <c r="D16" s="1150">
        <v>302</v>
      </c>
      <c r="E16" s="1147">
        <v>48</v>
      </c>
      <c r="F16" s="1148"/>
      <c r="G16" s="1148"/>
      <c r="H16" s="1150"/>
      <c r="I16" s="1147"/>
      <c r="J16" s="1148"/>
      <c r="K16" s="1148"/>
      <c r="L16" s="1467"/>
      <c r="M16" s="1150"/>
      <c r="N16" s="1147"/>
      <c r="O16" s="1150"/>
      <c r="P16" s="1147"/>
      <c r="Q16" s="1467"/>
      <c r="R16" s="1150"/>
      <c r="S16" s="1147"/>
      <c r="T16" s="1467"/>
      <c r="U16" s="1147"/>
      <c r="V16" s="1150">
        <f t="shared" si="1"/>
        <v>513</v>
      </c>
      <c r="W16" s="1150">
        <f t="shared" si="2"/>
        <v>464</v>
      </c>
      <c r="X16" s="1150">
        <f t="shared" si="3"/>
        <v>302</v>
      </c>
      <c r="Y16" s="1147">
        <f t="shared" si="4"/>
        <v>48</v>
      </c>
      <c r="AA16" s="115"/>
    </row>
    <row r="17" spans="1:27">
      <c r="A17" s="293" t="s">
        <v>976</v>
      </c>
      <c r="B17" s="1148"/>
      <c r="C17" s="1148"/>
      <c r="D17" s="1150"/>
      <c r="E17" s="1147"/>
      <c r="F17" s="1148"/>
      <c r="G17" s="1148"/>
      <c r="H17" s="1150"/>
      <c r="I17" s="1147"/>
      <c r="J17" s="1148"/>
      <c r="K17" s="1148"/>
      <c r="L17" s="1467"/>
      <c r="M17" s="1150"/>
      <c r="N17" s="1147"/>
      <c r="O17" s="1150"/>
      <c r="P17" s="1147"/>
      <c r="Q17" s="1467"/>
      <c r="R17" s="1150"/>
      <c r="S17" s="1147"/>
      <c r="T17" s="1467"/>
      <c r="U17" s="1147"/>
      <c r="V17" s="1150">
        <f t="shared" si="1"/>
        <v>0</v>
      </c>
      <c r="W17" s="1150">
        <f t="shared" si="2"/>
        <v>0</v>
      </c>
      <c r="X17" s="1150">
        <f t="shared" si="3"/>
        <v>0</v>
      </c>
      <c r="Y17" s="1147">
        <f t="shared" si="4"/>
        <v>0</v>
      </c>
      <c r="AA17" s="115"/>
    </row>
    <row r="18" spans="1:27">
      <c r="A18" s="293" t="s">
        <v>977</v>
      </c>
      <c r="B18" s="1148"/>
      <c r="C18" s="1148"/>
      <c r="D18" s="1150"/>
      <c r="E18" s="1147"/>
      <c r="F18" s="1148"/>
      <c r="G18" s="1148"/>
      <c r="H18" s="1150"/>
      <c r="I18" s="1147"/>
      <c r="J18" s="1148"/>
      <c r="K18" s="1148"/>
      <c r="L18" s="1467"/>
      <c r="M18" s="1150"/>
      <c r="N18" s="1147"/>
      <c r="O18" s="1150"/>
      <c r="P18" s="1147"/>
      <c r="Q18" s="1467"/>
      <c r="R18" s="1150"/>
      <c r="S18" s="1147"/>
      <c r="T18" s="1467"/>
      <c r="U18" s="1147"/>
      <c r="V18" s="1150">
        <f t="shared" si="1"/>
        <v>0</v>
      </c>
      <c r="W18" s="1150">
        <f t="shared" si="2"/>
        <v>0</v>
      </c>
      <c r="X18" s="1150">
        <f t="shared" si="3"/>
        <v>0</v>
      </c>
      <c r="Y18" s="1147">
        <f t="shared" si="4"/>
        <v>0</v>
      </c>
      <c r="AA18" s="115"/>
    </row>
    <row r="19" spans="1:27">
      <c r="A19" s="293" t="s">
        <v>978</v>
      </c>
      <c r="B19" s="1148"/>
      <c r="C19" s="1148"/>
      <c r="D19" s="1150"/>
      <c r="E19" s="1147"/>
      <c r="F19" s="1148"/>
      <c r="G19" s="1148">
        <v>169</v>
      </c>
      <c r="H19" s="1150">
        <v>489</v>
      </c>
      <c r="I19" s="1147">
        <v>18</v>
      </c>
      <c r="J19" s="1148"/>
      <c r="K19" s="1148"/>
      <c r="L19" s="1467"/>
      <c r="M19" s="1150"/>
      <c r="N19" s="1147"/>
      <c r="O19" s="1150"/>
      <c r="P19" s="1147"/>
      <c r="Q19" s="1467"/>
      <c r="R19" s="1150"/>
      <c r="S19" s="1147"/>
      <c r="T19" s="1467"/>
      <c r="U19" s="1147"/>
      <c r="V19" s="1150">
        <f t="shared" si="1"/>
        <v>0</v>
      </c>
      <c r="W19" s="1150">
        <f t="shared" si="2"/>
        <v>169</v>
      </c>
      <c r="X19" s="1150">
        <f t="shared" si="3"/>
        <v>489</v>
      </c>
      <c r="Y19" s="1147">
        <f t="shared" si="4"/>
        <v>18</v>
      </c>
      <c r="AA19" s="115"/>
    </row>
    <row r="20" spans="1:27">
      <c r="A20" s="293" t="s">
        <v>979</v>
      </c>
      <c r="B20" s="1148"/>
      <c r="C20" s="1148"/>
      <c r="D20" s="1150"/>
      <c r="E20" s="1147"/>
      <c r="F20" s="1148"/>
      <c r="G20" s="1148"/>
      <c r="H20" s="1150"/>
      <c r="I20" s="1147"/>
      <c r="J20" s="1148"/>
      <c r="K20" s="1148"/>
      <c r="L20" s="1467"/>
      <c r="M20" s="1150"/>
      <c r="N20" s="1147"/>
      <c r="O20" s="1150"/>
      <c r="P20" s="1147"/>
      <c r="Q20" s="1467"/>
      <c r="R20" s="1150"/>
      <c r="S20" s="1147"/>
      <c r="T20" s="1467"/>
      <c r="U20" s="1147"/>
      <c r="V20" s="1150">
        <f t="shared" si="1"/>
        <v>0</v>
      </c>
      <c r="W20" s="1150">
        <f t="shared" si="2"/>
        <v>0</v>
      </c>
      <c r="X20" s="1150">
        <f t="shared" si="3"/>
        <v>0</v>
      </c>
      <c r="Y20" s="1147">
        <f t="shared" si="4"/>
        <v>0</v>
      </c>
      <c r="AA20" s="115"/>
    </row>
    <row r="21" spans="1:27">
      <c r="A21" s="1146" t="s">
        <v>1669</v>
      </c>
      <c r="B21" s="1148"/>
      <c r="C21" s="1148"/>
      <c r="D21" s="1150"/>
      <c r="E21" s="1147"/>
      <c r="F21" s="1148"/>
      <c r="G21" s="1148"/>
      <c r="H21" s="1150"/>
      <c r="I21" s="1147">
        <v>69</v>
      </c>
      <c r="J21" s="1148"/>
      <c r="K21" s="1148"/>
      <c r="L21" s="1467"/>
      <c r="M21" s="1150"/>
      <c r="N21" s="1147"/>
      <c r="O21" s="1150"/>
      <c r="P21" s="1147"/>
      <c r="Q21" s="1467"/>
      <c r="R21" s="1150"/>
      <c r="S21" s="1147"/>
      <c r="T21" s="1467"/>
      <c r="U21" s="1147"/>
      <c r="V21" s="1150">
        <f t="shared" si="1"/>
        <v>0</v>
      </c>
      <c r="W21" s="1150">
        <f t="shared" si="2"/>
        <v>0</v>
      </c>
      <c r="X21" s="1150">
        <f t="shared" si="3"/>
        <v>0</v>
      </c>
      <c r="Y21" s="1147">
        <f t="shared" si="4"/>
        <v>69</v>
      </c>
      <c r="AA21" s="115"/>
    </row>
    <row r="22" spans="1:27">
      <c r="A22" s="293" t="s">
        <v>980</v>
      </c>
      <c r="B22" s="1148">
        <v>2033</v>
      </c>
      <c r="C22" s="1148"/>
      <c r="D22" s="1150"/>
      <c r="E22" s="1147"/>
      <c r="F22" s="1148"/>
      <c r="G22" s="1148"/>
      <c r="H22" s="1150"/>
      <c r="I22" s="1147"/>
      <c r="J22" s="1148"/>
      <c r="K22" s="1148"/>
      <c r="L22" s="1467"/>
      <c r="M22" s="1150"/>
      <c r="N22" s="1147"/>
      <c r="O22" s="1150"/>
      <c r="P22" s="1147"/>
      <c r="Q22" s="1467"/>
      <c r="R22" s="1150"/>
      <c r="S22" s="1147"/>
      <c r="T22" s="1467"/>
      <c r="U22" s="1147"/>
      <c r="V22" s="1150">
        <f t="shared" si="1"/>
        <v>2033</v>
      </c>
      <c r="W22" s="1150">
        <f t="shared" si="2"/>
        <v>0</v>
      </c>
      <c r="X22" s="1150">
        <f t="shared" si="3"/>
        <v>0</v>
      </c>
      <c r="Y22" s="1147">
        <f t="shared" si="4"/>
        <v>0</v>
      </c>
      <c r="AA22" s="115"/>
    </row>
    <row r="23" spans="1:27">
      <c r="A23" s="293" t="s">
        <v>981</v>
      </c>
      <c r="B23" s="1148"/>
      <c r="C23" s="1148"/>
      <c r="D23" s="1150"/>
      <c r="E23" s="1147"/>
      <c r="F23" s="1148"/>
      <c r="G23" s="1148"/>
      <c r="H23" s="1150"/>
      <c r="I23" s="1147"/>
      <c r="J23" s="1148"/>
      <c r="K23" s="1148"/>
      <c r="L23" s="1467">
        <v>405</v>
      </c>
      <c r="M23" s="1150">
        <v>432</v>
      </c>
      <c r="N23" s="1147">
        <v>417</v>
      </c>
      <c r="O23" s="1150">
        <v>449</v>
      </c>
      <c r="P23" s="1147"/>
      <c r="Q23" s="1467">
        <v>41</v>
      </c>
      <c r="R23" s="1150">
        <v>51</v>
      </c>
      <c r="S23" s="1147"/>
      <c r="T23" s="1467">
        <v>0</v>
      </c>
      <c r="U23" s="1147"/>
      <c r="V23" s="1150">
        <f>+B23+F23+J23</f>
        <v>0</v>
      </c>
      <c r="W23" s="1150">
        <f>+C23+G23+K23+L23+O23+Q23</f>
        <v>895</v>
      </c>
      <c r="X23" s="1150">
        <f>+D23+H23+M23+P23+R23</f>
        <v>483</v>
      </c>
      <c r="Y23" s="1147">
        <f>+E23+I23+N23+P23+S23+T23</f>
        <v>417</v>
      </c>
      <c r="AA23" s="115"/>
    </row>
    <row r="24" spans="1:27">
      <c r="A24" s="293" t="s">
        <v>1319</v>
      </c>
      <c r="B24" s="1148"/>
      <c r="C24" s="1148">
        <v>36</v>
      </c>
      <c r="D24" s="1150"/>
      <c r="E24" s="1147"/>
      <c r="F24" s="1148"/>
      <c r="G24" s="1148"/>
      <c r="H24" s="1150"/>
      <c r="I24" s="1147"/>
      <c r="J24" s="1148"/>
      <c r="K24" s="1148"/>
      <c r="L24" s="1467"/>
      <c r="M24" s="1150"/>
      <c r="N24" s="1147"/>
      <c r="O24" s="1150"/>
      <c r="P24" s="1147"/>
      <c r="Q24" s="1467"/>
      <c r="R24" s="1150"/>
      <c r="S24" s="1147"/>
      <c r="T24" s="1467"/>
      <c r="U24" s="1147"/>
      <c r="V24" s="1150">
        <f>+B24+F24+J24</f>
        <v>0</v>
      </c>
      <c r="W24" s="1150">
        <f>+C24+G24+K24</f>
        <v>36</v>
      </c>
      <c r="X24" s="1150">
        <f t="shared" ref="X24:X37" si="5">+D24+H24+L24</f>
        <v>0</v>
      </c>
      <c r="Y24" s="1147">
        <f t="shared" ref="Y24:Y37" si="6">+E24+I24+P24</f>
        <v>0</v>
      </c>
      <c r="AA24" s="115"/>
    </row>
    <row r="25" spans="1:27">
      <c r="A25" s="293" t="s">
        <v>1571</v>
      </c>
      <c r="B25" s="1148"/>
      <c r="C25" s="1148">
        <v>31</v>
      </c>
      <c r="D25" s="1150">
        <v>52</v>
      </c>
      <c r="E25" s="1147">
        <v>4</v>
      </c>
      <c r="F25" s="1148"/>
      <c r="G25" s="1148"/>
      <c r="H25" s="1150"/>
      <c r="I25" s="1147">
        <v>39</v>
      </c>
      <c r="J25" s="1148"/>
      <c r="K25" s="1148"/>
      <c r="L25" s="1467"/>
      <c r="M25" s="1150"/>
      <c r="N25" s="1147"/>
      <c r="O25" s="1150"/>
      <c r="P25" s="1147"/>
      <c r="Q25" s="1467"/>
      <c r="R25" s="1150"/>
      <c r="S25" s="1147"/>
      <c r="T25" s="1467"/>
      <c r="U25" s="1147"/>
      <c r="V25" s="1150"/>
      <c r="W25" s="1150">
        <f>+C25+G25+K25</f>
        <v>31</v>
      </c>
      <c r="X25" s="1150">
        <f t="shared" si="5"/>
        <v>52</v>
      </c>
      <c r="Y25" s="1147">
        <f t="shared" si="6"/>
        <v>43</v>
      </c>
      <c r="AA25" s="115"/>
    </row>
    <row r="26" spans="1:27">
      <c r="A26" s="293" t="s">
        <v>1449</v>
      </c>
      <c r="B26" s="1148">
        <v>3</v>
      </c>
      <c r="C26" s="1148">
        <v>49</v>
      </c>
      <c r="D26" s="1150">
        <v>131</v>
      </c>
      <c r="E26" s="1147">
        <v>166</v>
      </c>
      <c r="F26" s="1148"/>
      <c r="G26" s="1148"/>
      <c r="H26" s="1150"/>
      <c r="I26" s="1147"/>
      <c r="J26" s="1148"/>
      <c r="K26" s="1148"/>
      <c r="L26" s="1467"/>
      <c r="M26" s="1150"/>
      <c r="N26" s="1147"/>
      <c r="O26" s="1150"/>
      <c r="P26" s="1147"/>
      <c r="Q26" s="1467"/>
      <c r="R26" s="1150"/>
      <c r="S26" s="1147"/>
      <c r="T26" s="1467"/>
      <c r="U26" s="1147"/>
      <c r="V26" s="1150">
        <f t="shared" ref="V26:V37" si="7">+B26+F26+J26</f>
        <v>3</v>
      </c>
      <c r="W26" s="1150">
        <f t="shared" ref="W26:W37" si="8">+C26+G26+K26</f>
        <v>49</v>
      </c>
      <c r="X26" s="1150">
        <f t="shared" si="5"/>
        <v>131</v>
      </c>
      <c r="Y26" s="1147">
        <f t="shared" si="6"/>
        <v>166</v>
      </c>
      <c r="AA26" s="115"/>
    </row>
    <row r="27" spans="1:27">
      <c r="A27" s="293" t="s">
        <v>983</v>
      </c>
      <c r="B27" s="1148"/>
      <c r="C27" s="1148"/>
      <c r="D27" s="1150"/>
      <c r="E27" s="1147"/>
      <c r="F27" s="1148"/>
      <c r="G27" s="1148"/>
      <c r="H27" s="1150"/>
      <c r="I27" s="1147"/>
      <c r="J27" s="1148"/>
      <c r="K27" s="1148"/>
      <c r="L27" s="1467"/>
      <c r="M27" s="1150"/>
      <c r="N27" s="1147"/>
      <c r="O27" s="1150"/>
      <c r="P27" s="1147"/>
      <c r="Q27" s="1467"/>
      <c r="R27" s="1150"/>
      <c r="S27" s="1147"/>
      <c r="T27" s="1467"/>
      <c r="U27" s="1147"/>
      <c r="V27" s="1150">
        <f t="shared" si="7"/>
        <v>0</v>
      </c>
      <c r="W27" s="1150">
        <f t="shared" si="8"/>
        <v>0</v>
      </c>
      <c r="X27" s="1150">
        <f t="shared" si="5"/>
        <v>0</v>
      </c>
      <c r="Y27" s="1147">
        <f t="shared" si="6"/>
        <v>0</v>
      </c>
      <c r="AA27" s="115"/>
    </row>
    <row r="28" spans="1:27">
      <c r="A28" s="1146" t="s">
        <v>1603</v>
      </c>
      <c r="B28" s="1148"/>
      <c r="C28" s="1148"/>
      <c r="D28" s="1150">
        <v>7</v>
      </c>
      <c r="E28" s="1147"/>
      <c r="F28" s="1148"/>
      <c r="G28" s="1148"/>
      <c r="H28" s="1150"/>
      <c r="I28" s="1147"/>
      <c r="J28" s="1148"/>
      <c r="K28" s="1148"/>
      <c r="L28" s="1467"/>
      <c r="M28" s="1150"/>
      <c r="N28" s="1147"/>
      <c r="O28" s="1150"/>
      <c r="P28" s="1147"/>
      <c r="Q28" s="1467"/>
      <c r="R28" s="1150"/>
      <c r="S28" s="1147"/>
      <c r="T28" s="1467"/>
      <c r="U28" s="1147"/>
      <c r="V28" s="1150">
        <f t="shared" si="7"/>
        <v>0</v>
      </c>
      <c r="W28" s="1150">
        <f t="shared" si="8"/>
        <v>0</v>
      </c>
      <c r="X28" s="1150">
        <f t="shared" si="5"/>
        <v>7</v>
      </c>
      <c r="Y28" s="1147">
        <f t="shared" si="6"/>
        <v>0</v>
      </c>
      <c r="AA28" s="115"/>
    </row>
    <row r="29" spans="1:27">
      <c r="A29" s="293" t="s">
        <v>984</v>
      </c>
      <c r="B29" s="1148"/>
      <c r="C29" s="1148"/>
      <c r="D29" s="1150"/>
      <c r="E29" s="1147"/>
      <c r="F29" s="1148"/>
      <c r="G29" s="1148"/>
      <c r="H29" s="1150"/>
      <c r="I29" s="1147"/>
      <c r="J29" s="1148"/>
      <c r="K29" s="1148"/>
      <c r="L29" s="1467"/>
      <c r="M29" s="1150"/>
      <c r="N29" s="1147"/>
      <c r="O29" s="1150"/>
      <c r="P29" s="1147"/>
      <c r="Q29" s="1467"/>
      <c r="R29" s="1150"/>
      <c r="S29" s="1147"/>
      <c r="T29" s="1467"/>
      <c r="U29" s="1147"/>
      <c r="V29" s="1150">
        <f t="shared" si="7"/>
        <v>0</v>
      </c>
      <c r="W29" s="1150">
        <f t="shared" si="8"/>
        <v>0</v>
      </c>
      <c r="X29" s="1150">
        <f t="shared" si="5"/>
        <v>0</v>
      </c>
      <c r="Y29" s="1147">
        <f t="shared" si="6"/>
        <v>0</v>
      </c>
      <c r="AA29" s="115"/>
    </row>
    <row r="30" spans="1:27">
      <c r="A30" s="293" t="s">
        <v>985</v>
      </c>
      <c r="B30" s="1148"/>
      <c r="C30" s="1148"/>
      <c r="D30" s="1150"/>
      <c r="E30" s="1147"/>
      <c r="F30" s="1148"/>
      <c r="G30" s="1148"/>
      <c r="H30" s="1150"/>
      <c r="I30" s="1147"/>
      <c r="J30" s="1148"/>
      <c r="K30" s="1148"/>
      <c r="L30" s="1467"/>
      <c r="M30" s="1150"/>
      <c r="N30" s="1147"/>
      <c r="O30" s="1150"/>
      <c r="P30" s="1147"/>
      <c r="Q30" s="1467"/>
      <c r="R30" s="1150"/>
      <c r="S30" s="1147"/>
      <c r="T30" s="1467"/>
      <c r="U30" s="1147"/>
      <c r="V30" s="1150">
        <f t="shared" si="7"/>
        <v>0</v>
      </c>
      <c r="W30" s="1150">
        <f t="shared" si="8"/>
        <v>0</v>
      </c>
      <c r="X30" s="1150">
        <f t="shared" si="5"/>
        <v>0</v>
      </c>
      <c r="Y30" s="1147">
        <f t="shared" si="6"/>
        <v>0</v>
      </c>
      <c r="AA30" s="115"/>
    </row>
    <row r="31" spans="1:27">
      <c r="A31" s="293" t="s">
        <v>986</v>
      </c>
      <c r="B31" s="1148"/>
      <c r="C31" s="1148"/>
      <c r="D31" s="1150"/>
      <c r="E31" s="1147"/>
      <c r="F31" s="1148"/>
      <c r="G31" s="1148"/>
      <c r="H31" s="1150"/>
      <c r="I31" s="1147"/>
      <c r="J31" s="1148"/>
      <c r="K31" s="1148"/>
      <c r="L31" s="1467"/>
      <c r="M31" s="1150"/>
      <c r="N31" s="1147"/>
      <c r="O31" s="1150"/>
      <c r="P31" s="1147"/>
      <c r="Q31" s="1467"/>
      <c r="R31" s="1150"/>
      <c r="S31" s="1147"/>
      <c r="T31" s="1467"/>
      <c r="U31" s="1147"/>
      <c r="V31" s="1150">
        <f t="shared" si="7"/>
        <v>0</v>
      </c>
      <c r="W31" s="1150">
        <f t="shared" si="8"/>
        <v>0</v>
      </c>
      <c r="X31" s="1150">
        <f t="shared" si="5"/>
        <v>0</v>
      </c>
      <c r="Y31" s="1147">
        <f t="shared" si="6"/>
        <v>0</v>
      </c>
      <c r="AA31" s="115"/>
    </row>
    <row r="32" spans="1:27">
      <c r="A32" s="293" t="s">
        <v>1320</v>
      </c>
      <c r="B32" s="1148">
        <v>612</v>
      </c>
      <c r="C32" s="1148">
        <v>283</v>
      </c>
      <c r="D32" s="1150">
        <v>27</v>
      </c>
      <c r="E32" s="1147"/>
      <c r="F32" s="1148"/>
      <c r="G32" s="1148"/>
      <c r="H32" s="1150"/>
      <c r="I32" s="1147"/>
      <c r="J32" s="1148"/>
      <c r="K32" s="1148"/>
      <c r="L32" s="1467"/>
      <c r="M32" s="1150"/>
      <c r="N32" s="1147"/>
      <c r="O32" s="1150"/>
      <c r="P32" s="1147"/>
      <c r="Q32" s="1467"/>
      <c r="R32" s="1150"/>
      <c r="S32" s="1147"/>
      <c r="T32" s="1467"/>
      <c r="U32" s="1147"/>
      <c r="V32" s="1150">
        <f t="shared" si="7"/>
        <v>612</v>
      </c>
      <c r="W32" s="1150">
        <f t="shared" si="8"/>
        <v>283</v>
      </c>
      <c r="X32" s="1150">
        <f t="shared" si="5"/>
        <v>27</v>
      </c>
      <c r="Y32" s="1147">
        <f t="shared" si="6"/>
        <v>0</v>
      </c>
      <c r="AA32" s="115"/>
    </row>
    <row r="33" spans="1:27">
      <c r="A33" s="293" t="s">
        <v>988</v>
      </c>
      <c r="B33" s="1148">
        <v>5010</v>
      </c>
      <c r="C33" s="1148">
        <v>3946</v>
      </c>
      <c r="D33" s="1150">
        <v>4694</v>
      </c>
      <c r="E33" s="1147">
        <v>1115</v>
      </c>
      <c r="F33" s="1148"/>
      <c r="G33" s="1148"/>
      <c r="H33" s="1150"/>
      <c r="I33" s="1147"/>
      <c r="J33" s="1148"/>
      <c r="K33" s="1148"/>
      <c r="L33" s="1467"/>
      <c r="M33" s="1150"/>
      <c r="N33" s="1147"/>
      <c r="O33" s="1150"/>
      <c r="P33" s="1147"/>
      <c r="Q33" s="1467"/>
      <c r="R33" s="1150"/>
      <c r="S33" s="1147"/>
      <c r="T33" s="1467"/>
      <c r="U33" s="1147"/>
      <c r="V33" s="1150">
        <f t="shared" si="7"/>
        <v>5010</v>
      </c>
      <c r="W33" s="1150">
        <f t="shared" si="8"/>
        <v>3946</v>
      </c>
      <c r="X33" s="1150">
        <f t="shared" si="5"/>
        <v>4694</v>
      </c>
      <c r="Y33" s="1147">
        <f t="shared" si="6"/>
        <v>1115</v>
      </c>
      <c r="AA33" s="115"/>
    </row>
    <row r="34" spans="1:27">
      <c r="A34" s="293" t="s">
        <v>989</v>
      </c>
      <c r="B34" s="1148">
        <v>1823</v>
      </c>
      <c r="C34" s="1148">
        <v>644</v>
      </c>
      <c r="D34" s="1150">
        <v>269</v>
      </c>
      <c r="E34" s="1147">
        <v>26</v>
      </c>
      <c r="F34" s="1148"/>
      <c r="G34" s="1148"/>
      <c r="H34" s="1150"/>
      <c r="I34" s="1147"/>
      <c r="J34" s="1148"/>
      <c r="K34" s="1148"/>
      <c r="L34" s="1467"/>
      <c r="M34" s="1150"/>
      <c r="N34" s="1147"/>
      <c r="O34" s="1150"/>
      <c r="P34" s="1147"/>
      <c r="Q34" s="1467"/>
      <c r="R34" s="1150"/>
      <c r="S34" s="1147"/>
      <c r="T34" s="1467"/>
      <c r="U34" s="1147"/>
      <c r="V34" s="1150">
        <f t="shared" si="7"/>
        <v>1823</v>
      </c>
      <c r="W34" s="1150">
        <f t="shared" si="8"/>
        <v>644</v>
      </c>
      <c r="X34" s="1150">
        <f t="shared" si="5"/>
        <v>269</v>
      </c>
      <c r="Y34" s="1147">
        <f t="shared" si="6"/>
        <v>26</v>
      </c>
      <c r="AA34" s="115"/>
    </row>
    <row r="35" spans="1:27">
      <c r="A35" s="293" t="s">
        <v>990</v>
      </c>
      <c r="B35" s="1148"/>
      <c r="C35" s="1148"/>
      <c r="D35" s="1150"/>
      <c r="E35" s="1147"/>
      <c r="F35" s="1148"/>
      <c r="G35" s="1148"/>
      <c r="H35" s="1150">
        <v>258</v>
      </c>
      <c r="I35" s="1147">
        <v>71</v>
      </c>
      <c r="J35" s="1148"/>
      <c r="K35" s="1148"/>
      <c r="L35" s="1467"/>
      <c r="M35" s="1150"/>
      <c r="N35" s="1147"/>
      <c r="O35" s="1150"/>
      <c r="P35" s="1147"/>
      <c r="Q35" s="1467"/>
      <c r="R35" s="1150"/>
      <c r="S35" s="1147"/>
      <c r="T35" s="1467"/>
      <c r="U35" s="1147"/>
      <c r="V35" s="1150">
        <f t="shared" si="7"/>
        <v>0</v>
      </c>
      <c r="W35" s="1150">
        <f t="shared" si="8"/>
        <v>0</v>
      </c>
      <c r="X35" s="1150">
        <f t="shared" si="5"/>
        <v>258</v>
      </c>
      <c r="Y35" s="1147">
        <f t="shared" si="6"/>
        <v>71</v>
      </c>
      <c r="AA35" s="115"/>
    </row>
    <row r="36" spans="1:27">
      <c r="A36" s="293" t="s">
        <v>991</v>
      </c>
      <c r="B36" s="1148"/>
      <c r="C36" s="1148"/>
      <c r="D36" s="1150"/>
      <c r="E36" s="1147"/>
      <c r="F36" s="1148">
        <v>1033</v>
      </c>
      <c r="G36" s="1148">
        <v>1372</v>
      </c>
      <c r="H36" s="1150">
        <v>924</v>
      </c>
      <c r="I36" s="1147"/>
      <c r="J36" s="1148"/>
      <c r="K36" s="1148"/>
      <c r="L36" s="1467"/>
      <c r="M36" s="1150"/>
      <c r="N36" s="1147"/>
      <c r="O36" s="1150"/>
      <c r="P36" s="1147"/>
      <c r="Q36" s="1467"/>
      <c r="R36" s="1150"/>
      <c r="S36" s="1147"/>
      <c r="T36" s="1467"/>
      <c r="U36" s="1147"/>
      <c r="V36" s="1150">
        <f t="shared" si="7"/>
        <v>1033</v>
      </c>
      <c r="W36" s="1150">
        <f t="shared" si="8"/>
        <v>1372</v>
      </c>
      <c r="X36" s="1150">
        <f t="shared" si="5"/>
        <v>924</v>
      </c>
      <c r="Y36" s="1147">
        <f t="shared" si="6"/>
        <v>0</v>
      </c>
      <c r="AA36" s="115"/>
    </row>
    <row r="37" spans="1:27">
      <c r="A37" s="293" t="s">
        <v>992</v>
      </c>
      <c r="B37" s="1148"/>
      <c r="C37" s="1148"/>
      <c r="D37" s="1150"/>
      <c r="E37" s="1147"/>
      <c r="F37" s="1148"/>
      <c r="G37" s="1148"/>
      <c r="H37" s="1150"/>
      <c r="I37" s="1147"/>
      <c r="J37" s="1148"/>
      <c r="K37" s="1148"/>
      <c r="L37" s="1467"/>
      <c r="M37" s="1150"/>
      <c r="N37" s="1147"/>
      <c r="O37" s="1150"/>
      <c r="P37" s="1147"/>
      <c r="Q37" s="1467"/>
      <c r="R37" s="1150"/>
      <c r="S37" s="1147"/>
      <c r="T37" s="1467"/>
      <c r="U37" s="1147"/>
      <c r="V37" s="1150">
        <f t="shared" si="7"/>
        <v>0</v>
      </c>
      <c r="W37" s="1150">
        <f t="shared" si="8"/>
        <v>0</v>
      </c>
      <c r="X37" s="1150">
        <f t="shared" si="5"/>
        <v>0</v>
      </c>
      <c r="Y37" s="1147">
        <f t="shared" si="6"/>
        <v>0</v>
      </c>
      <c r="AA37" s="115"/>
    </row>
    <row r="38" spans="1:27">
      <c r="A38" s="296" t="s">
        <v>832</v>
      </c>
      <c r="B38" s="525">
        <f t="shared" ref="B38:Y38" si="9">SUM(B9:B37)</f>
        <v>10630</v>
      </c>
      <c r="C38" s="525">
        <f t="shared" si="9"/>
        <v>5513</v>
      </c>
      <c r="D38" s="525">
        <f t="shared" si="9"/>
        <v>5573</v>
      </c>
      <c r="E38" s="526">
        <f t="shared" si="9"/>
        <v>1689</v>
      </c>
      <c r="F38" s="525">
        <f t="shared" si="9"/>
        <v>1079</v>
      </c>
      <c r="G38" s="525">
        <f t="shared" si="9"/>
        <v>1699</v>
      </c>
      <c r="H38" s="525">
        <f t="shared" si="9"/>
        <v>2117</v>
      </c>
      <c r="I38" s="526">
        <f t="shared" si="9"/>
        <v>363</v>
      </c>
      <c r="J38" s="525">
        <f t="shared" si="9"/>
        <v>0</v>
      </c>
      <c r="K38" s="525">
        <f t="shared" si="9"/>
        <v>0</v>
      </c>
      <c r="L38" s="527">
        <f>SUM(L9:L37)</f>
        <v>405</v>
      </c>
      <c r="M38" s="525">
        <f t="shared" ref="M38" si="10">SUM(M9:M37)</f>
        <v>432</v>
      </c>
      <c r="N38" s="525">
        <f t="shared" si="9"/>
        <v>417</v>
      </c>
      <c r="O38" s="527">
        <f>SUM(O9:O37)</f>
        <v>449</v>
      </c>
      <c r="P38" s="525">
        <f>SUM(P9:P37)</f>
        <v>0</v>
      </c>
      <c r="Q38" s="527">
        <v>41</v>
      </c>
      <c r="R38" s="525">
        <v>51</v>
      </c>
      <c r="S38" s="526">
        <f>SUM(S9:S37)</f>
        <v>0</v>
      </c>
      <c r="T38" s="527">
        <f>SUM(T9:T37)</f>
        <v>0</v>
      </c>
      <c r="U38" s="526"/>
      <c r="V38" s="525">
        <f t="shared" si="9"/>
        <v>11709</v>
      </c>
      <c r="W38" s="525">
        <f t="shared" si="9"/>
        <v>8107</v>
      </c>
      <c r="X38" s="525">
        <f t="shared" si="9"/>
        <v>8173</v>
      </c>
      <c r="Y38" s="526">
        <f t="shared" si="9"/>
        <v>2469</v>
      </c>
      <c r="AA38" s="115"/>
    </row>
    <row r="40" spans="1:27">
      <c r="A40" s="584"/>
    </row>
    <row r="41" spans="1:27">
      <c r="Y41" s="115"/>
    </row>
  </sheetData>
  <mergeCells count="10">
    <mergeCell ref="B7:E7"/>
    <mergeCell ref="F7:I7"/>
    <mergeCell ref="J7:K7"/>
    <mergeCell ref="V7:Y7"/>
    <mergeCell ref="A1:Y1"/>
    <mergeCell ref="A2:Y2"/>
    <mergeCell ref="Q7:S7"/>
    <mergeCell ref="L7:N7"/>
    <mergeCell ref="O7:P7"/>
    <mergeCell ref="T7:U7"/>
  </mergeCells>
  <pageMargins left="0.7" right="0.7" top="0.75" bottom="0.75" header="0.3" footer="0.3"/>
  <pageSetup orientation="portrait" r:id="rId1"/>
  <ignoredErrors>
    <ignoredError sqref="B38:K38 V38:X38"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1"/>
  <sheetViews>
    <sheetView topLeftCell="A57" workbookViewId="0">
      <selection activeCell="F59" sqref="F59"/>
    </sheetView>
  </sheetViews>
  <sheetFormatPr baseColWidth="10" defaultRowHeight="13.2"/>
  <cols>
    <col min="1" max="1" width="25.77734375" customWidth="1"/>
    <col min="2" max="2" width="8.44140625" customWidth="1"/>
    <col min="3" max="3" width="6.21875" customWidth="1"/>
    <col min="4" max="4" width="7.44140625" customWidth="1"/>
    <col min="5" max="16" width="6.21875" customWidth="1"/>
    <col min="17" max="26" width="6" customWidth="1"/>
    <col min="27" max="30" width="6.21875" customWidth="1"/>
  </cols>
  <sheetData>
    <row r="1" spans="1:30">
      <c r="A1" s="1648" t="s">
        <v>1682</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row>
    <row r="2" spans="1:30" ht="20.25" customHeight="1">
      <c r="A2" s="540"/>
      <c r="B2" s="235"/>
      <c r="C2" s="235"/>
      <c r="D2" s="235"/>
      <c r="E2" s="540"/>
      <c r="F2" s="540"/>
      <c r="G2" s="540"/>
      <c r="H2" s="540"/>
      <c r="I2" s="540"/>
      <c r="J2" s="540"/>
      <c r="K2" s="540"/>
      <c r="L2" s="540"/>
      <c r="M2" s="540"/>
      <c r="N2" s="540"/>
      <c r="O2" s="540"/>
    </row>
    <row r="3" spans="1:30" s="337" customFormat="1" ht="22.5" customHeight="1">
      <c r="A3" s="487" t="s">
        <v>1008</v>
      </c>
      <c r="B3" s="541"/>
      <c r="C3" s="542" t="s">
        <v>517</v>
      </c>
      <c r="D3" s="543"/>
      <c r="E3" s="1649" t="s">
        <v>1009</v>
      </c>
      <c r="F3" s="1650"/>
      <c r="G3" s="1650" t="s">
        <v>1010</v>
      </c>
      <c r="H3" s="1650"/>
      <c r="I3" s="1647" t="s">
        <v>828</v>
      </c>
      <c r="J3" s="1647"/>
      <c r="K3" s="1647" t="s">
        <v>618</v>
      </c>
      <c r="L3" s="1647"/>
      <c r="M3" s="1647" t="s">
        <v>617</v>
      </c>
      <c r="N3" s="1647"/>
      <c r="O3" s="1647" t="s">
        <v>1011</v>
      </c>
      <c r="P3" s="1647"/>
      <c r="Q3" s="1647" t="s">
        <v>619</v>
      </c>
      <c r="R3" s="1647"/>
      <c r="S3" s="1651" t="s">
        <v>1012</v>
      </c>
      <c r="T3" s="1651"/>
      <c r="U3" s="1645" t="s">
        <v>624</v>
      </c>
      <c r="V3" s="1646"/>
      <c r="W3" s="1645" t="s">
        <v>1013</v>
      </c>
      <c r="X3" s="1646"/>
      <c r="Y3" s="1645" t="s">
        <v>622</v>
      </c>
      <c r="Z3" s="1646"/>
      <c r="AA3" s="1645" t="s">
        <v>620</v>
      </c>
      <c r="AB3" s="1646"/>
      <c r="AC3" s="1647" t="s">
        <v>1014</v>
      </c>
      <c r="AD3" s="1647"/>
    </row>
    <row r="4" spans="1:30" s="337" customFormat="1" ht="21" customHeight="1">
      <c r="A4" s="544"/>
      <c r="B4" s="545" t="s">
        <v>517</v>
      </c>
      <c r="C4" s="546" t="s">
        <v>1015</v>
      </c>
      <c r="D4" s="547" t="s">
        <v>1016</v>
      </c>
      <c r="E4" s="1004" t="s">
        <v>1015</v>
      </c>
      <c r="F4" s="1004" t="s">
        <v>1016</v>
      </c>
      <c r="G4" s="1004" t="s">
        <v>1015</v>
      </c>
      <c r="H4" s="1004" t="s">
        <v>1016</v>
      </c>
      <c r="I4" s="1004" t="s">
        <v>1015</v>
      </c>
      <c r="J4" s="1004" t="s">
        <v>1016</v>
      </c>
      <c r="K4" s="1004" t="s">
        <v>1015</v>
      </c>
      <c r="L4" s="1004" t="s">
        <v>1016</v>
      </c>
      <c r="M4" s="1004" t="s">
        <v>1015</v>
      </c>
      <c r="N4" s="1004" t="s">
        <v>1016</v>
      </c>
      <c r="O4" s="1004" t="s">
        <v>1015</v>
      </c>
      <c r="P4" s="1004" t="s">
        <v>1016</v>
      </c>
      <c r="Q4" s="1004" t="s">
        <v>1015</v>
      </c>
      <c r="R4" s="1004" t="s">
        <v>1016</v>
      </c>
      <c r="S4" s="1004" t="s">
        <v>1015</v>
      </c>
      <c r="T4" s="1004" t="s">
        <v>1016</v>
      </c>
      <c r="U4" s="1004" t="s">
        <v>1015</v>
      </c>
      <c r="V4" s="1004" t="s">
        <v>1016</v>
      </c>
      <c r="W4" s="1004" t="s">
        <v>1015</v>
      </c>
      <c r="X4" s="1004" t="s">
        <v>1016</v>
      </c>
      <c r="Y4" s="1004" t="s">
        <v>1015</v>
      </c>
      <c r="Z4" s="1004" t="s">
        <v>1016</v>
      </c>
      <c r="AA4" s="1004" t="s">
        <v>1015</v>
      </c>
      <c r="AB4" s="1004" t="s">
        <v>1016</v>
      </c>
      <c r="AC4" s="1004" t="s">
        <v>1015</v>
      </c>
      <c r="AD4" s="1004" t="s">
        <v>1016</v>
      </c>
    </row>
    <row r="5" spans="1:30" s="337" customFormat="1">
      <c r="A5" s="1448" t="s">
        <v>1519</v>
      </c>
      <c r="B5" s="548">
        <f t="shared" ref="B5:B13" si="0">SUM(C5:D5)</f>
        <v>498</v>
      </c>
      <c r="C5" s="549">
        <f t="shared" ref="C5:D8" si="1">+E5+G5+I5+K5+M5+O5+Q5+S5+U5+W5+Y5+AA5+AC5</f>
        <v>488</v>
      </c>
      <c r="D5" s="549">
        <f t="shared" si="1"/>
        <v>10</v>
      </c>
      <c r="E5" s="352">
        <f>+[7]cons!D5</f>
        <v>19</v>
      </c>
      <c r="F5" s="466">
        <f>+[7]cons!E5</f>
        <v>0</v>
      </c>
      <c r="G5" s="352">
        <f>+[7]cons!F5</f>
        <v>49</v>
      </c>
      <c r="H5" s="466">
        <f>+[7]cons!G5</f>
        <v>0</v>
      </c>
      <c r="I5" s="352">
        <f>+[7]cons!H5</f>
        <v>21</v>
      </c>
      <c r="J5" s="466">
        <f>+[7]cons!I5</f>
        <v>0</v>
      </c>
      <c r="K5" s="352">
        <f>+[7]cons!J5</f>
        <v>33</v>
      </c>
      <c r="L5" s="466">
        <f>+[7]cons!K5</f>
        <v>0</v>
      </c>
      <c r="M5" s="352">
        <f>+[7]cons!L5</f>
        <v>29</v>
      </c>
      <c r="N5" s="466">
        <f>+[7]cons!M5</f>
        <v>0</v>
      </c>
      <c r="O5" s="352">
        <f>+[7]cons!N5</f>
        <v>13</v>
      </c>
      <c r="P5" s="466">
        <f>+[7]cons!O5</f>
        <v>0</v>
      </c>
      <c r="Q5" s="352">
        <f>+[7]cons!P5</f>
        <v>68</v>
      </c>
      <c r="R5" s="466">
        <f>+[7]cons!Q5</f>
        <v>0</v>
      </c>
      <c r="S5" s="352">
        <f>+[7]cons!R5</f>
        <v>114</v>
      </c>
      <c r="T5" s="466">
        <f>+[7]cons!S5</f>
        <v>0</v>
      </c>
      <c r="U5" s="352">
        <f>+[7]cons!T5</f>
        <v>29</v>
      </c>
      <c r="V5" s="466">
        <f>+[7]cons!U5</f>
        <v>10</v>
      </c>
      <c r="W5" s="352">
        <f>+[7]cons!V5</f>
        <v>33</v>
      </c>
      <c r="X5" s="466">
        <f>+[7]cons!W5</f>
        <v>0</v>
      </c>
      <c r="Y5" s="352">
        <f>+[7]cons!X5</f>
        <v>17</v>
      </c>
      <c r="Z5" s="466">
        <f>+[7]cons!Y5</f>
        <v>0</v>
      </c>
      <c r="AA5" s="352">
        <f>+[7]cons!Z5</f>
        <v>33</v>
      </c>
      <c r="AB5" s="466">
        <f>+[7]cons!AA5</f>
        <v>0</v>
      </c>
      <c r="AC5" s="352">
        <f>+[7]cons!AB5</f>
        <v>30</v>
      </c>
      <c r="AD5" s="466">
        <f>+[7]cons!AC5</f>
        <v>0</v>
      </c>
    </row>
    <row r="6" spans="1:30" s="337" customFormat="1">
      <c r="A6" s="1449" t="s">
        <v>1520</v>
      </c>
      <c r="B6" s="550">
        <f t="shared" si="0"/>
        <v>2645</v>
      </c>
      <c r="C6" s="549">
        <f t="shared" si="1"/>
        <v>3</v>
      </c>
      <c r="D6" s="549">
        <f t="shared" si="1"/>
        <v>2642</v>
      </c>
      <c r="E6" s="352">
        <f>+[7]cons!D6</f>
        <v>0</v>
      </c>
      <c r="F6" s="466">
        <f>+[7]cons!E6</f>
        <v>212</v>
      </c>
      <c r="G6" s="352">
        <f>+[7]cons!F6</f>
        <v>0</v>
      </c>
      <c r="H6" s="466">
        <f>+[7]cons!G6</f>
        <v>317</v>
      </c>
      <c r="I6" s="352">
        <f>+[7]cons!H6</f>
        <v>0</v>
      </c>
      <c r="J6" s="466">
        <f>+[7]cons!I6</f>
        <v>106</v>
      </c>
      <c r="K6" s="352">
        <f>+[7]cons!J6</f>
        <v>0</v>
      </c>
      <c r="L6" s="466">
        <f>+[7]cons!K6</f>
        <v>88</v>
      </c>
      <c r="M6" s="352">
        <f>+[7]cons!L6</f>
        <v>0</v>
      </c>
      <c r="N6" s="466">
        <f>+[7]cons!M6</f>
        <v>160</v>
      </c>
      <c r="O6" s="352">
        <f>+[7]cons!N6</f>
        <v>0</v>
      </c>
      <c r="P6" s="466">
        <f>+[7]cons!O6</f>
        <v>125</v>
      </c>
      <c r="Q6" s="352">
        <f>+[7]cons!P6</f>
        <v>0</v>
      </c>
      <c r="R6" s="466">
        <f>+[7]cons!Q6</f>
        <v>361</v>
      </c>
      <c r="S6" s="352">
        <f>+[7]cons!R6</f>
        <v>0</v>
      </c>
      <c r="T6" s="466">
        <f>+[7]cons!S6</f>
        <v>369</v>
      </c>
      <c r="U6" s="352">
        <f>+[7]cons!T6</f>
        <v>0</v>
      </c>
      <c r="V6" s="466">
        <f>+[7]cons!U6</f>
        <v>142</v>
      </c>
      <c r="W6" s="352">
        <f>+[7]cons!V6</f>
        <v>2</v>
      </c>
      <c r="X6" s="466">
        <f>+[7]cons!W6</f>
        <v>282</v>
      </c>
      <c r="Y6" s="352">
        <f>+[7]cons!X6</f>
        <v>0</v>
      </c>
      <c r="Z6" s="466">
        <f>+[7]cons!Y6</f>
        <v>85</v>
      </c>
      <c r="AA6" s="352">
        <f>+[7]cons!Z6</f>
        <v>1</v>
      </c>
      <c r="AB6" s="466">
        <f>+[7]cons!AA6</f>
        <v>184</v>
      </c>
      <c r="AC6" s="352">
        <f>+[7]cons!AB6</f>
        <v>0</v>
      </c>
      <c r="AD6" s="466">
        <f>+[7]cons!AC6</f>
        <v>211</v>
      </c>
    </row>
    <row r="7" spans="1:30" s="337" customFormat="1">
      <c r="A7" s="1449" t="s">
        <v>1521</v>
      </c>
      <c r="B7" s="550">
        <f t="shared" si="0"/>
        <v>0</v>
      </c>
      <c r="C7" s="549">
        <f t="shared" si="1"/>
        <v>0</v>
      </c>
      <c r="D7" s="549">
        <f t="shared" si="1"/>
        <v>0</v>
      </c>
      <c r="E7" s="352">
        <f>+[7]cons!D7</f>
        <v>0</v>
      </c>
      <c r="F7" s="466">
        <f>+[7]cons!E7</f>
        <v>0</v>
      </c>
      <c r="G7" s="352">
        <f>+[7]cons!F7</f>
        <v>0</v>
      </c>
      <c r="H7" s="466">
        <f>+[7]cons!G7</f>
        <v>0</v>
      </c>
      <c r="I7" s="352">
        <f>+[7]cons!H7</f>
        <v>0</v>
      </c>
      <c r="J7" s="466">
        <f>+[7]cons!I7</f>
        <v>0</v>
      </c>
      <c r="K7" s="352">
        <f>+[7]cons!J7</f>
        <v>0</v>
      </c>
      <c r="L7" s="466">
        <f>+[7]cons!K7</f>
        <v>0</v>
      </c>
      <c r="M7" s="352">
        <f>+[7]cons!L7</f>
        <v>0</v>
      </c>
      <c r="N7" s="466">
        <f>+[7]cons!M7</f>
        <v>0</v>
      </c>
      <c r="O7" s="352">
        <f>+[7]cons!N7</f>
        <v>0</v>
      </c>
      <c r="P7" s="466">
        <f>+[7]cons!O7</f>
        <v>0</v>
      </c>
      <c r="Q7" s="352">
        <f>+[7]cons!P7</f>
        <v>0</v>
      </c>
      <c r="R7" s="466">
        <f>+[7]cons!Q7</f>
        <v>0</v>
      </c>
      <c r="S7" s="352">
        <f>+[7]cons!R7</f>
        <v>0</v>
      </c>
      <c r="T7" s="466">
        <f>+[7]cons!S7</f>
        <v>0</v>
      </c>
      <c r="U7" s="352">
        <f>+[7]cons!T7</f>
        <v>0</v>
      </c>
      <c r="V7" s="466">
        <f>+[7]cons!U7</f>
        <v>0</v>
      </c>
      <c r="W7" s="352">
        <f>+[7]cons!V7</f>
        <v>0</v>
      </c>
      <c r="X7" s="466">
        <f>+[7]cons!W7</f>
        <v>0</v>
      </c>
      <c r="Y7" s="352">
        <f>+[7]cons!X7</f>
        <v>0</v>
      </c>
      <c r="Z7" s="466">
        <f>+[7]cons!Y7</f>
        <v>0</v>
      </c>
      <c r="AA7" s="352">
        <f>+[7]cons!Z7</f>
        <v>0</v>
      </c>
      <c r="AB7" s="466">
        <f>+[7]cons!AA7</f>
        <v>0</v>
      </c>
      <c r="AC7" s="352">
        <f>+[7]cons!AB7</f>
        <v>0</v>
      </c>
      <c r="AD7" s="466">
        <f>+[7]cons!AC7</f>
        <v>0</v>
      </c>
    </row>
    <row r="8" spans="1:30" s="337" customFormat="1">
      <c r="A8" s="1449" t="s">
        <v>1522</v>
      </c>
      <c r="B8" s="550">
        <f t="shared" si="0"/>
        <v>1</v>
      </c>
      <c r="C8" s="549">
        <f t="shared" si="1"/>
        <v>1</v>
      </c>
      <c r="D8" s="549">
        <f t="shared" si="1"/>
        <v>0</v>
      </c>
      <c r="E8" s="352">
        <f>+[7]cons!D8</f>
        <v>0</v>
      </c>
      <c r="F8" s="466">
        <f>+[7]cons!E8</f>
        <v>0</v>
      </c>
      <c r="G8" s="352">
        <f>+[7]cons!F8</f>
        <v>0</v>
      </c>
      <c r="H8" s="466">
        <f>+[7]cons!G8</f>
        <v>0</v>
      </c>
      <c r="I8" s="352">
        <f>+[7]cons!H8</f>
        <v>0</v>
      </c>
      <c r="J8" s="466">
        <f>+[7]cons!I8</f>
        <v>0</v>
      </c>
      <c r="K8" s="352">
        <f>+[7]cons!J8</f>
        <v>0</v>
      </c>
      <c r="L8" s="466">
        <f>+[7]cons!K8</f>
        <v>0</v>
      </c>
      <c r="M8" s="352">
        <f>+[7]cons!L8</f>
        <v>1</v>
      </c>
      <c r="N8" s="466">
        <f>+[7]cons!M8</f>
        <v>0</v>
      </c>
      <c r="O8" s="352">
        <f>+[7]cons!N8</f>
        <v>0</v>
      </c>
      <c r="P8" s="466">
        <f>+[7]cons!O8</f>
        <v>0</v>
      </c>
      <c r="Q8" s="352">
        <f>+[7]cons!P8</f>
        <v>0</v>
      </c>
      <c r="R8" s="466">
        <f>+[7]cons!Q8</f>
        <v>0</v>
      </c>
      <c r="S8" s="352">
        <f>+[7]cons!R8</f>
        <v>0</v>
      </c>
      <c r="T8" s="466">
        <f>+[7]cons!S8</f>
        <v>0</v>
      </c>
      <c r="U8" s="352">
        <f>+[7]cons!T8</f>
        <v>0</v>
      </c>
      <c r="V8" s="466">
        <f>+[7]cons!U8</f>
        <v>0</v>
      </c>
      <c r="W8" s="352">
        <f>+[7]cons!V8</f>
        <v>0</v>
      </c>
      <c r="X8" s="466">
        <f>+[7]cons!W8</f>
        <v>0</v>
      </c>
      <c r="Y8" s="352">
        <f>+[7]cons!X8</f>
        <v>0</v>
      </c>
      <c r="Z8" s="466">
        <f>+[7]cons!Y8</f>
        <v>0</v>
      </c>
      <c r="AA8" s="352">
        <f>+[7]cons!Z8</f>
        <v>0</v>
      </c>
      <c r="AB8" s="466">
        <f>+[7]cons!AA8</f>
        <v>0</v>
      </c>
      <c r="AC8" s="352">
        <f>+[7]cons!AB8</f>
        <v>0</v>
      </c>
      <c r="AD8" s="466">
        <f>+[7]cons!AC8</f>
        <v>0</v>
      </c>
    </row>
    <row r="9" spans="1:30" s="337" customFormat="1">
      <c r="A9" s="1449" t="s">
        <v>1523</v>
      </c>
      <c r="B9" s="550">
        <f t="shared" si="0"/>
        <v>2</v>
      </c>
      <c r="C9" s="549">
        <f t="shared" ref="C9:D13" si="2">+E9+G9+I9+K9+M9+O9+Q9+S9+U9+W9+Y9+AA9+AC9</f>
        <v>0</v>
      </c>
      <c r="D9" s="549">
        <f t="shared" si="2"/>
        <v>2</v>
      </c>
      <c r="E9" s="352">
        <f>+[7]cons!D9</f>
        <v>0</v>
      </c>
      <c r="F9" s="466">
        <f>+[7]cons!E9</f>
        <v>0</v>
      </c>
      <c r="G9" s="352">
        <f>+[7]cons!F9</f>
        <v>0</v>
      </c>
      <c r="H9" s="466">
        <f>+[7]cons!G9</f>
        <v>1</v>
      </c>
      <c r="I9" s="352">
        <f>+[7]cons!H9</f>
        <v>0</v>
      </c>
      <c r="J9" s="466">
        <f>+[7]cons!I9</f>
        <v>0</v>
      </c>
      <c r="K9" s="352">
        <f>+[7]cons!J9</f>
        <v>0</v>
      </c>
      <c r="L9" s="466">
        <f>+[7]cons!K9</f>
        <v>1</v>
      </c>
      <c r="M9" s="352">
        <f>+[7]cons!L9</f>
        <v>0</v>
      </c>
      <c r="N9" s="466">
        <f>+[7]cons!M9</f>
        <v>0</v>
      </c>
      <c r="O9" s="352">
        <f>+[7]cons!N9</f>
        <v>0</v>
      </c>
      <c r="P9" s="466">
        <f>+[7]cons!O9</f>
        <v>0</v>
      </c>
      <c r="Q9" s="352">
        <f>+[7]cons!P9</f>
        <v>0</v>
      </c>
      <c r="R9" s="466">
        <f>+[7]cons!Q9</f>
        <v>0</v>
      </c>
      <c r="S9" s="352">
        <f>+[7]cons!R9</f>
        <v>0</v>
      </c>
      <c r="T9" s="466">
        <f>+[7]cons!S9</f>
        <v>0</v>
      </c>
      <c r="U9" s="352">
        <f>+[7]cons!T9</f>
        <v>0</v>
      </c>
      <c r="V9" s="466">
        <f>+[7]cons!U9</f>
        <v>0</v>
      </c>
      <c r="W9" s="352">
        <f>+[7]cons!V9</f>
        <v>0</v>
      </c>
      <c r="X9" s="466">
        <f>+[7]cons!W9</f>
        <v>0</v>
      </c>
      <c r="Y9" s="352">
        <f>+[7]cons!X9</f>
        <v>0</v>
      </c>
      <c r="Z9" s="466">
        <f>+[7]cons!Y9</f>
        <v>0</v>
      </c>
      <c r="AA9" s="352">
        <f>+[7]cons!Z9</f>
        <v>0</v>
      </c>
      <c r="AB9" s="466">
        <f>+[7]cons!AA9</f>
        <v>0</v>
      </c>
      <c r="AC9" s="352">
        <f>+[7]cons!AB9</f>
        <v>0</v>
      </c>
      <c r="AD9" s="466">
        <f>+[7]cons!AC9</f>
        <v>0</v>
      </c>
    </row>
    <row r="10" spans="1:30" s="337" customFormat="1">
      <c r="A10" s="1449" t="s">
        <v>1524</v>
      </c>
      <c r="B10" s="550">
        <f t="shared" si="0"/>
        <v>1</v>
      </c>
      <c r="C10" s="549">
        <f t="shared" si="2"/>
        <v>1</v>
      </c>
      <c r="D10" s="549">
        <f t="shared" si="2"/>
        <v>0</v>
      </c>
      <c r="E10" s="352">
        <f>+[7]cons!D10</f>
        <v>0</v>
      </c>
      <c r="F10" s="466">
        <f>+[7]cons!E10</f>
        <v>0</v>
      </c>
      <c r="G10" s="352">
        <f>+[7]cons!F10</f>
        <v>0</v>
      </c>
      <c r="H10" s="466">
        <f>+[7]cons!G10</f>
        <v>0</v>
      </c>
      <c r="I10" s="352">
        <f>+[7]cons!H10</f>
        <v>0</v>
      </c>
      <c r="J10" s="466">
        <f>+[7]cons!I10</f>
        <v>0</v>
      </c>
      <c r="K10" s="352">
        <f>+[7]cons!J10</f>
        <v>1</v>
      </c>
      <c r="L10" s="466">
        <f>+[7]cons!K10</f>
        <v>0</v>
      </c>
      <c r="M10" s="352">
        <f>+[7]cons!L10</f>
        <v>0</v>
      </c>
      <c r="N10" s="466">
        <f>+[7]cons!M10</f>
        <v>0</v>
      </c>
      <c r="O10" s="352">
        <f>+[7]cons!N10</f>
        <v>0</v>
      </c>
      <c r="P10" s="466">
        <f>+[7]cons!O10</f>
        <v>0</v>
      </c>
      <c r="Q10" s="352">
        <f>+[7]cons!P10</f>
        <v>0</v>
      </c>
      <c r="R10" s="466">
        <f>+[7]cons!Q10</f>
        <v>0</v>
      </c>
      <c r="S10" s="352">
        <f>+[7]cons!R10</f>
        <v>0</v>
      </c>
      <c r="T10" s="466">
        <f>+[7]cons!S10</f>
        <v>0</v>
      </c>
      <c r="U10" s="352">
        <f>+[7]cons!T10</f>
        <v>0</v>
      </c>
      <c r="V10" s="466">
        <f>+[7]cons!U10</f>
        <v>0</v>
      </c>
      <c r="W10" s="352">
        <f>+[7]cons!V10</f>
        <v>0</v>
      </c>
      <c r="X10" s="466">
        <f>+[7]cons!W10</f>
        <v>0</v>
      </c>
      <c r="Y10" s="352">
        <f>+[7]cons!X10</f>
        <v>0</v>
      </c>
      <c r="Z10" s="466">
        <f>+[7]cons!Y10</f>
        <v>0</v>
      </c>
      <c r="AA10" s="352">
        <f>+[7]cons!Z10</f>
        <v>0</v>
      </c>
      <c r="AB10" s="466">
        <f>+[7]cons!AA10</f>
        <v>0</v>
      </c>
      <c r="AC10" s="352">
        <f>+[7]cons!AB10</f>
        <v>0</v>
      </c>
      <c r="AD10" s="466">
        <f>+[7]cons!AC10</f>
        <v>0</v>
      </c>
    </row>
    <row r="11" spans="1:30" s="337" customFormat="1">
      <c r="A11" s="1449" t="s">
        <v>1665</v>
      </c>
      <c r="B11" s="550">
        <f t="shared" si="0"/>
        <v>0</v>
      </c>
      <c r="C11" s="549">
        <f t="shared" si="2"/>
        <v>0</v>
      </c>
      <c r="D11" s="549">
        <f t="shared" si="2"/>
        <v>0</v>
      </c>
      <c r="E11" s="352">
        <f>+[7]cons!D11</f>
        <v>0</v>
      </c>
      <c r="F11" s="466">
        <f>+[7]cons!E11</f>
        <v>0</v>
      </c>
      <c r="G11" s="352">
        <f>+[7]cons!F11</f>
        <v>0</v>
      </c>
      <c r="H11" s="466">
        <f>+[7]cons!G11</f>
        <v>0</v>
      </c>
      <c r="I11" s="352">
        <f>+[7]cons!H11</f>
        <v>0</v>
      </c>
      <c r="J11" s="466">
        <f>+[7]cons!I11</f>
        <v>0</v>
      </c>
      <c r="K11" s="352">
        <f>+[7]cons!J11</f>
        <v>0</v>
      </c>
      <c r="L11" s="466">
        <f>+[7]cons!K11</f>
        <v>0</v>
      </c>
      <c r="M11" s="352">
        <f>+[7]cons!L11</f>
        <v>0</v>
      </c>
      <c r="N11" s="466">
        <f>+[7]cons!M11</f>
        <v>0</v>
      </c>
      <c r="O11" s="352">
        <f>+[7]cons!N11</f>
        <v>0</v>
      </c>
      <c r="P11" s="466">
        <f>+[7]cons!O11</f>
        <v>0</v>
      </c>
      <c r="Q11" s="352">
        <f>+[7]cons!P11</f>
        <v>0</v>
      </c>
      <c r="R11" s="466">
        <f>+[7]cons!Q11</f>
        <v>0</v>
      </c>
      <c r="S11" s="352">
        <f>+[7]cons!R11</f>
        <v>0</v>
      </c>
      <c r="T11" s="466">
        <f>+[7]cons!S11</f>
        <v>0</v>
      </c>
      <c r="U11" s="352">
        <f>+[7]cons!T11</f>
        <v>0</v>
      </c>
      <c r="V11" s="466">
        <f>+[7]cons!U11</f>
        <v>0</v>
      </c>
      <c r="W11" s="352">
        <f>+[7]cons!V11</f>
        <v>0</v>
      </c>
      <c r="X11" s="466">
        <f>+[7]cons!W11</f>
        <v>0</v>
      </c>
      <c r="Y11" s="352">
        <f>+[7]cons!X11</f>
        <v>0</v>
      </c>
      <c r="Z11" s="466">
        <f>+[7]cons!Y11</f>
        <v>0</v>
      </c>
      <c r="AA11" s="352">
        <f>+[7]cons!Z11</f>
        <v>0</v>
      </c>
      <c r="AB11" s="466">
        <f>+[7]cons!AA11</f>
        <v>0</v>
      </c>
      <c r="AC11" s="352">
        <f>+[7]cons!AB11</f>
        <v>0</v>
      </c>
      <c r="AD11" s="466">
        <f>+[7]cons!AC11</f>
        <v>0</v>
      </c>
    </row>
    <row r="12" spans="1:30" s="337" customFormat="1">
      <c r="A12" s="1449" t="s">
        <v>1525</v>
      </c>
      <c r="B12" s="550">
        <f t="shared" si="0"/>
        <v>0</v>
      </c>
      <c r="C12" s="549">
        <f t="shared" si="2"/>
        <v>0</v>
      </c>
      <c r="D12" s="549">
        <f t="shared" si="2"/>
        <v>0</v>
      </c>
      <c r="E12" s="352">
        <f>+[7]cons!D12</f>
        <v>0</v>
      </c>
      <c r="F12" s="466">
        <f>+[7]cons!E12</f>
        <v>0</v>
      </c>
      <c r="G12" s="352">
        <f>+[7]cons!F12</f>
        <v>0</v>
      </c>
      <c r="H12" s="466">
        <f>+[7]cons!G12</f>
        <v>0</v>
      </c>
      <c r="I12" s="352">
        <f>+[7]cons!H12</f>
        <v>0</v>
      </c>
      <c r="J12" s="466">
        <f>+[7]cons!I12</f>
        <v>0</v>
      </c>
      <c r="K12" s="352">
        <f>+[7]cons!J12</f>
        <v>0</v>
      </c>
      <c r="L12" s="466">
        <f>+[7]cons!K12</f>
        <v>0</v>
      </c>
      <c r="M12" s="352">
        <f>+[7]cons!L12</f>
        <v>0</v>
      </c>
      <c r="N12" s="466">
        <f>+[7]cons!M12</f>
        <v>0</v>
      </c>
      <c r="O12" s="352">
        <f>+[7]cons!N12</f>
        <v>0</v>
      </c>
      <c r="P12" s="466">
        <f>+[7]cons!O12</f>
        <v>0</v>
      </c>
      <c r="Q12" s="352">
        <f>+[7]cons!P12</f>
        <v>0</v>
      </c>
      <c r="R12" s="466">
        <f>+[7]cons!Q12</f>
        <v>0</v>
      </c>
      <c r="S12" s="352">
        <f>+[7]cons!R12</f>
        <v>0</v>
      </c>
      <c r="T12" s="466">
        <f>+[7]cons!S12</f>
        <v>0</v>
      </c>
      <c r="U12" s="352">
        <f>+[7]cons!T12</f>
        <v>0</v>
      </c>
      <c r="V12" s="466">
        <f>+[7]cons!U12</f>
        <v>0</v>
      </c>
      <c r="W12" s="352">
        <f>+[7]cons!V12</f>
        <v>0</v>
      </c>
      <c r="X12" s="466">
        <f>+[7]cons!W12</f>
        <v>0</v>
      </c>
      <c r="Y12" s="352">
        <f>+[7]cons!X12</f>
        <v>0</v>
      </c>
      <c r="Z12" s="466">
        <f>+[7]cons!Y12</f>
        <v>0</v>
      </c>
      <c r="AA12" s="352">
        <f>+[7]cons!Z12</f>
        <v>0</v>
      </c>
      <c r="AB12" s="466">
        <f>+[7]cons!AA12</f>
        <v>0</v>
      </c>
      <c r="AC12" s="352">
        <f>+[7]cons!AB12</f>
        <v>0</v>
      </c>
      <c r="AD12" s="466">
        <f>+[7]cons!AC12</f>
        <v>0</v>
      </c>
    </row>
    <row r="13" spans="1:30" s="337" customFormat="1">
      <c r="A13" s="1449" t="s">
        <v>1526</v>
      </c>
      <c r="B13" s="550">
        <f t="shared" si="0"/>
        <v>0</v>
      </c>
      <c r="C13" s="549">
        <f t="shared" si="2"/>
        <v>0</v>
      </c>
      <c r="D13" s="549">
        <f t="shared" si="2"/>
        <v>0</v>
      </c>
      <c r="E13" s="352">
        <f>+[7]cons!D13</f>
        <v>0</v>
      </c>
      <c r="F13" s="466">
        <f>+[7]cons!E13</f>
        <v>0</v>
      </c>
      <c r="G13" s="352">
        <f>+[7]cons!F13</f>
        <v>0</v>
      </c>
      <c r="H13" s="466">
        <f>+[7]cons!G13</f>
        <v>0</v>
      </c>
      <c r="I13" s="352">
        <f>+[7]cons!H13</f>
        <v>0</v>
      </c>
      <c r="J13" s="466">
        <f>+[7]cons!I13</f>
        <v>0</v>
      </c>
      <c r="K13" s="352">
        <f>+[7]cons!J13</f>
        <v>0</v>
      </c>
      <c r="L13" s="466">
        <f>+[7]cons!K13</f>
        <v>0</v>
      </c>
      <c r="M13" s="352">
        <f>+[7]cons!L13</f>
        <v>0</v>
      </c>
      <c r="N13" s="466">
        <f>+[7]cons!M13</f>
        <v>0</v>
      </c>
      <c r="O13" s="352">
        <f>+[7]cons!N13</f>
        <v>0</v>
      </c>
      <c r="P13" s="466">
        <f>+[7]cons!O13</f>
        <v>0</v>
      </c>
      <c r="Q13" s="352">
        <f>+[7]cons!P13</f>
        <v>0</v>
      </c>
      <c r="R13" s="466">
        <f>+[7]cons!Q13</f>
        <v>0</v>
      </c>
      <c r="S13" s="352">
        <f>+[7]cons!R13</f>
        <v>0</v>
      </c>
      <c r="T13" s="466">
        <f>+[7]cons!S13</f>
        <v>0</v>
      </c>
      <c r="U13" s="352">
        <f>+[7]cons!T13</f>
        <v>0</v>
      </c>
      <c r="V13" s="466">
        <f>+[7]cons!U13</f>
        <v>0</v>
      </c>
      <c r="W13" s="352">
        <f>+[7]cons!V13</f>
        <v>0</v>
      </c>
      <c r="X13" s="466">
        <f>+[7]cons!W13</f>
        <v>0</v>
      </c>
      <c r="Y13" s="352">
        <f>+[7]cons!X13</f>
        <v>0</v>
      </c>
      <c r="Z13" s="466">
        <f>+[7]cons!Y13</f>
        <v>0</v>
      </c>
      <c r="AA13" s="352">
        <f>+[7]cons!Z13</f>
        <v>0</v>
      </c>
      <c r="AB13" s="466">
        <f>+[7]cons!AA13</f>
        <v>0</v>
      </c>
      <c r="AC13" s="352">
        <f>+[7]cons!AB13</f>
        <v>0</v>
      </c>
      <c r="AD13" s="466">
        <f>+[7]cons!AC13</f>
        <v>0</v>
      </c>
    </row>
    <row r="14" spans="1:30" s="337" customFormat="1">
      <c r="A14" s="1449" t="s">
        <v>1527</v>
      </c>
      <c r="B14" s="550">
        <f t="shared" ref="B14:B59" si="3">SUM(C14:D14)</f>
        <v>0</v>
      </c>
      <c r="C14" s="549">
        <f t="shared" ref="C14:C36" si="4">+E14+G14+I14+K14+M14+O14+Q14+S14+U14+W14+Y14+AA14+AC14</f>
        <v>0</v>
      </c>
      <c r="D14" s="549">
        <f t="shared" ref="D14:D36" si="5">+F14+H14+J14+L14+N14+P14+R14+T14+V14+X14+Z14+AB14+AD14</f>
        <v>0</v>
      </c>
      <c r="E14" s="352">
        <f>+[7]cons!D14</f>
        <v>0</v>
      </c>
      <c r="F14" s="466">
        <f>+[7]cons!E14</f>
        <v>0</v>
      </c>
      <c r="G14" s="352">
        <f>+[7]cons!F14</f>
        <v>0</v>
      </c>
      <c r="H14" s="466">
        <f>+[7]cons!G14</f>
        <v>0</v>
      </c>
      <c r="I14" s="352">
        <f>+[7]cons!H14</f>
        <v>0</v>
      </c>
      <c r="J14" s="466">
        <f>+[7]cons!I14</f>
        <v>0</v>
      </c>
      <c r="K14" s="352">
        <f>+[7]cons!J14</f>
        <v>0</v>
      </c>
      <c r="L14" s="466">
        <f>+[7]cons!K14</f>
        <v>0</v>
      </c>
      <c r="M14" s="352">
        <f>+[7]cons!L14</f>
        <v>0</v>
      </c>
      <c r="N14" s="466">
        <f>+[7]cons!M14</f>
        <v>0</v>
      </c>
      <c r="O14" s="352">
        <f>+[7]cons!N14</f>
        <v>0</v>
      </c>
      <c r="P14" s="466">
        <f>+[7]cons!O14</f>
        <v>0</v>
      </c>
      <c r="Q14" s="352">
        <f>+[7]cons!P14</f>
        <v>0</v>
      </c>
      <c r="R14" s="466">
        <f>+[7]cons!Q14</f>
        <v>0</v>
      </c>
      <c r="S14" s="352">
        <f>+[7]cons!R14</f>
        <v>0</v>
      </c>
      <c r="T14" s="466">
        <f>+[7]cons!S14</f>
        <v>0</v>
      </c>
      <c r="U14" s="352">
        <f>+[7]cons!T14</f>
        <v>0</v>
      </c>
      <c r="V14" s="466">
        <f>+[7]cons!U14</f>
        <v>0</v>
      </c>
      <c r="W14" s="352">
        <f>+[7]cons!V14</f>
        <v>0</v>
      </c>
      <c r="X14" s="466">
        <f>+[7]cons!W14</f>
        <v>0</v>
      </c>
      <c r="Y14" s="352">
        <f>+[7]cons!X14</f>
        <v>0</v>
      </c>
      <c r="Z14" s="466">
        <f>+[7]cons!Y14</f>
        <v>0</v>
      </c>
      <c r="AA14" s="352">
        <f>+[7]cons!Z14</f>
        <v>0</v>
      </c>
      <c r="AB14" s="466">
        <f>+[7]cons!AA14</f>
        <v>0</v>
      </c>
      <c r="AC14" s="352">
        <f>+[7]cons!AB14</f>
        <v>0</v>
      </c>
      <c r="AD14" s="466">
        <f>+[7]cons!AC14</f>
        <v>0</v>
      </c>
    </row>
    <row r="15" spans="1:30" s="337" customFormat="1">
      <c r="A15" s="1449" t="s">
        <v>1528</v>
      </c>
      <c r="B15" s="550">
        <f t="shared" si="3"/>
        <v>2</v>
      </c>
      <c r="C15" s="549">
        <f t="shared" si="4"/>
        <v>0</v>
      </c>
      <c r="D15" s="549">
        <f t="shared" si="5"/>
        <v>2</v>
      </c>
      <c r="E15" s="352">
        <f>+[7]cons!D15</f>
        <v>0</v>
      </c>
      <c r="F15" s="466">
        <f>+[7]cons!E15</f>
        <v>0</v>
      </c>
      <c r="G15" s="352">
        <f>+[7]cons!F15</f>
        <v>0</v>
      </c>
      <c r="H15" s="466">
        <f>+[7]cons!G15</f>
        <v>1</v>
      </c>
      <c r="I15" s="352">
        <f>+[7]cons!H15</f>
        <v>0</v>
      </c>
      <c r="J15" s="466">
        <f>+[7]cons!I15</f>
        <v>0</v>
      </c>
      <c r="K15" s="352">
        <f>+[7]cons!J15</f>
        <v>0</v>
      </c>
      <c r="L15" s="466">
        <f>+[7]cons!K15</f>
        <v>0</v>
      </c>
      <c r="M15" s="352">
        <f>+[7]cons!L15</f>
        <v>0</v>
      </c>
      <c r="N15" s="466">
        <f>+[7]cons!M15</f>
        <v>0</v>
      </c>
      <c r="O15" s="352">
        <f>+[7]cons!N15</f>
        <v>0</v>
      </c>
      <c r="P15" s="466">
        <f>+[7]cons!O15</f>
        <v>1</v>
      </c>
      <c r="Q15" s="352">
        <f>+[7]cons!P15</f>
        <v>0</v>
      </c>
      <c r="R15" s="466">
        <f>+[7]cons!Q15</f>
        <v>0</v>
      </c>
      <c r="S15" s="352">
        <f>+[7]cons!R15</f>
        <v>0</v>
      </c>
      <c r="T15" s="466">
        <f>+[7]cons!S15</f>
        <v>0</v>
      </c>
      <c r="U15" s="352">
        <f>+[7]cons!T15</f>
        <v>0</v>
      </c>
      <c r="V15" s="466">
        <f>+[7]cons!U15</f>
        <v>0</v>
      </c>
      <c r="W15" s="352">
        <f>+[7]cons!V15</f>
        <v>0</v>
      </c>
      <c r="X15" s="466">
        <f>+[7]cons!W15</f>
        <v>0</v>
      </c>
      <c r="Y15" s="352">
        <f>+[7]cons!X15</f>
        <v>0</v>
      </c>
      <c r="Z15" s="466">
        <f>+[7]cons!Y15</f>
        <v>0</v>
      </c>
      <c r="AA15" s="352">
        <f>+[7]cons!Z15</f>
        <v>0</v>
      </c>
      <c r="AB15" s="466">
        <f>+[7]cons!AA15</f>
        <v>0</v>
      </c>
      <c r="AC15" s="352">
        <f>+[7]cons!AB15</f>
        <v>0</v>
      </c>
      <c r="AD15" s="466">
        <f>+[7]cons!AC15</f>
        <v>0</v>
      </c>
    </row>
    <row r="16" spans="1:30" s="337" customFormat="1">
      <c r="A16" s="1449" t="s">
        <v>1529</v>
      </c>
      <c r="B16" s="550">
        <f t="shared" si="3"/>
        <v>0</v>
      </c>
      <c r="C16" s="549">
        <f t="shared" si="4"/>
        <v>0</v>
      </c>
      <c r="D16" s="549">
        <f t="shared" si="5"/>
        <v>0</v>
      </c>
      <c r="E16" s="352">
        <f>+[7]cons!D16</f>
        <v>0</v>
      </c>
      <c r="F16" s="466">
        <f>+[7]cons!E16</f>
        <v>0</v>
      </c>
      <c r="G16" s="352">
        <f>+[7]cons!F16</f>
        <v>0</v>
      </c>
      <c r="H16" s="466">
        <f>+[7]cons!G16</f>
        <v>0</v>
      </c>
      <c r="I16" s="352">
        <f>+[7]cons!H16</f>
        <v>0</v>
      </c>
      <c r="J16" s="466">
        <f>+[7]cons!I16</f>
        <v>0</v>
      </c>
      <c r="K16" s="352">
        <f>+[7]cons!J16</f>
        <v>0</v>
      </c>
      <c r="L16" s="466">
        <f>+[7]cons!K16</f>
        <v>0</v>
      </c>
      <c r="M16" s="352">
        <f>+[7]cons!L16</f>
        <v>0</v>
      </c>
      <c r="N16" s="466">
        <f>+[7]cons!M16</f>
        <v>0</v>
      </c>
      <c r="O16" s="352">
        <f>+[7]cons!N16</f>
        <v>0</v>
      </c>
      <c r="P16" s="466">
        <f>+[7]cons!O16</f>
        <v>0</v>
      </c>
      <c r="Q16" s="352">
        <f>+[7]cons!P16</f>
        <v>0</v>
      </c>
      <c r="R16" s="466">
        <f>+[7]cons!Q16</f>
        <v>0</v>
      </c>
      <c r="S16" s="352">
        <f>+[7]cons!R16</f>
        <v>0</v>
      </c>
      <c r="T16" s="466">
        <f>+[7]cons!S16</f>
        <v>0</v>
      </c>
      <c r="U16" s="352">
        <f>+[7]cons!T16</f>
        <v>0</v>
      </c>
      <c r="V16" s="466">
        <f>+[7]cons!U16</f>
        <v>0</v>
      </c>
      <c r="W16" s="352">
        <f>+[7]cons!V16</f>
        <v>0</v>
      </c>
      <c r="X16" s="466">
        <f>+[7]cons!W16</f>
        <v>0</v>
      </c>
      <c r="Y16" s="352">
        <f>+[7]cons!X16</f>
        <v>0</v>
      </c>
      <c r="Z16" s="466">
        <f>+[7]cons!Y16</f>
        <v>0</v>
      </c>
      <c r="AA16" s="352">
        <f>+[7]cons!Z16</f>
        <v>0</v>
      </c>
      <c r="AB16" s="466">
        <f>+[7]cons!AA16</f>
        <v>0</v>
      </c>
      <c r="AC16" s="352">
        <f>+[7]cons!AB16</f>
        <v>0</v>
      </c>
      <c r="AD16" s="466">
        <f>+[7]cons!AC16</f>
        <v>0</v>
      </c>
    </row>
    <row r="17" spans="1:30" s="337" customFormat="1">
      <c r="A17" s="1449" t="s">
        <v>1530</v>
      </c>
      <c r="B17" s="550">
        <f t="shared" si="3"/>
        <v>0</v>
      </c>
      <c r="C17" s="549">
        <f t="shared" si="4"/>
        <v>0</v>
      </c>
      <c r="D17" s="549">
        <f t="shared" si="5"/>
        <v>0</v>
      </c>
      <c r="E17" s="352">
        <f>+[7]cons!D17</f>
        <v>0</v>
      </c>
      <c r="F17" s="466">
        <f>+[7]cons!E17</f>
        <v>0</v>
      </c>
      <c r="G17" s="352">
        <f>+[7]cons!F17</f>
        <v>0</v>
      </c>
      <c r="H17" s="466">
        <f>+[7]cons!G17</f>
        <v>0</v>
      </c>
      <c r="I17" s="352">
        <f>+[7]cons!H17</f>
        <v>0</v>
      </c>
      <c r="J17" s="466">
        <f>+[7]cons!I17</f>
        <v>0</v>
      </c>
      <c r="K17" s="352">
        <f>+[7]cons!J17</f>
        <v>0</v>
      </c>
      <c r="L17" s="466">
        <f>+[7]cons!K17</f>
        <v>0</v>
      </c>
      <c r="M17" s="352">
        <f>+[7]cons!L17</f>
        <v>0</v>
      </c>
      <c r="N17" s="466">
        <f>+[7]cons!M17</f>
        <v>0</v>
      </c>
      <c r="O17" s="352">
        <f>+[7]cons!N17</f>
        <v>0</v>
      </c>
      <c r="P17" s="466">
        <f>+[7]cons!O17</f>
        <v>0</v>
      </c>
      <c r="Q17" s="352">
        <f>+[7]cons!P17</f>
        <v>0</v>
      </c>
      <c r="R17" s="466">
        <f>+[7]cons!Q17</f>
        <v>0</v>
      </c>
      <c r="S17" s="352">
        <f>+[7]cons!R17</f>
        <v>0</v>
      </c>
      <c r="T17" s="466">
        <f>+[7]cons!S17</f>
        <v>0</v>
      </c>
      <c r="U17" s="352">
        <f>+[7]cons!T17</f>
        <v>0</v>
      </c>
      <c r="V17" s="466">
        <f>+[7]cons!U17</f>
        <v>0</v>
      </c>
      <c r="W17" s="352">
        <f>+[7]cons!V17</f>
        <v>0</v>
      </c>
      <c r="X17" s="466">
        <f>+[7]cons!W17</f>
        <v>0</v>
      </c>
      <c r="Y17" s="352">
        <f>+[7]cons!X17</f>
        <v>0</v>
      </c>
      <c r="Z17" s="466">
        <f>+[7]cons!Y17</f>
        <v>0</v>
      </c>
      <c r="AA17" s="352">
        <f>+[7]cons!Z17</f>
        <v>0</v>
      </c>
      <c r="AB17" s="466">
        <f>+[7]cons!AA17</f>
        <v>0</v>
      </c>
      <c r="AC17" s="352">
        <f>+[7]cons!AB17</f>
        <v>0</v>
      </c>
      <c r="AD17" s="466">
        <f>+[7]cons!AC17</f>
        <v>0</v>
      </c>
    </row>
    <row r="18" spans="1:30" s="337" customFormat="1">
      <c r="A18" s="1449" t="s">
        <v>1666</v>
      </c>
      <c r="B18" s="550">
        <f t="shared" si="3"/>
        <v>0</v>
      </c>
      <c r="C18" s="549">
        <f t="shared" si="4"/>
        <v>0</v>
      </c>
      <c r="D18" s="549">
        <f t="shared" si="5"/>
        <v>0</v>
      </c>
      <c r="E18" s="352">
        <f>+[7]cons!D18</f>
        <v>0</v>
      </c>
      <c r="F18" s="466">
        <f>+[7]cons!E18</f>
        <v>0</v>
      </c>
      <c r="G18" s="352">
        <f>+[7]cons!F18</f>
        <v>0</v>
      </c>
      <c r="H18" s="466">
        <f>+[7]cons!G18</f>
        <v>0</v>
      </c>
      <c r="I18" s="352">
        <f>+[7]cons!H18</f>
        <v>0</v>
      </c>
      <c r="J18" s="466">
        <f>+[7]cons!I18</f>
        <v>0</v>
      </c>
      <c r="K18" s="352">
        <f>+[7]cons!J18</f>
        <v>0</v>
      </c>
      <c r="L18" s="466">
        <f>+[7]cons!K18</f>
        <v>0</v>
      </c>
      <c r="M18" s="352">
        <f>+[7]cons!L18</f>
        <v>0</v>
      </c>
      <c r="N18" s="466">
        <f>+[7]cons!M18</f>
        <v>0</v>
      </c>
      <c r="O18" s="352">
        <f>+[7]cons!N18</f>
        <v>0</v>
      </c>
      <c r="P18" s="466">
        <f>+[7]cons!O18</f>
        <v>0</v>
      </c>
      <c r="Q18" s="352">
        <f>+[7]cons!P18</f>
        <v>0</v>
      </c>
      <c r="R18" s="466">
        <f>+[7]cons!Q18</f>
        <v>0</v>
      </c>
      <c r="S18" s="352">
        <f>+[7]cons!R18</f>
        <v>0</v>
      </c>
      <c r="T18" s="466">
        <f>+[7]cons!S18</f>
        <v>0</v>
      </c>
      <c r="U18" s="352">
        <f>+[7]cons!T18</f>
        <v>0</v>
      </c>
      <c r="V18" s="466">
        <f>+[7]cons!U18</f>
        <v>0</v>
      </c>
      <c r="W18" s="352">
        <f>+[7]cons!V18</f>
        <v>0</v>
      </c>
      <c r="X18" s="466">
        <f>+[7]cons!W18</f>
        <v>0</v>
      </c>
      <c r="Y18" s="352">
        <f>+[7]cons!X18</f>
        <v>0</v>
      </c>
      <c r="Z18" s="466">
        <f>+[7]cons!Y18</f>
        <v>0</v>
      </c>
      <c r="AA18" s="352">
        <f>+[7]cons!Z18</f>
        <v>0</v>
      </c>
      <c r="AB18" s="466">
        <f>+[7]cons!AA18</f>
        <v>0</v>
      </c>
      <c r="AC18" s="352">
        <f>+[7]cons!AB18</f>
        <v>0</v>
      </c>
      <c r="AD18" s="466">
        <f>+[7]cons!AC18</f>
        <v>0</v>
      </c>
    </row>
    <row r="19" spans="1:30" s="337" customFormat="1">
      <c r="A19" s="1449" t="s">
        <v>1531</v>
      </c>
      <c r="B19" s="550">
        <f t="shared" si="3"/>
        <v>1</v>
      </c>
      <c r="C19" s="549">
        <f t="shared" si="4"/>
        <v>1</v>
      </c>
      <c r="D19" s="549">
        <f t="shared" si="5"/>
        <v>0</v>
      </c>
      <c r="E19" s="352">
        <f>+[7]cons!D19</f>
        <v>0</v>
      </c>
      <c r="F19" s="466">
        <f>+[7]cons!E19</f>
        <v>0</v>
      </c>
      <c r="G19" s="352">
        <f>+[7]cons!F19</f>
        <v>0</v>
      </c>
      <c r="H19" s="466">
        <f>+[7]cons!G19</f>
        <v>0</v>
      </c>
      <c r="I19" s="352">
        <f>+[7]cons!H19</f>
        <v>0</v>
      </c>
      <c r="J19" s="466">
        <f>+[7]cons!I19</f>
        <v>0</v>
      </c>
      <c r="K19" s="352">
        <f>+[7]cons!J19</f>
        <v>0</v>
      </c>
      <c r="L19" s="466">
        <f>+[7]cons!K19</f>
        <v>0</v>
      </c>
      <c r="M19" s="352">
        <f>+[7]cons!L19</f>
        <v>1</v>
      </c>
      <c r="N19" s="466">
        <f>+[7]cons!M19</f>
        <v>0</v>
      </c>
      <c r="O19" s="352">
        <f>+[7]cons!N19</f>
        <v>0</v>
      </c>
      <c r="P19" s="466">
        <f>+[7]cons!O19</f>
        <v>0</v>
      </c>
      <c r="Q19" s="352">
        <f>+[7]cons!P19</f>
        <v>0</v>
      </c>
      <c r="R19" s="466">
        <f>+[7]cons!Q19</f>
        <v>0</v>
      </c>
      <c r="S19" s="352">
        <f>+[7]cons!R19</f>
        <v>0</v>
      </c>
      <c r="T19" s="466">
        <f>+[7]cons!S19</f>
        <v>0</v>
      </c>
      <c r="U19" s="352">
        <f>+[7]cons!T19</f>
        <v>0</v>
      </c>
      <c r="V19" s="466">
        <f>+[7]cons!U19</f>
        <v>0</v>
      </c>
      <c r="W19" s="352">
        <f>+[7]cons!V19</f>
        <v>0</v>
      </c>
      <c r="X19" s="466">
        <f>+[7]cons!W19</f>
        <v>0</v>
      </c>
      <c r="Y19" s="352">
        <f>+[7]cons!X19</f>
        <v>0</v>
      </c>
      <c r="Z19" s="466">
        <f>+[7]cons!Y19</f>
        <v>0</v>
      </c>
      <c r="AA19" s="352">
        <f>+[7]cons!Z19</f>
        <v>0</v>
      </c>
      <c r="AB19" s="466">
        <f>+[7]cons!AA19</f>
        <v>0</v>
      </c>
      <c r="AC19" s="352">
        <f>+[7]cons!AB19</f>
        <v>0</v>
      </c>
      <c r="AD19" s="466">
        <f>+[7]cons!AC19</f>
        <v>0</v>
      </c>
    </row>
    <row r="20" spans="1:30" s="337" customFormat="1">
      <c r="A20" s="1449" t="s">
        <v>1532</v>
      </c>
      <c r="B20" s="550">
        <f t="shared" si="3"/>
        <v>6</v>
      </c>
      <c r="C20" s="549">
        <f t="shared" si="4"/>
        <v>0</v>
      </c>
      <c r="D20" s="549">
        <f t="shared" si="5"/>
        <v>6</v>
      </c>
      <c r="E20" s="352">
        <f>+[7]cons!D20</f>
        <v>0</v>
      </c>
      <c r="F20" s="466">
        <f>+[7]cons!E20</f>
        <v>0</v>
      </c>
      <c r="G20" s="352">
        <f>+[7]cons!F20</f>
        <v>0</v>
      </c>
      <c r="H20" s="466">
        <f>+[7]cons!G20</f>
        <v>2</v>
      </c>
      <c r="I20" s="352">
        <f>+[7]cons!H20</f>
        <v>0</v>
      </c>
      <c r="J20" s="466">
        <f>+[7]cons!I20</f>
        <v>0</v>
      </c>
      <c r="K20" s="352">
        <f>+[7]cons!J20</f>
        <v>0</v>
      </c>
      <c r="L20" s="466">
        <f>+[7]cons!K20</f>
        <v>0</v>
      </c>
      <c r="M20" s="352">
        <f>+[7]cons!L20</f>
        <v>0</v>
      </c>
      <c r="N20" s="466">
        <f>+[7]cons!M20</f>
        <v>3</v>
      </c>
      <c r="O20" s="352">
        <f>+[7]cons!N20</f>
        <v>0</v>
      </c>
      <c r="P20" s="466">
        <f>+[7]cons!O20</f>
        <v>0</v>
      </c>
      <c r="Q20" s="352">
        <f>+[7]cons!P20</f>
        <v>0</v>
      </c>
      <c r="R20" s="466">
        <f>+[7]cons!Q20</f>
        <v>0</v>
      </c>
      <c r="S20" s="352">
        <f>+[7]cons!R20</f>
        <v>0</v>
      </c>
      <c r="T20" s="466">
        <f>+[7]cons!S20</f>
        <v>0</v>
      </c>
      <c r="U20" s="352">
        <f>+[7]cons!T20</f>
        <v>0</v>
      </c>
      <c r="V20" s="466">
        <f>+[7]cons!U20</f>
        <v>0</v>
      </c>
      <c r="W20" s="352">
        <f>+[7]cons!V20</f>
        <v>0</v>
      </c>
      <c r="X20" s="466">
        <f>+[7]cons!W20</f>
        <v>0</v>
      </c>
      <c r="Y20" s="352">
        <f>+[7]cons!X20</f>
        <v>0</v>
      </c>
      <c r="Z20" s="466">
        <f>+[7]cons!Y20</f>
        <v>0</v>
      </c>
      <c r="AA20" s="352">
        <f>+[7]cons!Z20</f>
        <v>0</v>
      </c>
      <c r="AB20" s="466">
        <f>+[7]cons!AA20</f>
        <v>1</v>
      </c>
      <c r="AC20" s="352">
        <f>+[7]cons!AB20</f>
        <v>0</v>
      </c>
      <c r="AD20" s="466">
        <f>+[7]cons!AC20</f>
        <v>0</v>
      </c>
    </row>
    <row r="21" spans="1:30" s="337" customFormat="1">
      <c r="A21" s="1449" t="s">
        <v>1533</v>
      </c>
      <c r="B21" s="550">
        <f t="shared" si="3"/>
        <v>0</v>
      </c>
      <c r="C21" s="549">
        <f t="shared" si="4"/>
        <v>0</v>
      </c>
      <c r="D21" s="549">
        <f t="shared" si="5"/>
        <v>0</v>
      </c>
      <c r="E21" s="352">
        <f>+[7]cons!D21</f>
        <v>0</v>
      </c>
      <c r="F21" s="466">
        <f>+[7]cons!E21</f>
        <v>0</v>
      </c>
      <c r="G21" s="352">
        <f>+[7]cons!F21</f>
        <v>0</v>
      </c>
      <c r="H21" s="466">
        <f>+[7]cons!G21</f>
        <v>0</v>
      </c>
      <c r="I21" s="352">
        <f>+[7]cons!H21</f>
        <v>0</v>
      </c>
      <c r="J21" s="466">
        <f>+[7]cons!I21</f>
        <v>0</v>
      </c>
      <c r="K21" s="352">
        <f>+[7]cons!J21</f>
        <v>0</v>
      </c>
      <c r="L21" s="466">
        <f>+[7]cons!K21</f>
        <v>0</v>
      </c>
      <c r="M21" s="352">
        <f>+[7]cons!L21</f>
        <v>0</v>
      </c>
      <c r="N21" s="466">
        <f>+[7]cons!M21</f>
        <v>0</v>
      </c>
      <c r="O21" s="352">
        <f>+[7]cons!N21</f>
        <v>0</v>
      </c>
      <c r="P21" s="466">
        <f>+[7]cons!O21</f>
        <v>0</v>
      </c>
      <c r="Q21" s="352">
        <f>+[7]cons!P21</f>
        <v>0</v>
      </c>
      <c r="R21" s="466">
        <f>+[7]cons!Q21</f>
        <v>0</v>
      </c>
      <c r="S21" s="352">
        <f>+[7]cons!R21</f>
        <v>0</v>
      </c>
      <c r="T21" s="466">
        <f>+[7]cons!S21</f>
        <v>0</v>
      </c>
      <c r="U21" s="352">
        <f>+[7]cons!T21</f>
        <v>0</v>
      </c>
      <c r="V21" s="466">
        <f>+[7]cons!U21</f>
        <v>0</v>
      </c>
      <c r="W21" s="352">
        <f>+[7]cons!V21</f>
        <v>0</v>
      </c>
      <c r="X21" s="466">
        <f>+[7]cons!W21</f>
        <v>0</v>
      </c>
      <c r="Y21" s="352">
        <f>+[7]cons!X21</f>
        <v>0</v>
      </c>
      <c r="Z21" s="466">
        <f>+[7]cons!Y21</f>
        <v>0</v>
      </c>
      <c r="AA21" s="352">
        <f>+[7]cons!Z21</f>
        <v>0</v>
      </c>
      <c r="AB21" s="466">
        <f>+[7]cons!AA21</f>
        <v>0</v>
      </c>
      <c r="AC21" s="352">
        <f>+[7]cons!AB21</f>
        <v>0</v>
      </c>
      <c r="AD21" s="466">
        <f>+[7]cons!AC21</f>
        <v>0</v>
      </c>
    </row>
    <row r="22" spans="1:30" s="337" customFormat="1">
      <c r="A22" s="1449" t="s">
        <v>1667</v>
      </c>
      <c r="B22" s="550">
        <f t="shared" si="3"/>
        <v>0</v>
      </c>
      <c r="C22" s="549">
        <f t="shared" si="4"/>
        <v>0</v>
      </c>
      <c r="D22" s="549">
        <f t="shared" si="5"/>
        <v>0</v>
      </c>
      <c r="E22" s="352">
        <f>+[7]cons!D22</f>
        <v>0</v>
      </c>
      <c r="F22" s="466">
        <f>+[7]cons!E22</f>
        <v>0</v>
      </c>
      <c r="G22" s="352">
        <f>+[7]cons!F22</f>
        <v>0</v>
      </c>
      <c r="H22" s="466">
        <f>+[7]cons!G22</f>
        <v>0</v>
      </c>
      <c r="I22" s="352">
        <f>+[7]cons!H22</f>
        <v>0</v>
      </c>
      <c r="J22" s="466">
        <f>+[7]cons!I22</f>
        <v>0</v>
      </c>
      <c r="K22" s="352">
        <f>+[7]cons!J22</f>
        <v>0</v>
      </c>
      <c r="L22" s="466">
        <f>+[7]cons!K22</f>
        <v>0</v>
      </c>
      <c r="M22" s="352">
        <f>+[7]cons!L22</f>
        <v>0</v>
      </c>
      <c r="N22" s="466">
        <f>+[7]cons!M22</f>
        <v>0</v>
      </c>
      <c r="O22" s="352">
        <f>+[7]cons!N22</f>
        <v>0</v>
      </c>
      <c r="P22" s="466">
        <f>+[7]cons!O22</f>
        <v>0</v>
      </c>
      <c r="Q22" s="352">
        <f>+[7]cons!P22</f>
        <v>0</v>
      </c>
      <c r="R22" s="466">
        <f>+[7]cons!Q22</f>
        <v>0</v>
      </c>
      <c r="S22" s="352">
        <f>+[7]cons!R22</f>
        <v>0</v>
      </c>
      <c r="T22" s="466">
        <f>+[7]cons!S22</f>
        <v>0</v>
      </c>
      <c r="U22" s="352">
        <f>+[7]cons!T22</f>
        <v>0</v>
      </c>
      <c r="V22" s="466">
        <f>+[7]cons!U22</f>
        <v>0</v>
      </c>
      <c r="W22" s="352">
        <f>+[7]cons!V22</f>
        <v>0</v>
      </c>
      <c r="X22" s="466">
        <f>+[7]cons!W22</f>
        <v>0</v>
      </c>
      <c r="Y22" s="352">
        <f>+[7]cons!X22</f>
        <v>0</v>
      </c>
      <c r="Z22" s="466">
        <f>+[7]cons!Y22</f>
        <v>0</v>
      </c>
      <c r="AA22" s="352">
        <f>+[7]cons!Z22</f>
        <v>0</v>
      </c>
      <c r="AB22" s="466">
        <f>+[7]cons!AA22</f>
        <v>0</v>
      </c>
      <c r="AC22" s="352">
        <f>+[7]cons!AB22</f>
        <v>0</v>
      </c>
      <c r="AD22" s="466">
        <f>+[7]cons!AC22</f>
        <v>0</v>
      </c>
    </row>
    <row r="23" spans="1:30" s="337" customFormat="1">
      <c r="A23" s="1449" t="s">
        <v>1534</v>
      </c>
      <c r="B23" s="550">
        <f t="shared" si="3"/>
        <v>0</v>
      </c>
      <c r="C23" s="549">
        <f t="shared" si="4"/>
        <v>0</v>
      </c>
      <c r="D23" s="549">
        <f t="shared" si="5"/>
        <v>0</v>
      </c>
      <c r="E23" s="352">
        <f>+[7]cons!D23</f>
        <v>0</v>
      </c>
      <c r="F23" s="466">
        <f>+[7]cons!E23</f>
        <v>0</v>
      </c>
      <c r="G23" s="352">
        <f>+[7]cons!F23</f>
        <v>0</v>
      </c>
      <c r="H23" s="466">
        <f>+[7]cons!G23</f>
        <v>0</v>
      </c>
      <c r="I23" s="352">
        <f>+[7]cons!H23</f>
        <v>0</v>
      </c>
      <c r="J23" s="466">
        <f>+[7]cons!I23</f>
        <v>0</v>
      </c>
      <c r="K23" s="352">
        <f>+[7]cons!J23</f>
        <v>0</v>
      </c>
      <c r="L23" s="466">
        <f>+[7]cons!K23</f>
        <v>0</v>
      </c>
      <c r="M23" s="352">
        <f>+[7]cons!L23</f>
        <v>0</v>
      </c>
      <c r="N23" s="466">
        <f>+[7]cons!M23</f>
        <v>0</v>
      </c>
      <c r="O23" s="352">
        <f>+[7]cons!N23</f>
        <v>0</v>
      </c>
      <c r="P23" s="466">
        <f>+[7]cons!O23</f>
        <v>0</v>
      </c>
      <c r="Q23" s="352">
        <f>+[7]cons!P23</f>
        <v>0</v>
      </c>
      <c r="R23" s="466">
        <f>+[7]cons!Q23</f>
        <v>0</v>
      </c>
      <c r="S23" s="352">
        <f>+[7]cons!R23</f>
        <v>0</v>
      </c>
      <c r="T23" s="466">
        <f>+[7]cons!S23</f>
        <v>0</v>
      </c>
      <c r="U23" s="352">
        <f>+[7]cons!T23</f>
        <v>0</v>
      </c>
      <c r="V23" s="466">
        <f>+[7]cons!U23</f>
        <v>0</v>
      </c>
      <c r="W23" s="352">
        <f>+[7]cons!V23</f>
        <v>0</v>
      </c>
      <c r="X23" s="466">
        <f>+[7]cons!W23</f>
        <v>0</v>
      </c>
      <c r="Y23" s="352">
        <f>+[7]cons!X23</f>
        <v>0</v>
      </c>
      <c r="Z23" s="466">
        <f>+[7]cons!Y23</f>
        <v>0</v>
      </c>
      <c r="AA23" s="352">
        <f>+[7]cons!Z23</f>
        <v>0</v>
      </c>
      <c r="AB23" s="466">
        <f>+[7]cons!AA23</f>
        <v>0</v>
      </c>
      <c r="AC23" s="352">
        <f>+[7]cons!AB23</f>
        <v>0</v>
      </c>
      <c r="AD23" s="466">
        <f>+[7]cons!AC23</f>
        <v>0</v>
      </c>
    </row>
    <row r="24" spans="1:30" s="337" customFormat="1">
      <c r="A24" s="1449" t="s">
        <v>1668</v>
      </c>
      <c r="B24" s="550">
        <f t="shared" si="3"/>
        <v>11</v>
      </c>
      <c r="C24" s="549">
        <f t="shared" si="4"/>
        <v>0</v>
      </c>
      <c r="D24" s="549">
        <f t="shared" si="5"/>
        <v>11</v>
      </c>
      <c r="E24" s="352">
        <f>+[7]cons!D24</f>
        <v>0</v>
      </c>
      <c r="F24" s="466">
        <f>+[7]cons!E24</f>
        <v>0</v>
      </c>
      <c r="G24" s="352">
        <f>+[7]cons!F24</f>
        <v>0</v>
      </c>
      <c r="H24" s="466">
        <f>+[7]cons!G24</f>
        <v>0</v>
      </c>
      <c r="I24" s="352">
        <f>+[7]cons!H24</f>
        <v>0</v>
      </c>
      <c r="J24" s="466">
        <f>+[7]cons!I24</f>
        <v>0</v>
      </c>
      <c r="K24" s="352">
        <f>+[7]cons!J24</f>
        <v>0</v>
      </c>
      <c r="L24" s="466">
        <f>+[7]cons!K24</f>
        <v>0</v>
      </c>
      <c r="M24" s="352">
        <f>+[7]cons!L24</f>
        <v>0</v>
      </c>
      <c r="N24" s="466">
        <f>+[7]cons!M24</f>
        <v>2</v>
      </c>
      <c r="O24" s="352">
        <f>+[7]cons!N24</f>
        <v>0</v>
      </c>
      <c r="P24" s="466">
        <f>+[7]cons!O24</f>
        <v>0</v>
      </c>
      <c r="Q24" s="352">
        <f>+[7]cons!P24</f>
        <v>0</v>
      </c>
      <c r="R24" s="466">
        <f>+[7]cons!Q24</f>
        <v>2</v>
      </c>
      <c r="S24" s="352">
        <f>+[7]cons!R24</f>
        <v>0</v>
      </c>
      <c r="T24" s="466">
        <f>+[7]cons!S24</f>
        <v>0</v>
      </c>
      <c r="U24" s="352">
        <f>+[7]cons!T24</f>
        <v>0</v>
      </c>
      <c r="V24" s="466">
        <f>+[7]cons!U24</f>
        <v>0</v>
      </c>
      <c r="W24" s="352">
        <f>+[7]cons!V24</f>
        <v>0</v>
      </c>
      <c r="X24" s="466">
        <f>+[7]cons!W24</f>
        <v>0</v>
      </c>
      <c r="Y24" s="352">
        <f>+[7]cons!X24</f>
        <v>0</v>
      </c>
      <c r="Z24" s="466">
        <f>+[7]cons!Y24</f>
        <v>0</v>
      </c>
      <c r="AA24" s="352">
        <f>+[7]cons!Z24</f>
        <v>0</v>
      </c>
      <c r="AB24" s="466">
        <f>+[7]cons!AA24</f>
        <v>7</v>
      </c>
      <c r="AC24" s="352">
        <f>+[7]cons!AB24</f>
        <v>0</v>
      </c>
      <c r="AD24" s="466">
        <f>+[7]cons!AC24</f>
        <v>0</v>
      </c>
    </row>
    <row r="25" spans="1:30" s="337" customFormat="1">
      <c r="A25" s="1449" t="s">
        <v>1535</v>
      </c>
      <c r="B25" s="550">
        <f t="shared" si="3"/>
        <v>742</v>
      </c>
      <c r="C25" s="549">
        <f t="shared" si="4"/>
        <v>170</v>
      </c>
      <c r="D25" s="549">
        <f t="shared" si="5"/>
        <v>572</v>
      </c>
      <c r="E25" s="352">
        <f>+[7]cons!D25</f>
        <v>4</v>
      </c>
      <c r="F25" s="466">
        <f>+[7]cons!E25</f>
        <v>31</v>
      </c>
      <c r="G25" s="352">
        <f>+[7]cons!F25</f>
        <v>20</v>
      </c>
      <c r="H25" s="466">
        <f>+[7]cons!G25</f>
        <v>92</v>
      </c>
      <c r="I25" s="352">
        <f>+[7]cons!H25</f>
        <v>13</v>
      </c>
      <c r="J25" s="466">
        <f>+[7]cons!I25</f>
        <v>7</v>
      </c>
      <c r="K25" s="352">
        <f>+[7]cons!J25</f>
        <v>13</v>
      </c>
      <c r="L25" s="466">
        <f>+[7]cons!K25</f>
        <v>34</v>
      </c>
      <c r="M25" s="352">
        <f>+[7]cons!L25</f>
        <v>4</v>
      </c>
      <c r="N25" s="466">
        <f>+[7]cons!M25</f>
        <v>26</v>
      </c>
      <c r="O25" s="352">
        <f>+[7]cons!N25</f>
        <v>4</v>
      </c>
      <c r="P25" s="466">
        <f>+[7]cons!O25</f>
        <v>21</v>
      </c>
      <c r="Q25" s="352">
        <f>+[7]cons!P25</f>
        <v>28</v>
      </c>
      <c r="R25" s="466">
        <f>+[7]cons!Q25</f>
        <v>84</v>
      </c>
      <c r="S25" s="352">
        <f>+[7]cons!R25</f>
        <v>39</v>
      </c>
      <c r="T25" s="466">
        <f>+[7]cons!S25</f>
        <v>84</v>
      </c>
      <c r="U25" s="352">
        <f>+[7]cons!T25</f>
        <v>12</v>
      </c>
      <c r="V25" s="466">
        <f>+[7]cons!U25</f>
        <v>44</v>
      </c>
      <c r="W25" s="352">
        <f>+[7]cons!V25</f>
        <v>9</v>
      </c>
      <c r="X25" s="466">
        <f>+[7]cons!W25</f>
        <v>43</v>
      </c>
      <c r="Y25" s="352">
        <f>+[7]cons!X25</f>
        <v>7</v>
      </c>
      <c r="Z25" s="466">
        <f>+[7]cons!Y25</f>
        <v>14</v>
      </c>
      <c r="AA25" s="352">
        <f>+[7]cons!Z25</f>
        <v>5</v>
      </c>
      <c r="AB25" s="466">
        <f>+[7]cons!AA25</f>
        <v>37</v>
      </c>
      <c r="AC25" s="352">
        <f>+[7]cons!AB25</f>
        <v>12</v>
      </c>
      <c r="AD25" s="466">
        <f>+[7]cons!AC25</f>
        <v>55</v>
      </c>
    </row>
    <row r="26" spans="1:30" s="337" customFormat="1">
      <c r="A26" s="1449" t="s">
        <v>1536</v>
      </c>
      <c r="B26" s="550">
        <f t="shared" si="3"/>
        <v>3</v>
      </c>
      <c r="C26" s="549">
        <f t="shared" si="4"/>
        <v>0</v>
      </c>
      <c r="D26" s="549">
        <f t="shared" si="5"/>
        <v>3</v>
      </c>
      <c r="E26" s="352">
        <f>+[7]cons!D26</f>
        <v>0</v>
      </c>
      <c r="F26" s="466">
        <f>+[7]cons!E26</f>
        <v>0</v>
      </c>
      <c r="G26" s="352">
        <f>+[7]cons!F26</f>
        <v>0</v>
      </c>
      <c r="H26" s="466">
        <f>+[7]cons!G26</f>
        <v>3</v>
      </c>
      <c r="I26" s="352">
        <f>+[7]cons!H26</f>
        <v>0</v>
      </c>
      <c r="J26" s="466">
        <f>+[7]cons!I26</f>
        <v>0</v>
      </c>
      <c r="K26" s="352">
        <f>+[7]cons!J26</f>
        <v>0</v>
      </c>
      <c r="L26" s="466">
        <f>+[7]cons!K26</f>
        <v>0</v>
      </c>
      <c r="M26" s="352">
        <f>+[7]cons!L26</f>
        <v>0</v>
      </c>
      <c r="N26" s="466">
        <f>+[7]cons!M26</f>
        <v>0</v>
      </c>
      <c r="O26" s="352">
        <f>+[7]cons!N26</f>
        <v>0</v>
      </c>
      <c r="P26" s="466">
        <f>+[7]cons!O26</f>
        <v>0</v>
      </c>
      <c r="Q26" s="352">
        <f>+[7]cons!P26</f>
        <v>0</v>
      </c>
      <c r="R26" s="466">
        <f>+[7]cons!Q26</f>
        <v>0</v>
      </c>
      <c r="S26" s="352">
        <f>+[7]cons!R26</f>
        <v>0</v>
      </c>
      <c r="T26" s="466">
        <f>+[7]cons!S26</f>
        <v>0</v>
      </c>
      <c r="U26" s="352">
        <f>+[7]cons!T26</f>
        <v>0</v>
      </c>
      <c r="V26" s="466">
        <f>+[7]cons!U26</f>
        <v>0</v>
      </c>
      <c r="W26" s="352">
        <f>+[7]cons!V26</f>
        <v>0</v>
      </c>
      <c r="X26" s="466">
        <f>+[7]cons!W26</f>
        <v>0</v>
      </c>
      <c r="Y26" s="352">
        <f>+[7]cons!X26</f>
        <v>0</v>
      </c>
      <c r="Z26" s="466">
        <f>+[7]cons!Y26</f>
        <v>0</v>
      </c>
      <c r="AA26" s="352">
        <f>+[7]cons!Z26</f>
        <v>0</v>
      </c>
      <c r="AB26" s="466">
        <f>+[7]cons!AA26</f>
        <v>0</v>
      </c>
      <c r="AC26" s="352">
        <f>+[7]cons!AB26</f>
        <v>0</v>
      </c>
      <c r="AD26" s="466">
        <f>+[7]cons!AC26</f>
        <v>0</v>
      </c>
    </row>
    <row r="27" spans="1:30" s="337" customFormat="1">
      <c r="A27" s="1450" t="s">
        <v>1669</v>
      </c>
      <c r="B27" s="550">
        <f t="shared" si="3"/>
        <v>30</v>
      </c>
      <c r="C27" s="549">
        <f t="shared" si="4"/>
        <v>0</v>
      </c>
      <c r="D27" s="549">
        <f t="shared" si="5"/>
        <v>30</v>
      </c>
      <c r="E27" s="352">
        <f>+[7]cons!D27</f>
        <v>0</v>
      </c>
      <c r="F27" s="466">
        <f>+[7]cons!E27</f>
        <v>16</v>
      </c>
      <c r="G27" s="352">
        <f>+[7]cons!F27</f>
        <v>0</v>
      </c>
      <c r="H27" s="466">
        <f>+[7]cons!G27</f>
        <v>4</v>
      </c>
      <c r="I27" s="352">
        <f>+[7]cons!H27</f>
        <v>0</v>
      </c>
      <c r="J27" s="466">
        <f>+[7]cons!I27</f>
        <v>7</v>
      </c>
      <c r="K27" s="352">
        <f>+[7]cons!J27</f>
        <v>0</v>
      </c>
      <c r="L27" s="466">
        <f>+[7]cons!K27</f>
        <v>1</v>
      </c>
      <c r="M27" s="352">
        <f>+[7]cons!L27</f>
        <v>0</v>
      </c>
      <c r="N27" s="466">
        <f>+[7]cons!M27</f>
        <v>2</v>
      </c>
      <c r="O27" s="352">
        <f>+[7]cons!N27</f>
        <v>0</v>
      </c>
      <c r="P27" s="466">
        <f>+[7]cons!O27</f>
        <v>0</v>
      </c>
      <c r="Q27" s="352">
        <f>+[7]cons!P27</f>
        <v>0</v>
      </c>
      <c r="R27" s="466">
        <f>+[7]cons!Q27</f>
        <v>0</v>
      </c>
      <c r="S27" s="352">
        <f>+[7]cons!R27</f>
        <v>0</v>
      </c>
      <c r="T27" s="466">
        <f>+[7]cons!S27</f>
        <v>0</v>
      </c>
      <c r="U27" s="352">
        <f>+[7]cons!T27</f>
        <v>0</v>
      </c>
      <c r="V27" s="466">
        <f>+[7]cons!U27</f>
        <v>0</v>
      </c>
      <c r="W27" s="352">
        <f>+[7]cons!V27</f>
        <v>0</v>
      </c>
      <c r="X27" s="466">
        <f>+[7]cons!W27</f>
        <v>0</v>
      </c>
      <c r="Y27" s="352">
        <f>+[7]cons!X27</f>
        <v>0</v>
      </c>
      <c r="Z27" s="466">
        <f>+[7]cons!Y27</f>
        <v>0</v>
      </c>
      <c r="AA27" s="352">
        <f>+[7]cons!Z27</f>
        <v>0</v>
      </c>
      <c r="AB27" s="466">
        <f>+[7]cons!AA27</f>
        <v>0</v>
      </c>
      <c r="AC27" s="352">
        <f>+[7]cons!AB27</f>
        <v>0</v>
      </c>
      <c r="AD27" s="466">
        <f>+[7]cons!AC27</f>
        <v>0</v>
      </c>
    </row>
    <row r="28" spans="1:30" s="337" customFormat="1">
      <c r="A28" s="1450" t="s">
        <v>1537</v>
      </c>
      <c r="B28" s="550">
        <f t="shared" si="3"/>
        <v>0</v>
      </c>
      <c r="C28" s="549">
        <f t="shared" si="4"/>
        <v>0</v>
      </c>
      <c r="D28" s="549">
        <f t="shared" si="5"/>
        <v>0</v>
      </c>
      <c r="E28" s="352">
        <f>+[7]cons!D28</f>
        <v>0</v>
      </c>
      <c r="F28" s="466">
        <f>+[7]cons!E28</f>
        <v>0</v>
      </c>
      <c r="G28" s="352">
        <f>+[7]cons!F28</f>
        <v>0</v>
      </c>
      <c r="H28" s="466">
        <f>+[7]cons!G28</f>
        <v>0</v>
      </c>
      <c r="I28" s="352">
        <f>+[7]cons!H28</f>
        <v>0</v>
      </c>
      <c r="J28" s="466">
        <f>+[7]cons!I28</f>
        <v>0</v>
      </c>
      <c r="K28" s="352">
        <f>+[7]cons!J28</f>
        <v>0</v>
      </c>
      <c r="L28" s="466">
        <f>+[7]cons!K28</f>
        <v>0</v>
      </c>
      <c r="M28" s="352">
        <f>+[7]cons!L28</f>
        <v>0</v>
      </c>
      <c r="N28" s="466">
        <f>+[7]cons!M28</f>
        <v>0</v>
      </c>
      <c r="O28" s="352">
        <f>+[7]cons!N28</f>
        <v>0</v>
      </c>
      <c r="P28" s="466">
        <f>+[7]cons!O28</f>
        <v>0</v>
      </c>
      <c r="Q28" s="352">
        <f>+[7]cons!P28</f>
        <v>0</v>
      </c>
      <c r="R28" s="466">
        <f>+[7]cons!Q28</f>
        <v>0</v>
      </c>
      <c r="S28" s="352">
        <f>+[7]cons!R28</f>
        <v>0</v>
      </c>
      <c r="T28" s="466">
        <f>+[7]cons!S28</f>
        <v>0</v>
      </c>
      <c r="U28" s="352">
        <f>+[7]cons!T28</f>
        <v>0</v>
      </c>
      <c r="V28" s="466">
        <f>+[7]cons!U28</f>
        <v>0</v>
      </c>
      <c r="W28" s="352">
        <f>+[7]cons!V28</f>
        <v>0</v>
      </c>
      <c r="X28" s="466">
        <f>+[7]cons!W28</f>
        <v>0</v>
      </c>
      <c r="Y28" s="352">
        <f>+[7]cons!X28</f>
        <v>0</v>
      </c>
      <c r="Z28" s="466">
        <f>+[7]cons!Y28</f>
        <v>0</v>
      </c>
      <c r="AA28" s="352">
        <f>+[7]cons!Z28</f>
        <v>0</v>
      </c>
      <c r="AB28" s="466">
        <f>+[7]cons!AA28</f>
        <v>0</v>
      </c>
      <c r="AC28" s="352">
        <f>+[7]cons!AB28</f>
        <v>0</v>
      </c>
      <c r="AD28" s="466">
        <f>+[7]cons!AC28</f>
        <v>0</v>
      </c>
    </row>
    <row r="29" spans="1:30" s="337" customFormat="1">
      <c r="A29" s="1449" t="s">
        <v>1538</v>
      </c>
      <c r="B29" s="550">
        <f t="shared" si="3"/>
        <v>1</v>
      </c>
      <c r="C29" s="549">
        <f t="shared" si="4"/>
        <v>1</v>
      </c>
      <c r="D29" s="549">
        <f t="shared" si="5"/>
        <v>0</v>
      </c>
      <c r="E29" s="352">
        <f>+[7]cons!D29</f>
        <v>0</v>
      </c>
      <c r="F29" s="466">
        <f>+[7]cons!E29</f>
        <v>0</v>
      </c>
      <c r="G29" s="352">
        <f>+[7]cons!F29</f>
        <v>0</v>
      </c>
      <c r="H29" s="466">
        <f>+[7]cons!G29</f>
        <v>0</v>
      </c>
      <c r="I29" s="352">
        <f>+[7]cons!H29</f>
        <v>1</v>
      </c>
      <c r="J29" s="466">
        <f>+[7]cons!I29</f>
        <v>0</v>
      </c>
      <c r="K29" s="352">
        <f>+[7]cons!J29</f>
        <v>0</v>
      </c>
      <c r="L29" s="466">
        <f>+[7]cons!K29</f>
        <v>0</v>
      </c>
      <c r="M29" s="352">
        <f>+[7]cons!L29</f>
        <v>0</v>
      </c>
      <c r="N29" s="466">
        <f>+[7]cons!M29</f>
        <v>0</v>
      </c>
      <c r="O29" s="352">
        <f>+[7]cons!N29</f>
        <v>0</v>
      </c>
      <c r="P29" s="466">
        <f>+[7]cons!O29</f>
        <v>0</v>
      </c>
      <c r="Q29" s="352">
        <f>+[7]cons!P29</f>
        <v>0</v>
      </c>
      <c r="R29" s="466">
        <f>+[7]cons!Q29</f>
        <v>0</v>
      </c>
      <c r="S29" s="352">
        <f>+[7]cons!R29</f>
        <v>0</v>
      </c>
      <c r="T29" s="466">
        <f>+[7]cons!S29</f>
        <v>0</v>
      </c>
      <c r="U29" s="352">
        <f>+[7]cons!T29</f>
        <v>0</v>
      </c>
      <c r="V29" s="466">
        <f>+[7]cons!U29</f>
        <v>0</v>
      </c>
      <c r="W29" s="352">
        <f>+[7]cons!V29</f>
        <v>0</v>
      </c>
      <c r="X29" s="466">
        <f>+[7]cons!W29</f>
        <v>0</v>
      </c>
      <c r="Y29" s="352">
        <f>+[7]cons!X29</f>
        <v>0</v>
      </c>
      <c r="Z29" s="466">
        <f>+[7]cons!Y29</f>
        <v>0</v>
      </c>
      <c r="AA29" s="352">
        <f>+[7]cons!Z29</f>
        <v>0</v>
      </c>
      <c r="AB29" s="466">
        <f>+[7]cons!AA29</f>
        <v>0</v>
      </c>
      <c r="AC29" s="352">
        <f>+[7]cons!AB29</f>
        <v>0</v>
      </c>
      <c r="AD29" s="466">
        <f>+[7]cons!AC29</f>
        <v>0</v>
      </c>
    </row>
    <row r="30" spans="1:30" s="337" customFormat="1">
      <c r="A30" s="1449" t="s">
        <v>1539</v>
      </c>
      <c r="B30" s="550">
        <f t="shared" si="3"/>
        <v>6</v>
      </c>
      <c r="C30" s="549">
        <f t="shared" si="4"/>
        <v>6</v>
      </c>
      <c r="D30" s="549">
        <f t="shared" si="5"/>
        <v>0</v>
      </c>
      <c r="E30" s="352">
        <f>+[7]cons!D30</f>
        <v>1</v>
      </c>
      <c r="F30" s="466">
        <f>+[7]cons!E30</f>
        <v>0</v>
      </c>
      <c r="G30" s="352">
        <f>+[7]cons!F30</f>
        <v>0</v>
      </c>
      <c r="H30" s="466">
        <f>+[7]cons!G30</f>
        <v>0</v>
      </c>
      <c r="I30" s="352">
        <f>+[7]cons!H30</f>
        <v>0</v>
      </c>
      <c r="J30" s="466">
        <f>+[7]cons!I30</f>
        <v>0</v>
      </c>
      <c r="K30" s="352">
        <f>+[7]cons!J30</f>
        <v>0</v>
      </c>
      <c r="L30" s="466">
        <f>+[7]cons!K30</f>
        <v>0</v>
      </c>
      <c r="M30" s="352">
        <f>+[7]cons!L30</f>
        <v>0</v>
      </c>
      <c r="N30" s="466">
        <f>+[7]cons!M30</f>
        <v>0</v>
      </c>
      <c r="O30" s="352">
        <f>+[7]cons!N30</f>
        <v>0</v>
      </c>
      <c r="P30" s="466">
        <f>+[7]cons!O30</f>
        <v>0</v>
      </c>
      <c r="Q30" s="352">
        <f>+[7]cons!P30</f>
        <v>3</v>
      </c>
      <c r="R30" s="466">
        <f>+[7]cons!Q30</f>
        <v>0</v>
      </c>
      <c r="S30" s="352">
        <f>+[7]cons!R30</f>
        <v>1</v>
      </c>
      <c r="T30" s="466">
        <f>+[7]cons!S30</f>
        <v>0</v>
      </c>
      <c r="U30" s="352">
        <f>+[7]cons!T30</f>
        <v>0</v>
      </c>
      <c r="V30" s="466">
        <f>+[7]cons!U30</f>
        <v>0</v>
      </c>
      <c r="W30" s="352">
        <f>+[7]cons!V30</f>
        <v>0</v>
      </c>
      <c r="X30" s="466">
        <f>+[7]cons!W30</f>
        <v>0</v>
      </c>
      <c r="Y30" s="352">
        <f>+[7]cons!X30</f>
        <v>0</v>
      </c>
      <c r="Z30" s="466">
        <f>+[7]cons!Y30</f>
        <v>0</v>
      </c>
      <c r="AA30" s="352">
        <f>+[7]cons!Z30</f>
        <v>1</v>
      </c>
      <c r="AB30" s="466">
        <f>+[7]cons!AA30</f>
        <v>0</v>
      </c>
      <c r="AC30" s="352">
        <f>+[7]cons!AB30</f>
        <v>0</v>
      </c>
      <c r="AD30" s="466">
        <f>+[7]cons!AC30</f>
        <v>0</v>
      </c>
    </row>
    <row r="31" spans="1:30" s="337" customFormat="1">
      <c r="A31" s="1449" t="s">
        <v>1540</v>
      </c>
      <c r="B31" s="550">
        <f t="shared" si="3"/>
        <v>158</v>
      </c>
      <c r="C31" s="549">
        <f t="shared" si="4"/>
        <v>3</v>
      </c>
      <c r="D31" s="549">
        <f t="shared" si="5"/>
        <v>155</v>
      </c>
      <c r="E31" s="352">
        <f>+[7]cons!D31</f>
        <v>0</v>
      </c>
      <c r="F31" s="466">
        <f>+[7]cons!E31</f>
        <v>1</v>
      </c>
      <c r="G31" s="352">
        <f>+[7]cons!F31</f>
        <v>0</v>
      </c>
      <c r="H31" s="466">
        <f>+[7]cons!G31</f>
        <v>8</v>
      </c>
      <c r="I31" s="352">
        <f>+[7]cons!H31</f>
        <v>3</v>
      </c>
      <c r="J31" s="466">
        <f>+[7]cons!I31</f>
        <v>4</v>
      </c>
      <c r="K31" s="352">
        <f>+[7]cons!J31</f>
        <v>0</v>
      </c>
      <c r="L31" s="466">
        <f>+[7]cons!K31</f>
        <v>1</v>
      </c>
      <c r="M31" s="352">
        <f>+[7]cons!L31</f>
        <v>0</v>
      </c>
      <c r="N31" s="466">
        <f>+[7]cons!M31</f>
        <v>1</v>
      </c>
      <c r="O31" s="352">
        <f>+[7]cons!N31</f>
        <v>0</v>
      </c>
      <c r="P31" s="466">
        <f>+[7]cons!O31</f>
        <v>5</v>
      </c>
      <c r="Q31" s="352">
        <f>+[7]cons!P31</f>
        <v>0</v>
      </c>
      <c r="R31" s="466">
        <f>+[7]cons!Q31</f>
        <v>26</v>
      </c>
      <c r="S31" s="352">
        <f>+[7]cons!R31</f>
        <v>0</v>
      </c>
      <c r="T31" s="466">
        <f>+[7]cons!S31</f>
        <v>4</v>
      </c>
      <c r="U31" s="352">
        <f>+[7]cons!T31</f>
        <v>0</v>
      </c>
      <c r="V31" s="466">
        <f>+[7]cons!U31</f>
        <v>10</v>
      </c>
      <c r="W31" s="352">
        <f>+[7]cons!V31</f>
        <v>0</v>
      </c>
      <c r="X31" s="466">
        <f>+[7]cons!W31</f>
        <v>86</v>
      </c>
      <c r="Y31" s="352">
        <f>+[7]cons!X31</f>
        <v>0</v>
      </c>
      <c r="Z31" s="466">
        <f>+[7]cons!Y31</f>
        <v>0</v>
      </c>
      <c r="AA31" s="352">
        <f>+[7]cons!Z31</f>
        <v>0</v>
      </c>
      <c r="AB31" s="466">
        <f>+[7]cons!AA31</f>
        <v>7</v>
      </c>
      <c r="AC31" s="352">
        <f>+[7]cons!AB31</f>
        <v>0</v>
      </c>
      <c r="AD31" s="466">
        <f>+[7]cons!AC31</f>
        <v>2</v>
      </c>
    </row>
    <row r="32" spans="1:30" s="337" customFormat="1">
      <c r="A32" s="1449" t="s">
        <v>1541</v>
      </c>
      <c r="B32" s="550">
        <f t="shared" si="3"/>
        <v>259</v>
      </c>
      <c r="C32" s="549">
        <f t="shared" si="4"/>
        <v>246</v>
      </c>
      <c r="D32" s="549">
        <f t="shared" si="5"/>
        <v>13</v>
      </c>
      <c r="E32" s="352">
        <f>+[7]cons!D32</f>
        <v>17</v>
      </c>
      <c r="F32" s="466">
        <f>+[7]cons!E32</f>
        <v>0</v>
      </c>
      <c r="G32" s="352">
        <f>+[7]cons!F32</f>
        <v>36</v>
      </c>
      <c r="H32" s="466">
        <f>+[7]cons!G32</f>
        <v>0</v>
      </c>
      <c r="I32" s="352">
        <f>+[7]cons!H32</f>
        <v>5</v>
      </c>
      <c r="J32" s="466">
        <f>+[7]cons!I32</f>
        <v>6</v>
      </c>
      <c r="K32" s="352">
        <f>+[7]cons!J32</f>
        <v>11</v>
      </c>
      <c r="L32" s="466">
        <f>+[7]cons!K32</f>
        <v>0</v>
      </c>
      <c r="M32" s="352">
        <f>+[7]cons!L32</f>
        <v>7</v>
      </c>
      <c r="N32" s="466">
        <f>+[7]cons!M32</f>
        <v>0</v>
      </c>
      <c r="O32" s="352">
        <f>+[7]cons!N32</f>
        <v>8</v>
      </c>
      <c r="P32" s="466">
        <f>+[7]cons!O32</f>
        <v>0</v>
      </c>
      <c r="Q32" s="352">
        <f>+[7]cons!P32</f>
        <v>36</v>
      </c>
      <c r="R32" s="466">
        <f>+[7]cons!Q32</f>
        <v>0</v>
      </c>
      <c r="S32" s="352">
        <f>+[7]cons!R32</f>
        <v>66</v>
      </c>
      <c r="T32" s="466">
        <f>+[7]cons!S32</f>
        <v>0</v>
      </c>
      <c r="U32" s="352">
        <f>+[7]cons!T32</f>
        <v>10</v>
      </c>
      <c r="V32" s="466">
        <f>+[7]cons!U32</f>
        <v>0</v>
      </c>
      <c r="W32" s="352">
        <f>+[7]cons!V32</f>
        <v>29</v>
      </c>
      <c r="X32" s="466">
        <f>+[7]cons!W32</f>
        <v>0</v>
      </c>
      <c r="Y32" s="352">
        <f>+[7]cons!X32</f>
        <v>0</v>
      </c>
      <c r="Z32" s="466">
        <f>+[7]cons!Y32</f>
        <v>7</v>
      </c>
      <c r="AA32" s="352">
        <f>+[7]cons!Z32</f>
        <v>11</v>
      </c>
      <c r="AB32" s="466">
        <f>+[7]cons!AA32</f>
        <v>0</v>
      </c>
      <c r="AC32" s="352">
        <f>+[7]cons!AB32</f>
        <v>10</v>
      </c>
      <c r="AD32" s="466">
        <f>+[7]cons!AC32</f>
        <v>0</v>
      </c>
    </row>
    <row r="33" spans="1:30" s="337" customFormat="1">
      <c r="A33" s="1449" t="s">
        <v>1670</v>
      </c>
      <c r="B33" s="550">
        <f t="shared" si="3"/>
        <v>781</v>
      </c>
      <c r="C33" s="549">
        <f t="shared" si="4"/>
        <v>5</v>
      </c>
      <c r="D33" s="549">
        <f t="shared" si="5"/>
        <v>776</v>
      </c>
      <c r="E33" s="352">
        <f>+[7]cons!D33</f>
        <v>0</v>
      </c>
      <c r="F33" s="466">
        <f>+[7]cons!E33</f>
        <v>43</v>
      </c>
      <c r="G33" s="352">
        <f>+[7]cons!F33</f>
        <v>0</v>
      </c>
      <c r="H33" s="466">
        <f>+[7]cons!G33</f>
        <v>115</v>
      </c>
      <c r="I33" s="352">
        <f>+[7]cons!H33</f>
        <v>0</v>
      </c>
      <c r="J33" s="466">
        <f>+[7]cons!I33</f>
        <v>18</v>
      </c>
      <c r="K33" s="352">
        <f>+[7]cons!J33</f>
        <v>0</v>
      </c>
      <c r="L33" s="466">
        <f>+[7]cons!K33</f>
        <v>24</v>
      </c>
      <c r="M33" s="352">
        <f>+[7]cons!L33</f>
        <v>0</v>
      </c>
      <c r="N33" s="466">
        <f>+[7]cons!M33</f>
        <v>32</v>
      </c>
      <c r="O33" s="352">
        <f>+[7]cons!N33</f>
        <v>0</v>
      </c>
      <c r="P33" s="466">
        <f>+[7]cons!O33</f>
        <v>34</v>
      </c>
      <c r="Q33" s="352">
        <f>+[7]cons!P33</f>
        <v>0</v>
      </c>
      <c r="R33" s="466">
        <f>+[7]cons!Q33</f>
        <v>124</v>
      </c>
      <c r="S33" s="352">
        <f>+[7]cons!R33</f>
        <v>0</v>
      </c>
      <c r="T33" s="466">
        <f>+[7]cons!S33</f>
        <v>120</v>
      </c>
      <c r="U33" s="352">
        <f>+[7]cons!T33</f>
        <v>0</v>
      </c>
      <c r="V33" s="466">
        <f>+[7]cons!U33</f>
        <v>37</v>
      </c>
      <c r="W33" s="352">
        <f>+[7]cons!V33</f>
        <v>3</v>
      </c>
      <c r="X33" s="466">
        <f>+[7]cons!W33</f>
        <v>98</v>
      </c>
      <c r="Y33" s="352">
        <f>+[7]cons!X33</f>
        <v>1</v>
      </c>
      <c r="Z33" s="466">
        <f>+[7]cons!Y33</f>
        <v>14</v>
      </c>
      <c r="AA33" s="352">
        <f>+[7]cons!Z33</f>
        <v>0</v>
      </c>
      <c r="AB33" s="466">
        <f>+[7]cons!AA33</f>
        <v>67</v>
      </c>
      <c r="AC33" s="352">
        <f>+[7]cons!AB33</f>
        <v>1</v>
      </c>
      <c r="AD33" s="466">
        <f>+[7]cons!AC33</f>
        <v>50</v>
      </c>
    </row>
    <row r="34" spans="1:30" s="337" customFormat="1">
      <c r="A34" s="1449" t="s">
        <v>1542</v>
      </c>
      <c r="B34" s="550">
        <f t="shared" si="3"/>
        <v>1</v>
      </c>
      <c r="C34" s="549">
        <f t="shared" si="4"/>
        <v>1</v>
      </c>
      <c r="D34" s="549">
        <f t="shared" si="5"/>
        <v>0</v>
      </c>
      <c r="E34" s="352">
        <f>+[7]cons!D34</f>
        <v>0</v>
      </c>
      <c r="F34" s="466">
        <f>+[7]cons!E34</f>
        <v>0</v>
      </c>
      <c r="G34" s="352">
        <f>+[7]cons!F34</f>
        <v>0</v>
      </c>
      <c r="H34" s="466">
        <f>+[7]cons!G34</f>
        <v>0</v>
      </c>
      <c r="I34" s="352">
        <f>+[7]cons!H34</f>
        <v>1</v>
      </c>
      <c r="J34" s="466">
        <f>+[7]cons!I34</f>
        <v>0</v>
      </c>
      <c r="K34" s="352">
        <f>+[7]cons!J34</f>
        <v>0</v>
      </c>
      <c r="L34" s="466">
        <f>+[7]cons!K34</f>
        <v>0</v>
      </c>
      <c r="M34" s="352">
        <f>+[7]cons!L34</f>
        <v>0</v>
      </c>
      <c r="N34" s="466">
        <f>+[7]cons!M34</f>
        <v>0</v>
      </c>
      <c r="O34" s="352">
        <f>+[7]cons!N34</f>
        <v>0</v>
      </c>
      <c r="P34" s="466">
        <f>+[7]cons!O34</f>
        <v>0</v>
      </c>
      <c r="Q34" s="352">
        <f>+[7]cons!P34</f>
        <v>0</v>
      </c>
      <c r="R34" s="466">
        <f>+[7]cons!Q34</f>
        <v>0</v>
      </c>
      <c r="S34" s="352">
        <f>+[7]cons!R34</f>
        <v>0</v>
      </c>
      <c r="T34" s="466">
        <f>+[7]cons!S34</f>
        <v>0</v>
      </c>
      <c r="U34" s="352">
        <f>+[7]cons!T34</f>
        <v>0</v>
      </c>
      <c r="V34" s="466">
        <f>+[7]cons!U34</f>
        <v>0</v>
      </c>
      <c r="W34" s="352">
        <f>+[7]cons!V34</f>
        <v>0</v>
      </c>
      <c r="X34" s="466">
        <f>+[7]cons!W34</f>
        <v>0</v>
      </c>
      <c r="Y34" s="352">
        <f>+[7]cons!X34</f>
        <v>0</v>
      </c>
      <c r="Z34" s="466">
        <f>+[7]cons!Y34</f>
        <v>0</v>
      </c>
      <c r="AA34" s="352">
        <f>+[7]cons!Z34</f>
        <v>0</v>
      </c>
      <c r="AB34" s="466">
        <f>+[7]cons!AA34</f>
        <v>0</v>
      </c>
      <c r="AC34" s="352">
        <f>+[7]cons!AB34</f>
        <v>0</v>
      </c>
      <c r="AD34" s="466">
        <f>+[7]cons!AC34</f>
        <v>0</v>
      </c>
    </row>
    <row r="35" spans="1:30" s="337" customFormat="1">
      <c r="A35" s="1449" t="s">
        <v>1543</v>
      </c>
      <c r="B35" s="550">
        <f t="shared" si="3"/>
        <v>89</v>
      </c>
      <c r="C35" s="549">
        <f t="shared" si="4"/>
        <v>86</v>
      </c>
      <c r="D35" s="549">
        <f t="shared" si="5"/>
        <v>3</v>
      </c>
      <c r="E35" s="352">
        <f>+[7]cons!D35</f>
        <v>4</v>
      </c>
      <c r="F35" s="466">
        <f>+[7]cons!E35</f>
        <v>0</v>
      </c>
      <c r="G35" s="352">
        <f>+[7]cons!F35</f>
        <v>10</v>
      </c>
      <c r="H35" s="466">
        <f>+[7]cons!G35</f>
        <v>2</v>
      </c>
      <c r="I35" s="352">
        <f>+[7]cons!H35</f>
        <v>2</v>
      </c>
      <c r="J35" s="466">
        <f>+[7]cons!I35</f>
        <v>1</v>
      </c>
      <c r="K35" s="352">
        <f>+[7]cons!J35</f>
        <v>1</v>
      </c>
      <c r="L35" s="466">
        <f>+[7]cons!K35</f>
        <v>0</v>
      </c>
      <c r="M35" s="352">
        <f>+[7]cons!L35</f>
        <v>8</v>
      </c>
      <c r="N35" s="466">
        <f>+[7]cons!M35</f>
        <v>0</v>
      </c>
      <c r="O35" s="352">
        <f>+[7]cons!N35</f>
        <v>0</v>
      </c>
      <c r="P35" s="466">
        <f>+[7]cons!O35</f>
        <v>0</v>
      </c>
      <c r="Q35" s="352">
        <f>+[7]cons!P35</f>
        <v>17</v>
      </c>
      <c r="R35" s="466">
        <f>+[7]cons!Q35</f>
        <v>0</v>
      </c>
      <c r="S35" s="352">
        <f>+[7]cons!R35</f>
        <v>29</v>
      </c>
      <c r="T35" s="466">
        <f>+[7]cons!S35</f>
        <v>0</v>
      </c>
      <c r="U35" s="352">
        <f>+[7]cons!T35</f>
        <v>1</v>
      </c>
      <c r="V35" s="466">
        <f>+[7]cons!U35</f>
        <v>0</v>
      </c>
      <c r="W35" s="352">
        <f>+[7]cons!V35</f>
        <v>1</v>
      </c>
      <c r="X35" s="466">
        <f>+[7]cons!W35</f>
        <v>0</v>
      </c>
      <c r="Y35" s="352">
        <f>+[7]cons!X35</f>
        <v>1</v>
      </c>
      <c r="Z35" s="466">
        <f>+[7]cons!Y35</f>
        <v>0</v>
      </c>
      <c r="AA35" s="352">
        <f>+[7]cons!Z35</f>
        <v>9</v>
      </c>
      <c r="AB35" s="466">
        <f>+[7]cons!AA35</f>
        <v>0</v>
      </c>
      <c r="AC35" s="352">
        <f>+[7]cons!AB35</f>
        <v>3</v>
      </c>
      <c r="AD35" s="466">
        <f>+[7]cons!AC35</f>
        <v>0</v>
      </c>
    </row>
    <row r="36" spans="1:30" s="337" customFormat="1">
      <c r="A36" s="1449" t="s">
        <v>1671</v>
      </c>
      <c r="B36" s="550">
        <f t="shared" si="3"/>
        <v>432</v>
      </c>
      <c r="C36" s="549">
        <f t="shared" si="4"/>
        <v>6</v>
      </c>
      <c r="D36" s="549">
        <f t="shared" si="5"/>
        <v>426</v>
      </c>
      <c r="E36" s="352">
        <f>+[7]cons!D36</f>
        <v>0</v>
      </c>
      <c r="F36" s="466">
        <f>+[7]cons!E36</f>
        <v>27</v>
      </c>
      <c r="G36" s="352">
        <f>+[7]cons!F36</f>
        <v>0</v>
      </c>
      <c r="H36" s="466">
        <f>+[7]cons!G36</f>
        <v>74</v>
      </c>
      <c r="I36" s="352">
        <f>+[7]cons!H36</f>
        <v>6</v>
      </c>
      <c r="J36" s="466">
        <f>+[7]cons!I36</f>
        <v>11</v>
      </c>
      <c r="K36" s="352">
        <f>+[7]cons!J36</f>
        <v>0</v>
      </c>
      <c r="L36" s="466">
        <f>+[7]cons!K36</f>
        <v>6</v>
      </c>
      <c r="M36" s="352">
        <f>+[7]cons!L36</f>
        <v>0</v>
      </c>
      <c r="N36" s="466">
        <f>+[7]cons!M36</f>
        <v>25</v>
      </c>
      <c r="O36" s="352">
        <f>+[7]cons!N36</f>
        <v>0</v>
      </c>
      <c r="P36" s="466">
        <f>+[7]cons!O36</f>
        <v>12</v>
      </c>
      <c r="Q36" s="352">
        <f>+[7]cons!P36</f>
        <v>0</v>
      </c>
      <c r="R36" s="466">
        <f>+[7]cons!Q36</f>
        <v>89</v>
      </c>
      <c r="S36" s="352">
        <f>+[7]cons!R36</f>
        <v>0</v>
      </c>
      <c r="T36" s="466">
        <f>+[7]cons!S36</f>
        <v>85</v>
      </c>
      <c r="U36" s="352">
        <f>+[7]cons!T36</f>
        <v>0</v>
      </c>
      <c r="V36" s="466">
        <f>+[7]cons!U36</f>
        <v>21</v>
      </c>
      <c r="W36" s="352">
        <f>+[7]cons!V36</f>
        <v>0</v>
      </c>
      <c r="X36" s="466">
        <f>+[7]cons!W36</f>
        <v>13</v>
      </c>
      <c r="Y36" s="352">
        <f>+[7]cons!X36</f>
        <v>0</v>
      </c>
      <c r="Z36" s="466">
        <f>+[7]cons!Y36</f>
        <v>17</v>
      </c>
      <c r="AA36" s="352">
        <f>+[7]cons!Z36</f>
        <v>0</v>
      </c>
      <c r="AB36" s="466">
        <f>+[7]cons!AA36</f>
        <v>24</v>
      </c>
      <c r="AC36" s="352">
        <f>+[7]cons!AB36</f>
        <v>0</v>
      </c>
      <c r="AD36" s="466">
        <f>+[7]cons!AC36</f>
        <v>22</v>
      </c>
    </row>
    <row r="37" spans="1:30" s="337" customFormat="1">
      <c r="A37" s="1449" t="s">
        <v>1544</v>
      </c>
      <c r="B37" s="550">
        <f t="shared" si="3"/>
        <v>413</v>
      </c>
      <c r="C37" s="549">
        <f t="shared" ref="C37:C60" si="6">+E37+G37+I37+K37+M37+O37+Q37+S37+U37+W37+Y37+AA37+AC37</f>
        <v>401</v>
      </c>
      <c r="D37" s="549">
        <f t="shared" ref="D37:D60" si="7">+F37+H37+J37+L37+N37+P37+R37+T37+V37+X37+Z37+AB37+AD37</f>
        <v>12</v>
      </c>
      <c r="E37" s="352">
        <f>+[7]cons!D37</f>
        <v>21</v>
      </c>
      <c r="F37" s="466">
        <f>+[7]cons!E37</f>
        <v>0</v>
      </c>
      <c r="G37" s="352">
        <f>+[7]cons!F37</f>
        <v>46</v>
      </c>
      <c r="H37" s="466">
        <f>+[7]cons!G37</f>
        <v>0</v>
      </c>
      <c r="I37" s="352">
        <f>+[7]cons!H37</f>
        <v>17</v>
      </c>
      <c r="J37" s="466">
        <f>+[7]cons!I37</f>
        <v>10</v>
      </c>
      <c r="K37" s="352">
        <f>+[7]cons!J37</f>
        <v>30</v>
      </c>
      <c r="L37" s="466">
        <f>+[7]cons!K37</f>
        <v>0</v>
      </c>
      <c r="M37" s="352">
        <f>+[7]cons!L37</f>
        <v>8</v>
      </c>
      <c r="N37" s="466">
        <f>+[7]cons!M37</f>
        <v>0</v>
      </c>
      <c r="O37" s="352">
        <f>+[7]cons!N37</f>
        <v>10</v>
      </c>
      <c r="P37" s="466">
        <f>+[7]cons!O37</f>
        <v>0</v>
      </c>
      <c r="Q37" s="352">
        <f>+[7]cons!P37</f>
        <v>51</v>
      </c>
      <c r="R37" s="466">
        <f>+[7]cons!Q37</f>
        <v>0</v>
      </c>
      <c r="S37" s="352">
        <f>+[7]cons!R37</f>
        <v>93</v>
      </c>
      <c r="T37" s="466">
        <f>+[7]cons!S37</f>
        <v>0</v>
      </c>
      <c r="U37" s="352">
        <f>+[7]cons!T37</f>
        <v>21</v>
      </c>
      <c r="V37" s="466">
        <f>+[7]cons!U37</f>
        <v>0</v>
      </c>
      <c r="W37" s="352">
        <f>+[7]cons!V37</f>
        <v>46</v>
      </c>
      <c r="X37" s="466">
        <f>+[7]cons!W37</f>
        <v>1</v>
      </c>
      <c r="Y37" s="352">
        <f>+[7]cons!X37</f>
        <v>9</v>
      </c>
      <c r="Z37" s="466">
        <f>+[7]cons!Y37</f>
        <v>1</v>
      </c>
      <c r="AA37" s="352">
        <f>+[7]cons!Z37</f>
        <v>29</v>
      </c>
      <c r="AB37" s="466">
        <f>+[7]cons!AA37</f>
        <v>0</v>
      </c>
      <c r="AC37" s="352">
        <f>+[7]cons!AB37</f>
        <v>20</v>
      </c>
      <c r="AD37" s="466">
        <f>+[7]cons!AC37</f>
        <v>0</v>
      </c>
    </row>
    <row r="38" spans="1:30" s="337" customFormat="1">
      <c r="A38" s="1449" t="s">
        <v>1672</v>
      </c>
      <c r="B38" s="550">
        <f t="shared" si="3"/>
        <v>2024</v>
      </c>
      <c r="C38" s="549">
        <f t="shared" si="6"/>
        <v>3</v>
      </c>
      <c r="D38" s="549">
        <f t="shared" si="7"/>
        <v>2021</v>
      </c>
      <c r="E38" s="352">
        <f>+[7]cons!D38</f>
        <v>0</v>
      </c>
      <c r="F38" s="466">
        <f>+[7]cons!E38</f>
        <v>170</v>
      </c>
      <c r="G38" s="352">
        <f>+[7]cons!F38</f>
        <v>0</v>
      </c>
      <c r="H38" s="466">
        <f>+[7]cons!G38</f>
        <v>213</v>
      </c>
      <c r="I38" s="352">
        <f>+[7]cons!H38</f>
        <v>0</v>
      </c>
      <c r="J38" s="466">
        <f>+[7]cons!I38</f>
        <v>49</v>
      </c>
      <c r="K38" s="352">
        <f>+[7]cons!J38</f>
        <v>0</v>
      </c>
      <c r="L38" s="466">
        <f>+[7]cons!K38</f>
        <v>96</v>
      </c>
      <c r="M38" s="352">
        <f>+[7]cons!L38</f>
        <v>0</v>
      </c>
      <c r="N38" s="466">
        <f>+[7]cons!M38</f>
        <v>69</v>
      </c>
      <c r="O38" s="352">
        <f>+[7]cons!N38</f>
        <v>0</v>
      </c>
      <c r="P38" s="466">
        <f>+[7]cons!O38</f>
        <v>47</v>
      </c>
      <c r="Q38" s="352">
        <f>+[7]cons!P38</f>
        <v>0</v>
      </c>
      <c r="R38" s="466">
        <f>+[7]cons!Q38</f>
        <v>275</v>
      </c>
      <c r="S38" s="352">
        <f>+[7]cons!R38</f>
        <v>0</v>
      </c>
      <c r="T38" s="466">
        <f>+[7]cons!S38</f>
        <v>330</v>
      </c>
      <c r="U38" s="352">
        <f>+[7]cons!T38</f>
        <v>0</v>
      </c>
      <c r="V38" s="466">
        <f>+[7]cons!U38</f>
        <v>188</v>
      </c>
      <c r="W38" s="352">
        <f>+[7]cons!V38</f>
        <v>2</v>
      </c>
      <c r="X38" s="466">
        <f>+[7]cons!W38</f>
        <v>223</v>
      </c>
      <c r="Y38" s="352">
        <f>+[7]cons!X38</f>
        <v>1</v>
      </c>
      <c r="Z38" s="466">
        <f>+[7]cons!Y38</f>
        <v>88</v>
      </c>
      <c r="AA38" s="352">
        <f>+[7]cons!Z38</f>
        <v>0</v>
      </c>
      <c r="AB38" s="466">
        <f>+[7]cons!AA38</f>
        <v>165</v>
      </c>
      <c r="AC38" s="352">
        <f>+[7]cons!AB38</f>
        <v>0</v>
      </c>
      <c r="AD38" s="466">
        <f>+[7]cons!AC38</f>
        <v>108</v>
      </c>
    </row>
    <row r="39" spans="1:30" s="337" customFormat="1">
      <c r="A39" s="1449" t="s">
        <v>1673</v>
      </c>
      <c r="B39" s="550">
        <f t="shared" si="3"/>
        <v>3</v>
      </c>
      <c r="C39" s="549">
        <f t="shared" si="6"/>
        <v>2</v>
      </c>
      <c r="D39" s="549">
        <f t="shared" si="7"/>
        <v>1</v>
      </c>
      <c r="E39" s="352">
        <f>+[7]cons!D39</f>
        <v>0</v>
      </c>
      <c r="F39" s="466">
        <f>+[7]cons!E39</f>
        <v>0</v>
      </c>
      <c r="G39" s="352">
        <f>+[7]cons!F39</f>
        <v>2</v>
      </c>
      <c r="H39" s="466">
        <f>+[7]cons!G39</f>
        <v>0</v>
      </c>
      <c r="I39" s="352">
        <f>+[7]cons!H39</f>
        <v>0</v>
      </c>
      <c r="J39" s="466">
        <f>+[7]cons!I39</f>
        <v>0</v>
      </c>
      <c r="K39" s="352">
        <f>+[7]cons!J39</f>
        <v>0</v>
      </c>
      <c r="L39" s="466">
        <f>+[7]cons!K39</f>
        <v>0</v>
      </c>
      <c r="M39" s="352">
        <f>+[7]cons!L39</f>
        <v>0</v>
      </c>
      <c r="N39" s="466">
        <f>+[7]cons!M39</f>
        <v>0</v>
      </c>
      <c r="O39" s="352">
        <f>+[7]cons!N39</f>
        <v>0</v>
      </c>
      <c r="P39" s="466">
        <f>+[7]cons!O39</f>
        <v>0</v>
      </c>
      <c r="Q39" s="352">
        <f>+[7]cons!P39</f>
        <v>0</v>
      </c>
      <c r="R39" s="466">
        <f>+[7]cons!Q39</f>
        <v>1</v>
      </c>
      <c r="S39" s="352">
        <f>+[7]cons!R39</f>
        <v>0</v>
      </c>
      <c r="T39" s="466">
        <f>+[7]cons!S39</f>
        <v>0</v>
      </c>
      <c r="U39" s="352">
        <f>+[7]cons!T39</f>
        <v>0</v>
      </c>
      <c r="V39" s="466">
        <f>+[7]cons!U39</f>
        <v>0</v>
      </c>
      <c r="W39" s="352">
        <f>+[7]cons!V39</f>
        <v>0</v>
      </c>
      <c r="X39" s="466">
        <f>+[7]cons!W39</f>
        <v>0</v>
      </c>
      <c r="Y39" s="352">
        <f>+[7]cons!X39</f>
        <v>0</v>
      </c>
      <c r="Z39" s="466">
        <f>+[7]cons!Y39</f>
        <v>0</v>
      </c>
      <c r="AA39" s="352">
        <f>+[7]cons!Z39</f>
        <v>0</v>
      </c>
      <c r="AB39" s="466">
        <f>+[7]cons!AA39</f>
        <v>0</v>
      </c>
      <c r="AC39" s="352">
        <f>+[7]cons!AB39</f>
        <v>0</v>
      </c>
      <c r="AD39" s="466">
        <f>+[7]cons!AC39</f>
        <v>0</v>
      </c>
    </row>
    <row r="40" spans="1:30" s="337" customFormat="1">
      <c r="A40" s="1449" t="s">
        <v>1545</v>
      </c>
      <c r="B40" s="550">
        <f t="shared" si="3"/>
        <v>16</v>
      </c>
      <c r="C40" s="549">
        <f t="shared" si="6"/>
        <v>2</v>
      </c>
      <c r="D40" s="549">
        <f t="shared" si="7"/>
        <v>14</v>
      </c>
      <c r="E40" s="352">
        <f>+[7]cons!D40</f>
        <v>0</v>
      </c>
      <c r="F40" s="466">
        <f>+[7]cons!E40</f>
        <v>0</v>
      </c>
      <c r="G40" s="352">
        <f>+[7]cons!F40</f>
        <v>0</v>
      </c>
      <c r="H40" s="466">
        <f>+[7]cons!G40</f>
        <v>0</v>
      </c>
      <c r="I40" s="352">
        <f>+[7]cons!H40</f>
        <v>0</v>
      </c>
      <c r="J40" s="466">
        <f>+[7]cons!I40</f>
        <v>0</v>
      </c>
      <c r="K40" s="352">
        <f>+[7]cons!J40</f>
        <v>2</v>
      </c>
      <c r="L40" s="466">
        <f>+[7]cons!K40</f>
        <v>11</v>
      </c>
      <c r="M40" s="352">
        <f>+[7]cons!L40</f>
        <v>0</v>
      </c>
      <c r="N40" s="466">
        <f>+[7]cons!M40</f>
        <v>0</v>
      </c>
      <c r="O40" s="352">
        <f>+[7]cons!N40</f>
        <v>0</v>
      </c>
      <c r="P40" s="466">
        <f>+[7]cons!O40</f>
        <v>0</v>
      </c>
      <c r="Q40" s="352">
        <f>+[7]cons!P40</f>
        <v>0</v>
      </c>
      <c r="R40" s="466">
        <f>+[7]cons!Q40</f>
        <v>1</v>
      </c>
      <c r="S40" s="352">
        <f>+[7]cons!R40</f>
        <v>0</v>
      </c>
      <c r="T40" s="466">
        <f>+[7]cons!S40</f>
        <v>0</v>
      </c>
      <c r="U40" s="352">
        <f>+[7]cons!T40</f>
        <v>0</v>
      </c>
      <c r="V40" s="466">
        <f>+[7]cons!U40</f>
        <v>0</v>
      </c>
      <c r="W40" s="352">
        <f>+[7]cons!V40</f>
        <v>0</v>
      </c>
      <c r="X40" s="466">
        <f>+[7]cons!W40</f>
        <v>0</v>
      </c>
      <c r="Y40" s="352">
        <f>+[7]cons!X40</f>
        <v>0</v>
      </c>
      <c r="Z40" s="466">
        <f>+[7]cons!Y40</f>
        <v>2</v>
      </c>
      <c r="AA40" s="352">
        <f>+[7]cons!Z40</f>
        <v>0</v>
      </c>
      <c r="AB40" s="466">
        <f>+[7]cons!AA40</f>
        <v>0</v>
      </c>
      <c r="AC40" s="352">
        <f>+[7]cons!AB40</f>
        <v>0</v>
      </c>
      <c r="AD40" s="466">
        <f>+[7]cons!AC40</f>
        <v>0</v>
      </c>
    </row>
    <row r="41" spans="1:30" s="337" customFormat="1">
      <c r="A41" s="1449" t="s">
        <v>1546</v>
      </c>
      <c r="B41" s="550">
        <f t="shared" si="3"/>
        <v>0</v>
      </c>
      <c r="C41" s="549">
        <f t="shared" si="6"/>
        <v>0</v>
      </c>
      <c r="D41" s="549">
        <f t="shared" si="7"/>
        <v>0</v>
      </c>
      <c r="E41" s="352">
        <f>+[7]cons!D41</f>
        <v>0</v>
      </c>
      <c r="F41" s="466">
        <f>+[7]cons!E41</f>
        <v>0</v>
      </c>
      <c r="G41" s="352">
        <f>+[7]cons!F41</f>
        <v>0</v>
      </c>
      <c r="H41" s="466">
        <f>+[7]cons!G41</f>
        <v>0</v>
      </c>
      <c r="I41" s="352">
        <f>+[7]cons!H41</f>
        <v>0</v>
      </c>
      <c r="J41" s="466">
        <f>+[7]cons!I41</f>
        <v>0</v>
      </c>
      <c r="K41" s="352">
        <f>+[7]cons!J41</f>
        <v>0</v>
      </c>
      <c r="L41" s="466">
        <f>+[7]cons!K41</f>
        <v>0</v>
      </c>
      <c r="M41" s="352">
        <f>+[7]cons!L41</f>
        <v>0</v>
      </c>
      <c r="N41" s="466">
        <f>+[7]cons!M41</f>
        <v>0</v>
      </c>
      <c r="O41" s="352">
        <f>+[7]cons!N41</f>
        <v>0</v>
      </c>
      <c r="P41" s="466">
        <f>+[7]cons!O41</f>
        <v>0</v>
      </c>
      <c r="Q41" s="352">
        <f>+[7]cons!P41</f>
        <v>0</v>
      </c>
      <c r="R41" s="466">
        <f>+[7]cons!Q41</f>
        <v>0</v>
      </c>
      <c r="S41" s="352">
        <f>+[7]cons!R41</f>
        <v>0</v>
      </c>
      <c r="T41" s="466">
        <f>+[7]cons!S41</f>
        <v>0</v>
      </c>
      <c r="U41" s="352">
        <f>+[7]cons!T41</f>
        <v>0</v>
      </c>
      <c r="V41" s="466">
        <f>+[7]cons!U41</f>
        <v>0</v>
      </c>
      <c r="W41" s="352">
        <f>+[7]cons!V41</f>
        <v>0</v>
      </c>
      <c r="X41" s="466">
        <f>+[7]cons!W41</f>
        <v>0</v>
      </c>
      <c r="Y41" s="352">
        <f>+[7]cons!X41</f>
        <v>0</v>
      </c>
      <c r="Z41" s="466">
        <f>+[7]cons!Y41</f>
        <v>0</v>
      </c>
      <c r="AA41" s="352">
        <f>+[7]cons!Z41</f>
        <v>0</v>
      </c>
      <c r="AB41" s="466">
        <f>+[7]cons!AA41</f>
        <v>0</v>
      </c>
      <c r="AC41" s="352">
        <f>+[7]cons!AB41</f>
        <v>0</v>
      </c>
      <c r="AD41" s="466">
        <f>+[7]cons!AC41</f>
        <v>0</v>
      </c>
    </row>
    <row r="42" spans="1:30" s="337" customFormat="1">
      <c r="A42" s="1449" t="s">
        <v>1674</v>
      </c>
      <c r="B42" s="550">
        <f t="shared" si="3"/>
        <v>1</v>
      </c>
      <c r="C42" s="549">
        <f t="shared" si="6"/>
        <v>0</v>
      </c>
      <c r="D42" s="549">
        <f t="shared" si="7"/>
        <v>1</v>
      </c>
      <c r="E42" s="352">
        <f>+[7]cons!D42</f>
        <v>0</v>
      </c>
      <c r="F42" s="466">
        <f>+[7]cons!E42</f>
        <v>0</v>
      </c>
      <c r="G42" s="352">
        <f>+[7]cons!F42</f>
        <v>0</v>
      </c>
      <c r="H42" s="466">
        <f>+[7]cons!G42</f>
        <v>0</v>
      </c>
      <c r="I42" s="352">
        <f>+[7]cons!H42</f>
        <v>0</v>
      </c>
      <c r="J42" s="466">
        <f>+[7]cons!I42</f>
        <v>0</v>
      </c>
      <c r="K42" s="352">
        <f>+[7]cons!J42</f>
        <v>0</v>
      </c>
      <c r="L42" s="466">
        <f>+[7]cons!K42</f>
        <v>0</v>
      </c>
      <c r="M42" s="352">
        <f>+[7]cons!L42</f>
        <v>0</v>
      </c>
      <c r="N42" s="466">
        <f>+[7]cons!M42</f>
        <v>0</v>
      </c>
      <c r="O42" s="352">
        <f>+[7]cons!N42</f>
        <v>0</v>
      </c>
      <c r="P42" s="466">
        <f>+[7]cons!O42</f>
        <v>0</v>
      </c>
      <c r="Q42" s="352">
        <f>+[7]cons!P42</f>
        <v>0</v>
      </c>
      <c r="R42" s="466">
        <f>+[7]cons!Q42</f>
        <v>0</v>
      </c>
      <c r="S42" s="352">
        <f>+[7]cons!R42</f>
        <v>0</v>
      </c>
      <c r="T42" s="466">
        <f>+[7]cons!S42</f>
        <v>0</v>
      </c>
      <c r="U42" s="352">
        <f>+[7]cons!T42</f>
        <v>0</v>
      </c>
      <c r="V42" s="466">
        <f>+[7]cons!U42</f>
        <v>1</v>
      </c>
      <c r="W42" s="352">
        <f>+[7]cons!V42</f>
        <v>0</v>
      </c>
      <c r="X42" s="466">
        <f>+[7]cons!W42</f>
        <v>0</v>
      </c>
      <c r="Y42" s="352">
        <f>+[7]cons!X42</f>
        <v>0</v>
      </c>
      <c r="Z42" s="466">
        <f>+[7]cons!Y42</f>
        <v>0</v>
      </c>
      <c r="AA42" s="352">
        <f>+[7]cons!Z42</f>
        <v>0</v>
      </c>
      <c r="AB42" s="466">
        <f>+[7]cons!AA42</f>
        <v>0</v>
      </c>
      <c r="AC42" s="352">
        <f>+[7]cons!AB42</f>
        <v>0</v>
      </c>
      <c r="AD42" s="466">
        <f>+[7]cons!AC42</f>
        <v>0</v>
      </c>
    </row>
    <row r="43" spans="1:30" s="337" customFormat="1">
      <c r="A43" s="1449" t="s">
        <v>1675</v>
      </c>
      <c r="B43" s="550">
        <f t="shared" si="3"/>
        <v>0</v>
      </c>
      <c r="C43" s="549">
        <f t="shared" si="6"/>
        <v>0</v>
      </c>
      <c r="D43" s="549">
        <f t="shared" si="7"/>
        <v>0</v>
      </c>
      <c r="E43" s="352">
        <f>+[7]cons!D43</f>
        <v>0</v>
      </c>
      <c r="F43" s="466">
        <f>+[7]cons!E43</f>
        <v>0</v>
      </c>
      <c r="G43" s="352">
        <f>+[7]cons!F43</f>
        <v>0</v>
      </c>
      <c r="H43" s="466">
        <f>+[7]cons!G43</f>
        <v>0</v>
      </c>
      <c r="I43" s="352">
        <f>+[7]cons!H43</f>
        <v>0</v>
      </c>
      <c r="J43" s="466">
        <f>+[7]cons!I43</f>
        <v>0</v>
      </c>
      <c r="K43" s="352">
        <f>+[7]cons!J43</f>
        <v>0</v>
      </c>
      <c r="L43" s="466">
        <f>+[7]cons!K43</f>
        <v>0</v>
      </c>
      <c r="M43" s="352">
        <f>+[7]cons!L43</f>
        <v>0</v>
      </c>
      <c r="N43" s="466">
        <f>+[7]cons!M43</f>
        <v>0</v>
      </c>
      <c r="O43" s="352">
        <f>+[7]cons!N43</f>
        <v>0</v>
      </c>
      <c r="P43" s="466">
        <f>+[7]cons!O43</f>
        <v>0</v>
      </c>
      <c r="Q43" s="352">
        <f>+[7]cons!P43</f>
        <v>0</v>
      </c>
      <c r="R43" s="466">
        <f>+[7]cons!Q43</f>
        <v>0</v>
      </c>
      <c r="S43" s="352">
        <f>+[7]cons!R43</f>
        <v>0</v>
      </c>
      <c r="T43" s="466">
        <f>+[7]cons!S43</f>
        <v>0</v>
      </c>
      <c r="U43" s="352">
        <f>+[7]cons!T43</f>
        <v>0</v>
      </c>
      <c r="V43" s="466">
        <f>+[7]cons!U43</f>
        <v>0</v>
      </c>
      <c r="W43" s="352">
        <f>+[7]cons!V43</f>
        <v>0</v>
      </c>
      <c r="X43" s="466">
        <f>+[7]cons!W43</f>
        <v>0</v>
      </c>
      <c r="Y43" s="352">
        <f>+[7]cons!X43</f>
        <v>0</v>
      </c>
      <c r="Z43" s="466">
        <f>+[7]cons!Y43</f>
        <v>0</v>
      </c>
      <c r="AA43" s="352">
        <f>+[7]cons!Z43</f>
        <v>0</v>
      </c>
      <c r="AB43" s="466">
        <f>+[7]cons!AA43</f>
        <v>0</v>
      </c>
      <c r="AC43" s="352">
        <f>+[7]cons!AB43</f>
        <v>0</v>
      </c>
      <c r="AD43" s="466">
        <f>+[7]cons!AC43</f>
        <v>0</v>
      </c>
    </row>
    <row r="44" spans="1:30" s="337" customFormat="1">
      <c r="A44" s="1449" t="s">
        <v>1547</v>
      </c>
      <c r="B44" s="550">
        <f t="shared" si="3"/>
        <v>0</v>
      </c>
      <c r="C44" s="549">
        <f t="shared" si="6"/>
        <v>0</v>
      </c>
      <c r="D44" s="549">
        <f t="shared" si="7"/>
        <v>0</v>
      </c>
      <c r="E44" s="352">
        <f>+[7]cons!D44</f>
        <v>0</v>
      </c>
      <c r="F44" s="466">
        <f>+[7]cons!E44</f>
        <v>0</v>
      </c>
      <c r="G44" s="352">
        <f>+[7]cons!F44</f>
        <v>0</v>
      </c>
      <c r="H44" s="466">
        <f>+[7]cons!G44</f>
        <v>0</v>
      </c>
      <c r="I44" s="352">
        <f>+[7]cons!H44</f>
        <v>0</v>
      </c>
      <c r="J44" s="466">
        <f>+[7]cons!I44</f>
        <v>0</v>
      </c>
      <c r="K44" s="352">
        <f>+[7]cons!J44</f>
        <v>0</v>
      </c>
      <c r="L44" s="466">
        <f>+[7]cons!K44</f>
        <v>0</v>
      </c>
      <c r="M44" s="352">
        <f>+[7]cons!L44</f>
        <v>0</v>
      </c>
      <c r="N44" s="466">
        <f>+[7]cons!M44</f>
        <v>0</v>
      </c>
      <c r="O44" s="352">
        <f>+[7]cons!N44</f>
        <v>0</v>
      </c>
      <c r="P44" s="466">
        <f>+[7]cons!O44</f>
        <v>0</v>
      </c>
      <c r="Q44" s="352">
        <f>+[7]cons!P44</f>
        <v>0</v>
      </c>
      <c r="R44" s="466">
        <f>+[7]cons!Q44</f>
        <v>0</v>
      </c>
      <c r="S44" s="352">
        <f>+[7]cons!R44</f>
        <v>0</v>
      </c>
      <c r="T44" s="466">
        <f>+[7]cons!S44</f>
        <v>0</v>
      </c>
      <c r="U44" s="352">
        <f>+[7]cons!T44</f>
        <v>0</v>
      </c>
      <c r="V44" s="466">
        <f>+[7]cons!U44</f>
        <v>0</v>
      </c>
      <c r="W44" s="352">
        <f>+[7]cons!V44</f>
        <v>0</v>
      </c>
      <c r="X44" s="466">
        <f>+[7]cons!W44</f>
        <v>0</v>
      </c>
      <c r="Y44" s="352">
        <f>+[7]cons!X44</f>
        <v>0</v>
      </c>
      <c r="Z44" s="466">
        <f>+[7]cons!Y44</f>
        <v>0</v>
      </c>
      <c r="AA44" s="352">
        <f>+[7]cons!Z44</f>
        <v>0</v>
      </c>
      <c r="AB44" s="466">
        <f>+[7]cons!AA44</f>
        <v>0</v>
      </c>
      <c r="AC44" s="352">
        <f>+[7]cons!AB44</f>
        <v>0</v>
      </c>
      <c r="AD44" s="466">
        <f>+[7]cons!AC44</f>
        <v>0</v>
      </c>
    </row>
    <row r="45" spans="1:30" s="337" customFormat="1">
      <c r="A45" s="1449" t="s">
        <v>1449</v>
      </c>
      <c r="B45" s="550">
        <f t="shared" si="3"/>
        <v>3</v>
      </c>
      <c r="C45" s="549">
        <f t="shared" si="6"/>
        <v>0</v>
      </c>
      <c r="D45" s="549">
        <f t="shared" si="7"/>
        <v>3</v>
      </c>
      <c r="E45" s="352">
        <f>+[7]cons!D45</f>
        <v>0</v>
      </c>
      <c r="F45" s="466">
        <f>+[7]cons!E45</f>
        <v>0</v>
      </c>
      <c r="G45" s="352">
        <f>+[7]cons!F45</f>
        <v>0</v>
      </c>
      <c r="H45" s="466">
        <f>+[7]cons!G45</f>
        <v>3</v>
      </c>
      <c r="I45" s="352">
        <f>+[7]cons!H45</f>
        <v>0</v>
      </c>
      <c r="J45" s="466">
        <f>+[7]cons!I45</f>
        <v>0</v>
      </c>
      <c r="K45" s="352">
        <f>+[7]cons!J45</f>
        <v>0</v>
      </c>
      <c r="L45" s="466">
        <f>+[7]cons!K45</f>
        <v>0</v>
      </c>
      <c r="M45" s="352">
        <f>+[7]cons!L45</f>
        <v>0</v>
      </c>
      <c r="N45" s="466">
        <f>+[7]cons!M45</f>
        <v>0</v>
      </c>
      <c r="O45" s="352">
        <f>+[7]cons!N45</f>
        <v>0</v>
      </c>
      <c r="P45" s="466">
        <f>+[7]cons!O45</f>
        <v>0</v>
      </c>
      <c r="Q45" s="352">
        <f>+[7]cons!P45</f>
        <v>0</v>
      </c>
      <c r="R45" s="466">
        <f>+[7]cons!Q45</f>
        <v>0</v>
      </c>
      <c r="S45" s="352">
        <f>+[7]cons!R45</f>
        <v>0</v>
      </c>
      <c r="T45" s="466">
        <f>+[7]cons!S45</f>
        <v>0</v>
      </c>
      <c r="U45" s="352">
        <f>+[7]cons!T45</f>
        <v>0</v>
      </c>
      <c r="V45" s="466">
        <f>+[7]cons!U45</f>
        <v>0</v>
      </c>
      <c r="W45" s="352">
        <f>+[7]cons!V45</f>
        <v>0</v>
      </c>
      <c r="X45" s="466">
        <f>+[7]cons!W45</f>
        <v>0</v>
      </c>
      <c r="Y45" s="352">
        <f>+[7]cons!X45</f>
        <v>0</v>
      </c>
      <c r="Z45" s="466">
        <f>+[7]cons!Y45</f>
        <v>0</v>
      </c>
      <c r="AA45" s="352">
        <f>+[7]cons!Z45</f>
        <v>0</v>
      </c>
      <c r="AB45" s="466">
        <f>+[7]cons!AA45</f>
        <v>0</v>
      </c>
      <c r="AC45" s="352">
        <f>+[7]cons!AB45</f>
        <v>0</v>
      </c>
      <c r="AD45" s="466">
        <f>+[7]cons!AC45</f>
        <v>0</v>
      </c>
    </row>
    <row r="46" spans="1:30" s="337" customFormat="1">
      <c r="A46" s="1449" t="s">
        <v>1548</v>
      </c>
      <c r="B46" s="550">
        <f t="shared" si="3"/>
        <v>643</v>
      </c>
      <c r="C46" s="549">
        <f t="shared" si="6"/>
        <v>11</v>
      </c>
      <c r="D46" s="549">
        <f t="shared" si="7"/>
        <v>632</v>
      </c>
      <c r="E46" s="352">
        <f>+[7]cons!D46</f>
        <v>0</v>
      </c>
      <c r="F46" s="466">
        <f>+[7]cons!E46</f>
        <v>41</v>
      </c>
      <c r="G46" s="352">
        <f>+[7]cons!F46</f>
        <v>0</v>
      </c>
      <c r="H46" s="466">
        <f>+[7]cons!G46</f>
        <v>94</v>
      </c>
      <c r="I46" s="352">
        <f>+[7]cons!H46</f>
        <v>0</v>
      </c>
      <c r="J46" s="466">
        <f>+[7]cons!I46</f>
        <v>17</v>
      </c>
      <c r="K46" s="352">
        <f>+[7]cons!J46</f>
        <v>1</v>
      </c>
      <c r="L46" s="466">
        <f>+[7]cons!K46</f>
        <v>14</v>
      </c>
      <c r="M46" s="352">
        <f>+[7]cons!L46</f>
        <v>1</v>
      </c>
      <c r="N46" s="466">
        <f>+[7]cons!M46</f>
        <v>18</v>
      </c>
      <c r="O46" s="352">
        <f>+[7]cons!N46</f>
        <v>0</v>
      </c>
      <c r="P46" s="466">
        <f>+[7]cons!O46</f>
        <v>12</v>
      </c>
      <c r="Q46" s="352">
        <f>+[7]cons!P46</f>
        <v>7</v>
      </c>
      <c r="R46" s="466">
        <f>+[7]cons!Q46</f>
        <v>105</v>
      </c>
      <c r="S46" s="352">
        <f>+[7]cons!R46</f>
        <v>0</v>
      </c>
      <c r="T46" s="466">
        <f>+[7]cons!S46</f>
        <v>97</v>
      </c>
      <c r="U46" s="352">
        <f>+[7]cons!T46</f>
        <v>0</v>
      </c>
      <c r="V46" s="466">
        <f>+[7]cons!U46</f>
        <v>78</v>
      </c>
      <c r="W46" s="352">
        <f>+[7]cons!V46</f>
        <v>0</v>
      </c>
      <c r="X46" s="466">
        <f>+[7]cons!W46</f>
        <v>67</v>
      </c>
      <c r="Y46" s="352">
        <f>+[7]cons!X46</f>
        <v>0</v>
      </c>
      <c r="Z46" s="466">
        <f>+[7]cons!Y46</f>
        <v>34</v>
      </c>
      <c r="AA46" s="352">
        <f>+[7]cons!Z46</f>
        <v>2</v>
      </c>
      <c r="AB46" s="466">
        <f>+[7]cons!AA46</f>
        <v>31</v>
      </c>
      <c r="AC46" s="352">
        <f>+[7]cons!AB46</f>
        <v>0</v>
      </c>
      <c r="AD46" s="466">
        <f>+[7]cons!AC46</f>
        <v>24</v>
      </c>
    </row>
    <row r="47" spans="1:30" s="337" customFormat="1">
      <c r="A47" s="1449" t="s">
        <v>1549</v>
      </c>
      <c r="B47" s="550">
        <f t="shared" si="3"/>
        <v>0</v>
      </c>
      <c r="C47" s="549">
        <f t="shared" si="6"/>
        <v>0</v>
      </c>
      <c r="D47" s="549">
        <f t="shared" si="7"/>
        <v>0</v>
      </c>
      <c r="E47" s="352">
        <f>+[7]cons!D47</f>
        <v>0</v>
      </c>
      <c r="F47" s="466">
        <f>+[7]cons!E47</f>
        <v>0</v>
      </c>
      <c r="G47" s="352">
        <f>+[7]cons!F47</f>
        <v>0</v>
      </c>
      <c r="H47" s="466">
        <f>+[7]cons!G47</f>
        <v>0</v>
      </c>
      <c r="I47" s="352">
        <f>+[7]cons!H47</f>
        <v>0</v>
      </c>
      <c r="J47" s="466">
        <f>+[7]cons!I47</f>
        <v>0</v>
      </c>
      <c r="K47" s="352">
        <f>+[7]cons!J47</f>
        <v>0</v>
      </c>
      <c r="L47" s="466">
        <f>+[7]cons!K47</f>
        <v>0</v>
      </c>
      <c r="M47" s="352">
        <f>+[7]cons!L47</f>
        <v>0</v>
      </c>
      <c r="N47" s="466">
        <f>+[7]cons!M47</f>
        <v>0</v>
      </c>
      <c r="O47" s="352">
        <f>+[7]cons!N47</f>
        <v>0</v>
      </c>
      <c r="P47" s="466">
        <f>+[7]cons!O47</f>
        <v>0</v>
      </c>
      <c r="Q47" s="352">
        <f>+[7]cons!P47</f>
        <v>0</v>
      </c>
      <c r="R47" s="466">
        <f>+[7]cons!Q47</f>
        <v>0</v>
      </c>
      <c r="S47" s="352">
        <f>+[7]cons!R47</f>
        <v>0</v>
      </c>
      <c r="T47" s="466">
        <f>+[7]cons!S47</f>
        <v>0</v>
      </c>
      <c r="U47" s="352">
        <f>+[7]cons!T47</f>
        <v>0</v>
      </c>
      <c r="V47" s="466">
        <f>+[7]cons!U47</f>
        <v>0</v>
      </c>
      <c r="W47" s="352">
        <f>+[7]cons!V47</f>
        <v>0</v>
      </c>
      <c r="X47" s="466">
        <f>+[7]cons!W47</f>
        <v>0</v>
      </c>
      <c r="Y47" s="352">
        <f>+[7]cons!X47</f>
        <v>0</v>
      </c>
      <c r="Z47" s="466">
        <f>+[7]cons!Y47</f>
        <v>0</v>
      </c>
      <c r="AA47" s="352">
        <f>+[7]cons!Z47</f>
        <v>0</v>
      </c>
      <c r="AB47" s="466">
        <f>+[7]cons!AA47</f>
        <v>0</v>
      </c>
      <c r="AC47" s="352">
        <f>+[7]cons!AB47</f>
        <v>0</v>
      </c>
      <c r="AD47" s="466">
        <f>+[7]cons!AC47</f>
        <v>0</v>
      </c>
    </row>
    <row r="48" spans="1:30" s="337" customFormat="1">
      <c r="A48" s="1449" t="s">
        <v>1450</v>
      </c>
      <c r="B48" s="550">
        <f t="shared" si="3"/>
        <v>2</v>
      </c>
      <c r="C48" s="549">
        <f t="shared" si="6"/>
        <v>0</v>
      </c>
      <c r="D48" s="549">
        <f t="shared" si="7"/>
        <v>2</v>
      </c>
      <c r="E48" s="352">
        <f>+[7]cons!D48</f>
        <v>0</v>
      </c>
      <c r="F48" s="466">
        <f>+[7]cons!E48</f>
        <v>0</v>
      </c>
      <c r="G48" s="352">
        <f>+[7]cons!F48</f>
        <v>0</v>
      </c>
      <c r="H48" s="466">
        <f>+[7]cons!G48</f>
        <v>0</v>
      </c>
      <c r="I48" s="352">
        <f>+[7]cons!H48</f>
        <v>0</v>
      </c>
      <c r="J48" s="466">
        <f>+[7]cons!I48</f>
        <v>0</v>
      </c>
      <c r="K48" s="352">
        <f>+[7]cons!J48</f>
        <v>0</v>
      </c>
      <c r="L48" s="466">
        <f>+[7]cons!K48</f>
        <v>0</v>
      </c>
      <c r="M48" s="352">
        <f>+[7]cons!L48</f>
        <v>0</v>
      </c>
      <c r="N48" s="466">
        <f>+[7]cons!M48</f>
        <v>0</v>
      </c>
      <c r="O48" s="352">
        <f>+[7]cons!N48</f>
        <v>0</v>
      </c>
      <c r="P48" s="466">
        <f>+[7]cons!O48</f>
        <v>2</v>
      </c>
      <c r="Q48" s="352">
        <f>+[7]cons!P48</f>
        <v>0</v>
      </c>
      <c r="R48" s="466">
        <f>+[7]cons!Q48</f>
        <v>0</v>
      </c>
      <c r="S48" s="352">
        <f>+[7]cons!R48</f>
        <v>0</v>
      </c>
      <c r="T48" s="466">
        <f>+[7]cons!S48</f>
        <v>0</v>
      </c>
      <c r="U48" s="352">
        <f>+[7]cons!T48</f>
        <v>0</v>
      </c>
      <c r="V48" s="466">
        <f>+[7]cons!U48</f>
        <v>0</v>
      </c>
      <c r="W48" s="352">
        <f>+[7]cons!V48</f>
        <v>0</v>
      </c>
      <c r="X48" s="466">
        <f>+[7]cons!W48</f>
        <v>0</v>
      </c>
      <c r="Y48" s="352">
        <f>+[7]cons!X48</f>
        <v>0</v>
      </c>
      <c r="Z48" s="466">
        <f>+[7]cons!Y48</f>
        <v>0</v>
      </c>
      <c r="AA48" s="352">
        <f>+[7]cons!Z48</f>
        <v>0</v>
      </c>
      <c r="AB48" s="466">
        <f>+[7]cons!AA48</f>
        <v>0</v>
      </c>
      <c r="AC48" s="352">
        <f>+[7]cons!AB48</f>
        <v>0</v>
      </c>
      <c r="AD48" s="466">
        <f>+[7]cons!AC48</f>
        <v>0</v>
      </c>
    </row>
    <row r="49" spans="1:30" s="337" customFormat="1">
      <c r="A49" s="1449" t="s">
        <v>1550</v>
      </c>
      <c r="B49" s="550">
        <f t="shared" si="3"/>
        <v>756</v>
      </c>
      <c r="C49" s="549">
        <f t="shared" si="6"/>
        <v>1</v>
      </c>
      <c r="D49" s="549">
        <f t="shared" si="7"/>
        <v>755</v>
      </c>
      <c r="E49" s="352">
        <f>+[7]cons!D49</f>
        <v>0</v>
      </c>
      <c r="F49" s="466">
        <f>+[7]cons!E49</f>
        <v>83</v>
      </c>
      <c r="G49" s="352">
        <f>+[7]cons!F49</f>
        <v>0</v>
      </c>
      <c r="H49" s="466">
        <f>+[7]cons!G49</f>
        <v>193</v>
      </c>
      <c r="I49" s="352">
        <f>+[7]cons!H49</f>
        <v>0</v>
      </c>
      <c r="J49" s="466">
        <f>+[7]cons!I49</f>
        <v>98</v>
      </c>
      <c r="K49" s="352">
        <f>+[7]cons!J49</f>
        <v>0</v>
      </c>
      <c r="L49" s="466">
        <f>+[7]cons!K49</f>
        <v>80</v>
      </c>
      <c r="M49" s="352">
        <f>+[7]cons!L49</f>
        <v>0</v>
      </c>
      <c r="N49" s="466">
        <f>+[7]cons!M49</f>
        <v>115</v>
      </c>
      <c r="O49" s="352">
        <f>+[7]cons!N49</f>
        <v>0</v>
      </c>
      <c r="P49" s="466">
        <f>+[7]cons!O49</f>
        <v>0</v>
      </c>
      <c r="Q49" s="352">
        <f>+[7]cons!P49</f>
        <v>0</v>
      </c>
      <c r="R49" s="466">
        <f>+[7]cons!Q49</f>
        <v>64</v>
      </c>
      <c r="S49" s="352">
        <f>+[7]cons!R49</f>
        <v>0</v>
      </c>
      <c r="T49" s="466">
        <f>+[7]cons!S49</f>
        <v>0</v>
      </c>
      <c r="U49" s="352">
        <f>+[7]cons!T49</f>
        <v>0</v>
      </c>
      <c r="V49" s="466">
        <f>+[7]cons!U49</f>
        <v>112</v>
      </c>
      <c r="W49" s="352">
        <f>+[7]cons!V49</f>
        <v>1</v>
      </c>
      <c r="X49" s="466">
        <f>+[7]cons!W49</f>
        <v>9</v>
      </c>
      <c r="Y49" s="352">
        <f>+[7]cons!X49</f>
        <v>0</v>
      </c>
      <c r="Z49" s="466">
        <f>+[7]cons!Y49</f>
        <v>0</v>
      </c>
      <c r="AA49" s="352">
        <f>+[7]cons!Z49</f>
        <v>0</v>
      </c>
      <c r="AB49" s="466">
        <f>+[7]cons!AA49</f>
        <v>1</v>
      </c>
      <c r="AC49" s="352">
        <f>+[7]cons!AB49</f>
        <v>0</v>
      </c>
      <c r="AD49" s="466">
        <f>+[7]cons!AC49</f>
        <v>0</v>
      </c>
    </row>
    <row r="50" spans="1:30" s="337" customFormat="1">
      <c r="A50" s="1449" t="s">
        <v>1551</v>
      </c>
      <c r="B50" s="550">
        <f t="shared" si="3"/>
        <v>7</v>
      </c>
      <c r="C50" s="549">
        <f t="shared" si="6"/>
        <v>2</v>
      </c>
      <c r="D50" s="549">
        <f t="shared" si="7"/>
        <v>5</v>
      </c>
      <c r="E50" s="352">
        <f>+[7]cons!D50</f>
        <v>0</v>
      </c>
      <c r="F50" s="466">
        <f>+[7]cons!E50</f>
        <v>0</v>
      </c>
      <c r="G50" s="352">
        <f>+[7]cons!F50</f>
        <v>0</v>
      </c>
      <c r="H50" s="466">
        <f>+[7]cons!G50</f>
        <v>0</v>
      </c>
      <c r="I50" s="352">
        <f>+[7]cons!H50</f>
        <v>2</v>
      </c>
      <c r="J50" s="466">
        <f>+[7]cons!I50</f>
        <v>0</v>
      </c>
      <c r="K50" s="352">
        <f>+[7]cons!J50</f>
        <v>0</v>
      </c>
      <c r="L50" s="466">
        <f>+[7]cons!K50</f>
        <v>0</v>
      </c>
      <c r="M50" s="352">
        <f>+[7]cons!L50</f>
        <v>0</v>
      </c>
      <c r="N50" s="466">
        <f>+[7]cons!M50</f>
        <v>0</v>
      </c>
      <c r="O50" s="352">
        <f>+[7]cons!N50</f>
        <v>0</v>
      </c>
      <c r="P50" s="466">
        <f>+[7]cons!O50</f>
        <v>0</v>
      </c>
      <c r="Q50" s="352">
        <f>+[7]cons!P50</f>
        <v>0</v>
      </c>
      <c r="R50" s="466">
        <f>+[7]cons!Q50</f>
        <v>5</v>
      </c>
      <c r="S50" s="352">
        <f>+[7]cons!R50</f>
        <v>0</v>
      </c>
      <c r="T50" s="466">
        <f>+[7]cons!S50</f>
        <v>0</v>
      </c>
      <c r="U50" s="352">
        <f>+[7]cons!T50</f>
        <v>0</v>
      </c>
      <c r="V50" s="466">
        <f>+[7]cons!U50</f>
        <v>0</v>
      </c>
      <c r="W50" s="352">
        <f>+[7]cons!V50</f>
        <v>0</v>
      </c>
      <c r="X50" s="466">
        <f>+[7]cons!W50</f>
        <v>0</v>
      </c>
      <c r="Y50" s="352">
        <f>+[7]cons!X50</f>
        <v>0</v>
      </c>
      <c r="Z50" s="466">
        <f>+[7]cons!Y50</f>
        <v>0</v>
      </c>
      <c r="AA50" s="352">
        <f>+[7]cons!Z50</f>
        <v>0</v>
      </c>
      <c r="AB50" s="466">
        <f>+[7]cons!AA50</f>
        <v>0</v>
      </c>
      <c r="AC50" s="352">
        <f>+[7]cons!AB50</f>
        <v>0</v>
      </c>
      <c r="AD50" s="466">
        <f>+[7]cons!AC50</f>
        <v>0</v>
      </c>
    </row>
    <row r="51" spans="1:30" s="337" customFormat="1">
      <c r="A51" s="1449" t="s">
        <v>1676</v>
      </c>
      <c r="B51" s="550">
        <f t="shared" si="3"/>
        <v>710</v>
      </c>
      <c r="C51" s="549">
        <f t="shared" si="6"/>
        <v>0</v>
      </c>
      <c r="D51" s="549">
        <f t="shared" si="7"/>
        <v>710</v>
      </c>
      <c r="E51" s="352">
        <f>+[7]cons!D51</f>
        <v>0</v>
      </c>
      <c r="F51" s="466">
        <f>+[7]cons!E51</f>
        <v>27</v>
      </c>
      <c r="G51" s="352">
        <f>+[7]cons!F51</f>
        <v>0</v>
      </c>
      <c r="H51" s="466">
        <f>+[7]cons!G51</f>
        <v>235</v>
      </c>
      <c r="I51" s="352">
        <f>+[7]cons!H51</f>
        <v>0</v>
      </c>
      <c r="J51" s="466">
        <f>+[7]cons!I51</f>
        <v>68</v>
      </c>
      <c r="K51" s="352">
        <f>+[7]cons!J51</f>
        <v>0</v>
      </c>
      <c r="L51" s="466">
        <f>+[7]cons!K51</f>
        <v>76</v>
      </c>
      <c r="M51" s="352">
        <f>+[7]cons!L51</f>
        <v>0</v>
      </c>
      <c r="N51" s="466">
        <f>+[7]cons!M51</f>
        <v>52</v>
      </c>
      <c r="O51" s="352">
        <f>+[7]cons!N51</f>
        <v>0</v>
      </c>
      <c r="P51" s="466">
        <f>+[7]cons!O51</f>
        <v>2</v>
      </c>
      <c r="Q51" s="352">
        <f>+[7]cons!P51</f>
        <v>0</v>
      </c>
      <c r="R51" s="466">
        <f>+[7]cons!Q51</f>
        <v>44</v>
      </c>
      <c r="S51" s="352">
        <f>+[7]cons!R51</f>
        <v>0</v>
      </c>
      <c r="T51" s="466">
        <f>+[7]cons!S51</f>
        <v>50</v>
      </c>
      <c r="U51" s="352">
        <f>+[7]cons!T51</f>
        <v>0</v>
      </c>
      <c r="V51" s="466">
        <f>+[7]cons!U51</f>
        <v>54</v>
      </c>
      <c r="W51" s="352">
        <f>+[7]cons!V51</f>
        <v>0</v>
      </c>
      <c r="X51" s="466">
        <f>+[7]cons!W51</f>
        <v>85</v>
      </c>
      <c r="Y51" s="352">
        <f>+[7]cons!X51</f>
        <v>0</v>
      </c>
      <c r="Z51" s="466">
        <f>+[7]cons!Y51</f>
        <v>0</v>
      </c>
      <c r="AA51" s="352">
        <f>+[7]cons!Z51</f>
        <v>0</v>
      </c>
      <c r="AB51" s="466">
        <f>+[7]cons!AA51</f>
        <v>17</v>
      </c>
      <c r="AC51" s="352">
        <f>+[7]cons!AB51</f>
        <v>0</v>
      </c>
      <c r="AD51" s="466">
        <f>+[7]cons!AC51</f>
        <v>0</v>
      </c>
    </row>
    <row r="52" spans="1:30" s="337" customFormat="1">
      <c r="A52" s="1449" t="s">
        <v>1552</v>
      </c>
      <c r="B52" s="550">
        <f t="shared" si="3"/>
        <v>2704</v>
      </c>
      <c r="C52" s="549">
        <f t="shared" si="6"/>
        <v>368</v>
      </c>
      <c r="D52" s="549">
        <f t="shared" si="7"/>
        <v>2336</v>
      </c>
      <c r="E52" s="352">
        <f>+[7]cons!D52</f>
        <v>20</v>
      </c>
      <c r="F52" s="466">
        <f>+[7]cons!E52</f>
        <v>256</v>
      </c>
      <c r="G52" s="352">
        <f>+[7]cons!F52</f>
        <v>32</v>
      </c>
      <c r="H52" s="466">
        <f>+[7]cons!G52</f>
        <v>208</v>
      </c>
      <c r="I52" s="352">
        <f>+[7]cons!H52</f>
        <v>10</v>
      </c>
      <c r="J52" s="466">
        <f>+[7]cons!I52</f>
        <v>92</v>
      </c>
      <c r="K52" s="352">
        <f>+[7]cons!J52</f>
        <v>4</v>
      </c>
      <c r="L52" s="466">
        <f>+[7]cons!K52</f>
        <v>65</v>
      </c>
      <c r="M52" s="352">
        <f>+[7]cons!L52</f>
        <v>2</v>
      </c>
      <c r="N52" s="466">
        <f>+[7]cons!M52</f>
        <v>123</v>
      </c>
      <c r="O52" s="352">
        <f>+[7]cons!N52</f>
        <v>17</v>
      </c>
      <c r="P52" s="466">
        <f>+[7]cons!O52</f>
        <v>70</v>
      </c>
      <c r="Q52" s="352">
        <f>+[7]cons!P52</f>
        <v>51</v>
      </c>
      <c r="R52" s="466">
        <f>+[7]cons!Q52</f>
        <v>222</v>
      </c>
      <c r="S52" s="352">
        <f>+[7]cons!R52</f>
        <v>110</v>
      </c>
      <c r="T52" s="466">
        <f>+[7]cons!S52</f>
        <v>389</v>
      </c>
      <c r="U52" s="352">
        <f>+[7]cons!T52</f>
        <v>31</v>
      </c>
      <c r="V52" s="466">
        <f>+[7]cons!U52</f>
        <v>120</v>
      </c>
      <c r="W52" s="352">
        <f>+[7]cons!V52</f>
        <v>23</v>
      </c>
      <c r="X52" s="466">
        <f>+[7]cons!W52</f>
        <v>277</v>
      </c>
      <c r="Y52" s="352">
        <f>+[7]cons!X52</f>
        <v>19</v>
      </c>
      <c r="Z52" s="466">
        <f>+[7]cons!Y52</f>
        <v>63</v>
      </c>
      <c r="AA52" s="352">
        <f>+[7]cons!Z52</f>
        <v>34</v>
      </c>
      <c r="AB52" s="466">
        <f>+[7]cons!AA52</f>
        <v>294</v>
      </c>
      <c r="AC52" s="352">
        <f>+[7]cons!AB52</f>
        <v>15</v>
      </c>
      <c r="AD52" s="466">
        <f>+[7]cons!AC52</f>
        <v>157</v>
      </c>
    </row>
    <row r="53" spans="1:30" s="337" customFormat="1">
      <c r="A53" s="1449" t="s">
        <v>1553</v>
      </c>
      <c r="B53" s="550">
        <f t="shared" si="3"/>
        <v>1419</v>
      </c>
      <c r="C53" s="549">
        <f t="shared" si="6"/>
        <v>243</v>
      </c>
      <c r="D53" s="549">
        <f t="shared" si="7"/>
        <v>1176</v>
      </c>
      <c r="E53" s="352">
        <f>+[7]cons!D53</f>
        <v>17</v>
      </c>
      <c r="F53" s="466">
        <f>+[7]cons!E53</f>
        <v>101</v>
      </c>
      <c r="G53" s="352">
        <f>+[7]cons!F53</f>
        <v>13</v>
      </c>
      <c r="H53" s="466">
        <f>+[7]cons!G53</f>
        <v>143</v>
      </c>
      <c r="I53" s="352">
        <f>+[7]cons!H53</f>
        <v>4</v>
      </c>
      <c r="J53" s="466">
        <f>+[7]cons!I53</f>
        <v>34</v>
      </c>
      <c r="K53" s="352">
        <f>+[7]cons!J53</f>
        <v>11</v>
      </c>
      <c r="L53" s="466">
        <f>+[7]cons!K53</f>
        <v>44</v>
      </c>
      <c r="M53" s="352">
        <f>+[7]cons!L53</f>
        <v>10</v>
      </c>
      <c r="N53" s="466">
        <f>+[7]cons!M53</f>
        <v>61</v>
      </c>
      <c r="O53" s="352">
        <f>+[7]cons!N53</f>
        <v>8</v>
      </c>
      <c r="P53" s="466">
        <f>+[7]cons!O53</f>
        <v>41</v>
      </c>
      <c r="Q53" s="352">
        <f>+[7]cons!P53</f>
        <v>43</v>
      </c>
      <c r="R53" s="466">
        <f>+[7]cons!Q53</f>
        <v>185</v>
      </c>
      <c r="S53" s="352">
        <f>+[7]cons!R53</f>
        <v>48</v>
      </c>
      <c r="T53" s="466">
        <f>+[7]cons!S53</f>
        <v>165</v>
      </c>
      <c r="U53" s="352">
        <f>+[7]cons!T53</f>
        <v>12</v>
      </c>
      <c r="V53" s="466">
        <f>+[7]cons!U53</f>
        <v>87</v>
      </c>
      <c r="W53" s="352">
        <f>+[7]cons!V53</f>
        <v>30</v>
      </c>
      <c r="X53" s="466">
        <f>+[7]cons!W53</f>
        <v>98</v>
      </c>
      <c r="Y53" s="352">
        <f>+[7]cons!X53</f>
        <v>9</v>
      </c>
      <c r="Z53" s="466">
        <f>+[7]cons!Y53</f>
        <v>46</v>
      </c>
      <c r="AA53" s="352">
        <f>+[7]cons!Z53</f>
        <v>13</v>
      </c>
      <c r="AB53" s="466">
        <f>+[7]cons!AA53</f>
        <v>99</v>
      </c>
      <c r="AC53" s="352">
        <f>+[7]cons!AB53</f>
        <v>25</v>
      </c>
      <c r="AD53" s="466">
        <f>+[7]cons!AC53</f>
        <v>72</v>
      </c>
    </row>
    <row r="54" spans="1:30" s="337" customFormat="1">
      <c r="A54" s="1449" t="s">
        <v>1554</v>
      </c>
      <c r="B54" s="550">
        <f t="shared" si="3"/>
        <v>357</v>
      </c>
      <c r="C54" s="549">
        <f t="shared" si="6"/>
        <v>342</v>
      </c>
      <c r="D54" s="549">
        <f t="shared" si="7"/>
        <v>15</v>
      </c>
      <c r="E54" s="352">
        <f>+[7]cons!D54</f>
        <v>8</v>
      </c>
      <c r="F54" s="466">
        <f>+[7]cons!E54</f>
        <v>0</v>
      </c>
      <c r="G54" s="352">
        <f>+[7]cons!F54</f>
        <v>12</v>
      </c>
      <c r="H54" s="466">
        <f>+[7]cons!G54</f>
        <v>0</v>
      </c>
      <c r="I54" s="352">
        <f>+[7]cons!H54</f>
        <v>38</v>
      </c>
      <c r="J54" s="466">
        <f>+[7]cons!I54</f>
        <v>0</v>
      </c>
      <c r="K54" s="352">
        <f>+[7]cons!J54</f>
        <v>17</v>
      </c>
      <c r="L54" s="466">
        <f>+[7]cons!K54</f>
        <v>0</v>
      </c>
      <c r="M54" s="352">
        <f>+[7]cons!L54</f>
        <v>14</v>
      </c>
      <c r="N54" s="466">
        <f>+[7]cons!M54</f>
        <v>6</v>
      </c>
      <c r="O54" s="352">
        <f>+[7]cons!N54</f>
        <v>0</v>
      </c>
      <c r="P54" s="466">
        <f>+[7]cons!O54</f>
        <v>0</v>
      </c>
      <c r="Q54" s="352">
        <f>+[7]cons!P54</f>
        <v>53</v>
      </c>
      <c r="R54" s="466">
        <f>+[7]cons!Q54</f>
        <v>0</v>
      </c>
      <c r="S54" s="352">
        <f>+[7]cons!R54</f>
        <v>105</v>
      </c>
      <c r="T54" s="466">
        <f>+[7]cons!S54</f>
        <v>0</v>
      </c>
      <c r="U54" s="352">
        <f>+[7]cons!T54</f>
        <v>30</v>
      </c>
      <c r="V54" s="466">
        <f>+[7]cons!U54</f>
        <v>0</v>
      </c>
      <c r="W54" s="352">
        <f>+[7]cons!V54</f>
        <v>14</v>
      </c>
      <c r="X54" s="466">
        <f>+[7]cons!W54</f>
        <v>0</v>
      </c>
      <c r="Y54" s="352">
        <f>+[7]cons!X54</f>
        <v>2</v>
      </c>
      <c r="Z54" s="466">
        <f>+[7]cons!Y54</f>
        <v>4</v>
      </c>
      <c r="AA54" s="352">
        <f>+[7]cons!Z54</f>
        <v>38</v>
      </c>
      <c r="AB54" s="466">
        <f>+[7]cons!AA54</f>
        <v>0</v>
      </c>
      <c r="AC54" s="352">
        <f>+[7]cons!AB54</f>
        <v>11</v>
      </c>
      <c r="AD54" s="466">
        <f>+[7]cons!AC54</f>
        <v>5</v>
      </c>
    </row>
    <row r="55" spans="1:30" s="337" customFormat="1">
      <c r="A55" s="1449" t="s">
        <v>1677</v>
      </c>
      <c r="B55" s="550">
        <f t="shared" si="3"/>
        <v>1144</v>
      </c>
      <c r="C55" s="549">
        <f t="shared" si="6"/>
        <v>24</v>
      </c>
      <c r="D55" s="549">
        <f t="shared" si="7"/>
        <v>1120</v>
      </c>
      <c r="E55" s="352">
        <f>+[7]cons!D55</f>
        <v>0</v>
      </c>
      <c r="F55" s="466">
        <f>+[7]cons!E55</f>
        <v>67</v>
      </c>
      <c r="G55" s="352">
        <f>+[7]cons!F55</f>
        <v>4</v>
      </c>
      <c r="H55" s="466">
        <f>+[7]cons!G55</f>
        <v>146</v>
      </c>
      <c r="I55" s="352">
        <f>+[7]cons!H55</f>
        <v>0</v>
      </c>
      <c r="J55" s="466">
        <f>+[7]cons!I55</f>
        <v>24</v>
      </c>
      <c r="K55" s="352">
        <f>+[7]cons!J55</f>
        <v>10</v>
      </c>
      <c r="L55" s="466">
        <f>+[7]cons!K55</f>
        <v>53</v>
      </c>
      <c r="M55" s="352">
        <f>+[7]cons!L55</f>
        <v>0</v>
      </c>
      <c r="N55" s="466">
        <f>+[7]cons!M55</f>
        <v>53</v>
      </c>
      <c r="O55" s="352">
        <f>+[7]cons!N55</f>
        <v>1</v>
      </c>
      <c r="P55" s="466">
        <f>+[7]cons!O55</f>
        <v>30</v>
      </c>
      <c r="Q55" s="352">
        <f>+[7]cons!P55</f>
        <v>0</v>
      </c>
      <c r="R55" s="466">
        <f>+[7]cons!Q55</f>
        <v>147</v>
      </c>
      <c r="S55" s="352">
        <f>+[7]cons!R55</f>
        <v>0</v>
      </c>
      <c r="T55" s="466">
        <f>+[7]cons!S55</f>
        <v>153</v>
      </c>
      <c r="U55" s="352">
        <f>+[7]cons!T55</f>
        <v>0</v>
      </c>
      <c r="V55" s="466">
        <f>+[7]cons!U55</f>
        <v>108</v>
      </c>
      <c r="W55" s="352">
        <f>+[7]cons!V55</f>
        <v>8</v>
      </c>
      <c r="X55" s="466">
        <f>+[7]cons!W55</f>
        <v>155</v>
      </c>
      <c r="Y55" s="352">
        <f>+[7]cons!X55</f>
        <v>0</v>
      </c>
      <c r="Z55" s="466">
        <f>+[7]cons!Y55</f>
        <v>45</v>
      </c>
      <c r="AA55" s="352">
        <f>+[7]cons!Z55</f>
        <v>0</v>
      </c>
      <c r="AB55" s="466">
        <f>+[7]cons!AA55</f>
        <v>79</v>
      </c>
      <c r="AC55" s="352">
        <f>+[7]cons!AB55</f>
        <v>1</v>
      </c>
      <c r="AD55" s="466">
        <f>+[7]cons!AC55</f>
        <v>60</v>
      </c>
    </row>
    <row r="56" spans="1:30" s="337" customFormat="1">
      <c r="A56" s="1449" t="s">
        <v>1555</v>
      </c>
      <c r="B56" s="550">
        <f t="shared" si="3"/>
        <v>22</v>
      </c>
      <c r="C56" s="549">
        <f t="shared" si="6"/>
        <v>3</v>
      </c>
      <c r="D56" s="549">
        <f t="shared" si="7"/>
        <v>19</v>
      </c>
      <c r="E56" s="352">
        <f>+[7]cons!D56</f>
        <v>0</v>
      </c>
      <c r="F56" s="466">
        <f>+[7]cons!E56</f>
        <v>0</v>
      </c>
      <c r="G56" s="352">
        <f>+[7]cons!F56</f>
        <v>0</v>
      </c>
      <c r="H56" s="466">
        <f>+[7]cons!G56</f>
        <v>0</v>
      </c>
      <c r="I56" s="352">
        <f>+[7]cons!H56</f>
        <v>0</v>
      </c>
      <c r="J56" s="466">
        <f>+[7]cons!I56</f>
        <v>0</v>
      </c>
      <c r="K56" s="352">
        <f>+[7]cons!J56</f>
        <v>1</v>
      </c>
      <c r="L56" s="466">
        <f>+[7]cons!K56</f>
        <v>0</v>
      </c>
      <c r="M56" s="352">
        <f>+[7]cons!L56</f>
        <v>0</v>
      </c>
      <c r="N56" s="466">
        <f>+[7]cons!M56</f>
        <v>0</v>
      </c>
      <c r="O56" s="352">
        <f>+[7]cons!N56</f>
        <v>0</v>
      </c>
      <c r="P56" s="466">
        <f>+[7]cons!O56</f>
        <v>0</v>
      </c>
      <c r="Q56" s="352">
        <f>+[7]cons!P56</f>
        <v>1</v>
      </c>
      <c r="R56" s="466">
        <f>+[7]cons!Q56</f>
        <v>7</v>
      </c>
      <c r="S56" s="352">
        <f>+[7]cons!R56</f>
        <v>0</v>
      </c>
      <c r="T56" s="466">
        <f>+[7]cons!S56</f>
        <v>0</v>
      </c>
      <c r="U56" s="352">
        <f>+[7]cons!T56</f>
        <v>0</v>
      </c>
      <c r="V56" s="466">
        <f>+[7]cons!U56</f>
        <v>0</v>
      </c>
      <c r="W56" s="352">
        <f>+[7]cons!V56</f>
        <v>0</v>
      </c>
      <c r="X56" s="466">
        <f>+[7]cons!W56</f>
        <v>0</v>
      </c>
      <c r="Y56" s="352">
        <f>+[7]cons!X56</f>
        <v>1</v>
      </c>
      <c r="Z56" s="466">
        <f>+[7]cons!Y56</f>
        <v>0</v>
      </c>
      <c r="AA56" s="352">
        <f>+[7]cons!Z56</f>
        <v>0</v>
      </c>
      <c r="AB56" s="466">
        <f>+[7]cons!AA56</f>
        <v>1</v>
      </c>
      <c r="AC56" s="352">
        <f>+[7]cons!AB56</f>
        <v>0</v>
      </c>
      <c r="AD56" s="466">
        <f>+[7]cons!AC56</f>
        <v>11</v>
      </c>
    </row>
    <row r="57" spans="1:30" s="337" customFormat="1">
      <c r="A57" s="1449" t="s">
        <v>1678</v>
      </c>
      <c r="B57" s="550">
        <f t="shared" si="3"/>
        <v>733</v>
      </c>
      <c r="C57" s="549">
        <f t="shared" si="6"/>
        <v>1</v>
      </c>
      <c r="D57" s="549">
        <f t="shared" si="7"/>
        <v>732</v>
      </c>
      <c r="E57" s="352">
        <f>+[7]cons!D57</f>
        <v>0</v>
      </c>
      <c r="F57" s="466">
        <f>+[7]cons!E57</f>
        <v>57</v>
      </c>
      <c r="G57" s="352">
        <f>+[7]cons!F57</f>
        <v>0</v>
      </c>
      <c r="H57" s="466">
        <f>+[7]cons!G57</f>
        <v>106</v>
      </c>
      <c r="I57" s="352">
        <f>+[7]cons!H57</f>
        <v>0</v>
      </c>
      <c r="J57" s="466">
        <f>+[7]cons!I57</f>
        <v>11</v>
      </c>
      <c r="K57" s="352">
        <f>+[7]cons!J57</f>
        <v>0</v>
      </c>
      <c r="L57" s="466">
        <f>+[7]cons!K57</f>
        <v>26</v>
      </c>
      <c r="M57" s="352">
        <f>+[7]cons!L57</f>
        <v>0</v>
      </c>
      <c r="N57" s="466">
        <f>+[7]cons!M57</f>
        <v>24</v>
      </c>
      <c r="O57" s="352">
        <f>+[7]cons!N57</f>
        <v>0</v>
      </c>
      <c r="P57" s="466">
        <f>+[7]cons!O57</f>
        <v>26</v>
      </c>
      <c r="Q57" s="352">
        <f>+[7]cons!P57</f>
        <v>0</v>
      </c>
      <c r="R57" s="466">
        <f>+[7]cons!Q57</f>
        <v>111</v>
      </c>
      <c r="S57" s="352">
        <f>+[7]cons!R57</f>
        <v>0</v>
      </c>
      <c r="T57" s="466">
        <f>+[7]cons!S57</f>
        <v>100</v>
      </c>
      <c r="U57" s="352">
        <f>+[7]cons!T57</f>
        <v>0</v>
      </c>
      <c r="V57" s="466">
        <f>+[7]cons!U57</f>
        <v>71</v>
      </c>
      <c r="W57" s="352">
        <f>+[7]cons!V57</f>
        <v>0</v>
      </c>
      <c r="X57" s="466">
        <f>+[7]cons!W57</f>
        <v>73</v>
      </c>
      <c r="Y57" s="352">
        <f>+[7]cons!X57</f>
        <v>0</v>
      </c>
      <c r="Z57" s="466">
        <f>+[7]cons!Y57</f>
        <v>21</v>
      </c>
      <c r="AA57" s="352">
        <f>+[7]cons!Z57</f>
        <v>0</v>
      </c>
      <c r="AB57" s="466">
        <f>+[7]cons!AA57</f>
        <v>61</v>
      </c>
      <c r="AC57" s="352">
        <f>+[7]cons!AB57</f>
        <v>1</v>
      </c>
      <c r="AD57" s="466">
        <f>+[7]cons!AC57</f>
        <v>45</v>
      </c>
    </row>
    <row r="58" spans="1:30" s="337" customFormat="1">
      <c r="A58" s="1449" t="s">
        <v>1556</v>
      </c>
      <c r="B58" s="550">
        <f t="shared" si="3"/>
        <v>6</v>
      </c>
      <c r="C58" s="549">
        <f t="shared" si="6"/>
        <v>0</v>
      </c>
      <c r="D58" s="549">
        <f t="shared" si="7"/>
        <v>6</v>
      </c>
      <c r="E58" s="352">
        <f>+[7]cons!D58</f>
        <v>0</v>
      </c>
      <c r="F58" s="466">
        <f>+[7]cons!E58</f>
        <v>0</v>
      </c>
      <c r="G58" s="352">
        <f>+[7]cons!F58</f>
        <v>0</v>
      </c>
      <c r="H58" s="466">
        <f>+[7]cons!G58</f>
        <v>0</v>
      </c>
      <c r="I58" s="352">
        <f>+[7]cons!H58</f>
        <v>0</v>
      </c>
      <c r="J58" s="466">
        <f>+[7]cons!I58</f>
        <v>0</v>
      </c>
      <c r="K58" s="352">
        <f>+[7]cons!J58</f>
        <v>0</v>
      </c>
      <c r="L58" s="466">
        <f>+[7]cons!K58</f>
        <v>0</v>
      </c>
      <c r="M58" s="352">
        <f>+[7]cons!L58</f>
        <v>0</v>
      </c>
      <c r="N58" s="466">
        <f>+[7]cons!M58</f>
        <v>0</v>
      </c>
      <c r="O58" s="352">
        <f>+[7]cons!N58</f>
        <v>0</v>
      </c>
      <c r="P58" s="466">
        <f>+[7]cons!O58</f>
        <v>0</v>
      </c>
      <c r="Q58" s="352">
        <f>+[7]cons!P58</f>
        <v>0</v>
      </c>
      <c r="R58" s="466">
        <f>+[7]cons!Q58</f>
        <v>0</v>
      </c>
      <c r="S58" s="352">
        <f>+[7]cons!R58</f>
        <v>0</v>
      </c>
      <c r="T58" s="466">
        <f>+[7]cons!S58</f>
        <v>0</v>
      </c>
      <c r="U58" s="352">
        <f>+[7]cons!T58</f>
        <v>0</v>
      </c>
      <c r="V58" s="466">
        <f>+[7]cons!U58</f>
        <v>0</v>
      </c>
      <c r="W58" s="352">
        <f>+[7]cons!V58</f>
        <v>0</v>
      </c>
      <c r="X58" s="466">
        <f>+[7]cons!W58</f>
        <v>0</v>
      </c>
      <c r="Y58" s="352">
        <f>+[7]cons!X58</f>
        <v>0</v>
      </c>
      <c r="Z58" s="466">
        <f>+[7]cons!Y58</f>
        <v>0</v>
      </c>
      <c r="AA58" s="352">
        <f>+[7]cons!Z58</f>
        <v>0</v>
      </c>
      <c r="AB58" s="466">
        <f>+[7]cons!AA58</f>
        <v>0</v>
      </c>
      <c r="AC58" s="352">
        <f>+[7]cons!AB58</f>
        <v>0</v>
      </c>
      <c r="AD58" s="466">
        <f>+[7]cons!AC58</f>
        <v>6</v>
      </c>
    </row>
    <row r="59" spans="1:30" s="337" customFormat="1">
      <c r="A59" s="1449" t="s">
        <v>1557</v>
      </c>
      <c r="B59" s="550">
        <f t="shared" si="3"/>
        <v>5</v>
      </c>
      <c r="C59" s="549">
        <f t="shared" si="6"/>
        <v>0</v>
      </c>
      <c r="D59" s="549">
        <f t="shared" si="7"/>
        <v>5</v>
      </c>
      <c r="E59" s="352">
        <f>+[7]cons!D59</f>
        <v>0</v>
      </c>
      <c r="F59" s="466">
        <f>+[7]cons!E59</f>
        <v>0</v>
      </c>
      <c r="G59" s="352">
        <f>+[7]cons!F59</f>
        <v>0</v>
      </c>
      <c r="H59" s="466">
        <f>+[7]cons!G59</f>
        <v>0</v>
      </c>
      <c r="I59" s="352">
        <f>+[7]cons!H59</f>
        <v>0</v>
      </c>
      <c r="J59" s="466">
        <f>+[7]cons!I59</f>
        <v>0</v>
      </c>
      <c r="K59" s="352">
        <f>+[7]cons!J59</f>
        <v>0</v>
      </c>
      <c r="L59" s="466">
        <f>+[7]cons!K59</f>
        <v>1</v>
      </c>
      <c r="M59" s="352">
        <f>+[7]cons!L59</f>
        <v>0</v>
      </c>
      <c r="N59" s="466">
        <f>+[7]cons!M59</f>
        <v>0</v>
      </c>
      <c r="O59" s="352">
        <f>+[7]cons!N59</f>
        <v>0</v>
      </c>
      <c r="P59" s="466">
        <f>+[7]cons!O59</f>
        <v>0</v>
      </c>
      <c r="Q59" s="352">
        <f>+[7]cons!P59</f>
        <v>0</v>
      </c>
      <c r="R59" s="466">
        <f>+[7]cons!Q59</f>
        <v>0</v>
      </c>
      <c r="S59" s="352">
        <f>+[7]cons!R59</f>
        <v>0</v>
      </c>
      <c r="T59" s="466">
        <f>+[7]cons!S59</f>
        <v>0</v>
      </c>
      <c r="U59" s="352">
        <f>+[7]cons!T59</f>
        <v>0</v>
      </c>
      <c r="V59" s="466">
        <f>+[7]cons!U59</f>
        <v>0</v>
      </c>
      <c r="W59" s="352">
        <f>+[7]cons!V59</f>
        <v>0</v>
      </c>
      <c r="X59" s="466">
        <f>+[7]cons!W59</f>
        <v>0</v>
      </c>
      <c r="Y59" s="352">
        <f>+[7]cons!X59</f>
        <v>0</v>
      </c>
      <c r="Z59" s="466">
        <f>+[7]cons!Y59</f>
        <v>0</v>
      </c>
      <c r="AA59" s="352">
        <f>+[7]cons!Z59</f>
        <v>0</v>
      </c>
      <c r="AB59" s="466">
        <f>+[7]cons!AA59</f>
        <v>0</v>
      </c>
      <c r="AC59" s="352">
        <f>+[7]cons!AB59</f>
        <v>0</v>
      </c>
      <c r="AD59" s="466">
        <f>+[7]cons!AC59</f>
        <v>4</v>
      </c>
    </row>
    <row r="60" spans="1:30" s="337" customFormat="1">
      <c r="A60" s="1449" t="s">
        <v>1679</v>
      </c>
      <c r="B60" s="550">
        <f t="shared" ref="B60" si="8">SUM(C60:D60)</f>
        <v>2</v>
      </c>
      <c r="C60" s="549">
        <f t="shared" si="6"/>
        <v>0</v>
      </c>
      <c r="D60" s="549">
        <f t="shared" si="7"/>
        <v>2</v>
      </c>
      <c r="E60" s="352">
        <f>+[7]cons!D60</f>
        <v>0</v>
      </c>
      <c r="F60" s="466">
        <f>+[7]cons!E60</f>
        <v>0</v>
      </c>
      <c r="G60" s="352">
        <f>+[7]cons!F60</f>
        <v>0</v>
      </c>
      <c r="H60" s="466">
        <f>+[7]cons!G60</f>
        <v>0</v>
      </c>
      <c r="I60" s="352">
        <f>+[7]cons!H60</f>
        <v>0</v>
      </c>
      <c r="J60" s="466">
        <f>+[7]cons!I60</f>
        <v>0</v>
      </c>
      <c r="K60" s="352">
        <f>+[7]cons!J60</f>
        <v>0</v>
      </c>
      <c r="L60" s="466">
        <f>+[7]cons!K60</f>
        <v>0</v>
      </c>
      <c r="M60" s="352">
        <f>+[7]cons!L60</f>
        <v>0</v>
      </c>
      <c r="N60" s="466">
        <f>+[7]cons!M60</f>
        <v>0</v>
      </c>
      <c r="O60" s="352">
        <f>+[7]cons!N60</f>
        <v>0</v>
      </c>
      <c r="P60" s="466">
        <f>+[7]cons!O60</f>
        <v>0</v>
      </c>
      <c r="Q60" s="352">
        <f>+[7]cons!P60</f>
        <v>0</v>
      </c>
      <c r="R60" s="466">
        <f>+[7]cons!Q60</f>
        <v>0</v>
      </c>
      <c r="S60" s="352">
        <f>+[7]cons!R60</f>
        <v>0</v>
      </c>
      <c r="T60" s="466">
        <f>+[7]cons!S60</f>
        <v>0</v>
      </c>
      <c r="U60" s="352">
        <f>+[7]cons!T60</f>
        <v>0</v>
      </c>
      <c r="V60" s="466">
        <f>+[7]cons!U60</f>
        <v>0</v>
      </c>
      <c r="W60" s="352">
        <f>+[7]cons!V60</f>
        <v>0</v>
      </c>
      <c r="X60" s="466">
        <f>+[7]cons!W60</f>
        <v>0</v>
      </c>
      <c r="Y60" s="352">
        <f>+[7]cons!X60</f>
        <v>0</v>
      </c>
      <c r="Z60" s="466">
        <f>+[7]cons!Y60</f>
        <v>0</v>
      </c>
      <c r="AA60" s="352">
        <f>+[7]cons!Z60</f>
        <v>0</v>
      </c>
      <c r="AB60" s="466">
        <f>+[7]cons!AA60</f>
        <v>0</v>
      </c>
      <c r="AC60" s="352">
        <f>+[7]cons!AB60</f>
        <v>0</v>
      </c>
      <c r="AD60" s="466">
        <f>+[7]cons!AC60</f>
        <v>2</v>
      </c>
    </row>
    <row r="61" spans="1:30" s="337" customFormat="1">
      <c r="A61" s="1449" t="s">
        <v>1558</v>
      </c>
      <c r="B61" s="550">
        <f t="shared" ref="B61:B65" si="9">SUM(C61:D61)</f>
        <v>0</v>
      </c>
      <c r="C61" s="549">
        <f t="shared" ref="C61:C65" si="10">+E61+G61+I61+K61+M61+O61+Q61+S61+U61+W61+Y61+AA61+AC61</f>
        <v>0</v>
      </c>
      <c r="D61" s="549">
        <f t="shared" ref="D61:D65" si="11">+F61+H61+J61+L61+N61+P61+R61+T61+V61+X61+Z61+AB61+AD61</f>
        <v>0</v>
      </c>
      <c r="E61" s="352">
        <f>+[7]cons!D61</f>
        <v>0</v>
      </c>
      <c r="F61" s="466">
        <f>+[7]cons!E61</f>
        <v>0</v>
      </c>
      <c r="G61" s="352">
        <f>+[7]cons!F61</f>
        <v>0</v>
      </c>
      <c r="H61" s="466">
        <f>+[7]cons!G61</f>
        <v>0</v>
      </c>
      <c r="I61" s="352">
        <f>+[7]cons!H61</f>
        <v>0</v>
      </c>
      <c r="J61" s="466">
        <f>+[7]cons!I61</f>
        <v>0</v>
      </c>
      <c r="K61" s="352">
        <f>+[7]cons!J61</f>
        <v>0</v>
      </c>
      <c r="L61" s="466">
        <f>+[7]cons!K61</f>
        <v>0</v>
      </c>
      <c r="M61" s="352">
        <f>+[7]cons!L61</f>
        <v>0</v>
      </c>
      <c r="N61" s="466">
        <f>+[7]cons!M61</f>
        <v>0</v>
      </c>
      <c r="O61" s="352">
        <f>+[7]cons!N61</f>
        <v>0</v>
      </c>
      <c r="P61" s="466">
        <f>+[7]cons!O61</f>
        <v>0</v>
      </c>
      <c r="Q61" s="352">
        <f>+[7]cons!P61</f>
        <v>0</v>
      </c>
      <c r="R61" s="466">
        <f>+[7]cons!Q61</f>
        <v>0</v>
      </c>
      <c r="S61" s="352">
        <f>+[7]cons!R61</f>
        <v>0</v>
      </c>
      <c r="T61" s="466">
        <f>+[7]cons!S61</f>
        <v>0</v>
      </c>
      <c r="U61" s="352">
        <f>+[7]cons!T61</f>
        <v>0</v>
      </c>
      <c r="V61" s="466">
        <f>+[7]cons!U61</f>
        <v>0</v>
      </c>
      <c r="W61" s="352">
        <f>+[7]cons!V61</f>
        <v>0</v>
      </c>
      <c r="X61" s="466">
        <f>+[7]cons!W61</f>
        <v>0</v>
      </c>
      <c r="Y61" s="352">
        <f>+[7]cons!X61</f>
        <v>0</v>
      </c>
      <c r="Z61" s="466">
        <f>+[7]cons!Y61</f>
        <v>0</v>
      </c>
      <c r="AA61" s="352">
        <f>+[7]cons!Z61</f>
        <v>0</v>
      </c>
      <c r="AB61" s="466">
        <f>+[7]cons!AA61</f>
        <v>0</v>
      </c>
      <c r="AC61" s="352">
        <f>+[7]cons!AB61</f>
        <v>0</v>
      </c>
      <c r="AD61" s="466">
        <f>+[7]cons!AC61</f>
        <v>0</v>
      </c>
    </row>
    <row r="62" spans="1:30">
      <c r="A62" s="1546" t="s">
        <v>1559</v>
      </c>
      <c r="B62" s="550">
        <f t="shared" si="9"/>
        <v>0</v>
      </c>
      <c r="C62" s="549">
        <f t="shared" si="10"/>
        <v>0</v>
      </c>
      <c r="D62" s="549">
        <f t="shared" si="11"/>
        <v>0</v>
      </c>
      <c r="E62" s="352">
        <f>+[7]cons!D62</f>
        <v>0</v>
      </c>
      <c r="F62" s="466">
        <f>+[7]cons!E62</f>
        <v>0</v>
      </c>
      <c r="G62" s="352">
        <f>+[7]cons!F62</f>
        <v>0</v>
      </c>
      <c r="H62" s="466">
        <f>+[7]cons!G62</f>
        <v>0</v>
      </c>
      <c r="I62" s="352">
        <f>+[7]cons!H62</f>
        <v>0</v>
      </c>
      <c r="J62" s="466">
        <f>+[7]cons!I62</f>
        <v>0</v>
      </c>
      <c r="K62" s="352">
        <f>+[7]cons!J62</f>
        <v>0</v>
      </c>
      <c r="L62" s="466">
        <f>+[7]cons!K62</f>
        <v>0</v>
      </c>
      <c r="M62" s="352">
        <f>+[7]cons!L62</f>
        <v>0</v>
      </c>
      <c r="N62" s="466">
        <f>+[7]cons!M62</f>
        <v>0</v>
      </c>
      <c r="O62" s="352">
        <f>+[7]cons!N62</f>
        <v>0</v>
      </c>
      <c r="P62" s="466">
        <f>+[7]cons!O62</f>
        <v>0</v>
      </c>
      <c r="Q62" s="352">
        <f>+[7]cons!P62</f>
        <v>0</v>
      </c>
      <c r="R62" s="466">
        <f>+[7]cons!Q62</f>
        <v>0</v>
      </c>
      <c r="S62" s="352">
        <f>+[7]cons!R62</f>
        <v>0</v>
      </c>
      <c r="T62" s="466">
        <f>+[7]cons!S62</f>
        <v>0</v>
      </c>
      <c r="U62" s="352">
        <f>+[7]cons!T62</f>
        <v>0</v>
      </c>
      <c r="V62" s="466">
        <f>+[7]cons!U62</f>
        <v>0</v>
      </c>
      <c r="W62" s="352">
        <f>+[7]cons!V62</f>
        <v>0</v>
      </c>
      <c r="X62" s="466">
        <f>+[7]cons!W62</f>
        <v>0</v>
      </c>
      <c r="Y62" s="352">
        <f>+[7]cons!X62</f>
        <v>0</v>
      </c>
      <c r="Z62" s="466">
        <f>+[7]cons!Y62</f>
        <v>0</v>
      </c>
      <c r="AA62" s="352">
        <f>+[7]cons!Z62</f>
        <v>0</v>
      </c>
      <c r="AB62" s="466">
        <f>+[7]cons!AA62</f>
        <v>0</v>
      </c>
      <c r="AC62" s="352">
        <f>+[7]cons!AB62</f>
        <v>0</v>
      </c>
      <c r="AD62" s="466">
        <f>+[7]cons!AC62</f>
        <v>0</v>
      </c>
    </row>
    <row r="63" spans="1:30">
      <c r="A63" s="1547" t="s">
        <v>1680</v>
      </c>
      <c r="B63" s="550">
        <f t="shared" si="9"/>
        <v>0</v>
      </c>
      <c r="C63" s="549">
        <f t="shared" si="10"/>
        <v>0</v>
      </c>
      <c r="D63" s="549">
        <f t="shared" si="11"/>
        <v>0</v>
      </c>
      <c r="E63" s="352">
        <f>+[7]cons!D63</f>
        <v>0</v>
      </c>
      <c r="F63" s="466">
        <f>+[7]cons!E63</f>
        <v>0</v>
      </c>
      <c r="G63" s="352">
        <f>+[7]cons!F63</f>
        <v>0</v>
      </c>
      <c r="H63" s="466">
        <f>+[7]cons!G63</f>
        <v>0</v>
      </c>
      <c r="I63" s="352">
        <f>+[7]cons!H63</f>
        <v>0</v>
      </c>
      <c r="J63" s="466">
        <f>+[7]cons!I63</f>
        <v>0</v>
      </c>
      <c r="K63" s="352">
        <f>+[7]cons!J63</f>
        <v>0</v>
      </c>
      <c r="L63" s="466">
        <f>+[7]cons!K63</f>
        <v>0</v>
      </c>
      <c r="M63" s="352">
        <f>+[7]cons!L63</f>
        <v>0</v>
      </c>
      <c r="N63" s="466">
        <f>+[7]cons!M63</f>
        <v>0</v>
      </c>
      <c r="O63" s="352">
        <f>+[7]cons!N63</f>
        <v>0</v>
      </c>
      <c r="P63" s="466">
        <f>+[7]cons!O63</f>
        <v>0</v>
      </c>
      <c r="Q63" s="352">
        <f>+[7]cons!P63</f>
        <v>0</v>
      </c>
      <c r="R63" s="466">
        <f>+[7]cons!Q63</f>
        <v>0</v>
      </c>
      <c r="S63" s="352">
        <f>+[7]cons!R63</f>
        <v>0</v>
      </c>
      <c r="T63" s="466">
        <f>+[7]cons!S63</f>
        <v>0</v>
      </c>
      <c r="U63" s="352">
        <f>+[7]cons!T63</f>
        <v>0</v>
      </c>
      <c r="V63" s="466">
        <f>+[7]cons!U63</f>
        <v>0</v>
      </c>
      <c r="W63" s="352">
        <f>+[7]cons!V63</f>
        <v>0</v>
      </c>
      <c r="X63" s="466">
        <f>+[7]cons!W63</f>
        <v>0</v>
      </c>
      <c r="Y63" s="352">
        <f>+[7]cons!X63</f>
        <v>0</v>
      </c>
      <c r="Z63" s="466">
        <f>+[7]cons!Y63</f>
        <v>0</v>
      </c>
      <c r="AA63" s="352">
        <f>+[7]cons!Z63</f>
        <v>0</v>
      </c>
      <c r="AB63" s="466">
        <f>+[7]cons!AA63</f>
        <v>0</v>
      </c>
      <c r="AC63" s="352">
        <f>+[7]cons!AB63</f>
        <v>0</v>
      </c>
      <c r="AD63" s="466">
        <f>+[7]cons!AC63</f>
        <v>0</v>
      </c>
    </row>
    <row r="64" spans="1:30">
      <c r="A64" s="1547" t="s">
        <v>1681</v>
      </c>
      <c r="B64" s="550">
        <f t="shared" si="9"/>
        <v>0</v>
      </c>
      <c r="C64" s="549">
        <f t="shared" si="10"/>
        <v>0</v>
      </c>
      <c r="D64" s="549">
        <f t="shared" si="11"/>
        <v>0</v>
      </c>
      <c r="E64" s="352">
        <f>+[7]cons!D64</f>
        <v>0</v>
      </c>
      <c r="F64" s="466">
        <f>+[7]cons!E64</f>
        <v>0</v>
      </c>
      <c r="G64" s="352">
        <f>+[7]cons!F64</f>
        <v>0</v>
      </c>
      <c r="H64" s="466">
        <f>+[7]cons!G64</f>
        <v>0</v>
      </c>
      <c r="I64" s="352">
        <f>+[7]cons!H64</f>
        <v>0</v>
      </c>
      <c r="J64" s="466">
        <f>+[7]cons!I64</f>
        <v>0</v>
      </c>
      <c r="K64" s="352">
        <f>+[7]cons!J64</f>
        <v>0</v>
      </c>
      <c r="L64" s="466">
        <f>+[7]cons!K64</f>
        <v>0</v>
      </c>
      <c r="M64" s="352">
        <f>+[7]cons!L64</f>
        <v>0</v>
      </c>
      <c r="N64" s="466">
        <f>+[7]cons!M64</f>
        <v>0</v>
      </c>
      <c r="O64" s="352">
        <f>+[7]cons!N64</f>
        <v>0</v>
      </c>
      <c r="P64" s="466">
        <f>+[7]cons!O64</f>
        <v>0</v>
      </c>
      <c r="Q64" s="352">
        <f>+[7]cons!P64</f>
        <v>0</v>
      </c>
      <c r="R64" s="466">
        <f>+[7]cons!Q64</f>
        <v>0</v>
      </c>
      <c r="S64" s="352">
        <f>+[7]cons!R64</f>
        <v>0</v>
      </c>
      <c r="T64" s="466">
        <f>+[7]cons!S64</f>
        <v>0</v>
      </c>
      <c r="U64" s="352">
        <f>+[7]cons!T64</f>
        <v>0</v>
      </c>
      <c r="V64" s="466">
        <f>+[7]cons!U64</f>
        <v>0</v>
      </c>
      <c r="W64" s="352">
        <f>+[7]cons!V64</f>
        <v>0</v>
      </c>
      <c r="X64" s="466">
        <f>+[7]cons!W64</f>
        <v>0</v>
      </c>
      <c r="Y64" s="352">
        <f>+[7]cons!X64</f>
        <v>0</v>
      </c>
      <c r="Z64" s="466">
        <f>+[7]cons!Y64</f>
        <v>0</v>
      </c>
      <c r="AA64" s="352">
        <f>+[7]cons!Z64</f>
        <v>0</v>
      </c>
      <c r="AB64" s="466">
        <f>+[7]cons!AA64</f>
        <v>0</v>
      </c>
      <c r="AC64" s="352">
        <f>+[7]cons!AB64</f>
        <v>0</v>
      </c>
      <c r="AD64" s="466">
        <f>+[7]cons!AC64</f>
        <v>0</v>
      </c>
    </row>
    <row r="65" spans="1:30">
      <c r="A65" s="1548" t="s">
        <v>517</v>
      </c>
      <c r="B65" s="551">
        <f t="shared" si="9"/>
        <v>16639</v>
      </c>
      <c r="C65" s="1549">
        <f t="shared" si="10"/>
        <v>2421</v>
      </c>
      <c r="D65" s="1549">
        <f t="shared" si="11"/>
        <v>14218</v>
      </c>
      <c r="E65" s="356">
        <f>SUM(E5:E64)</f>
        <v>111</v>
      </c>
      <c r="F65" s="509">
        <f t="shared" ref="F65:AD65" si="12">SUM(F5:F64)</f>
        <v>1132</v>
      </c>
      <c r="G65" s="356">
        <f t="shared" si="12"/>
        <v>224</v>
      </c>
      <c r="H65" s="509">
        <f t="shared" si="12"/>
        <v>1960</v>
      </c>
      <c r="I65" s="356">
        <f t="shared" si="12"/>
        <v>123</v>
      </c>
      <c r="J65" s="509">
        <f t="shared" si="12"/>
        <v>563</v>
      </c>
      <c r="K65" s="356">
        <f t="shared" si="12"/>
        <v>135</v>
      </c>
      <c r="L65" s="509">
        <f t="shared" si="12"/>
        <v>621</v>
      </c>
      <c r="M65" s="356">
        <f t="shared" si="12"/>
        <v>85</v>
      </c>
      <c r="N65" s="509">
        <f t="shared" si="12"/>
        <v>772</v>
      </c>
      <c r="O65" s="356">
        <f t="shared" si="12"/>
        <v>61</v>
      </c>
      <c r="P65" s="509">
        <f t="shared" si="12"/>
        <v>428</v>
      </c>
      <c r="Q65" s="356">
        <f t="shared" si="12"/>
        <v>358</v>
      </c>
      <c r="R65" s="509">
        <f t="shared" si="12"/>
        <v>1853</v>
      </c>
      <c r="S65" s="356">
        <f t="shared" si="12"/>
        <v>605</v>
      </c>
      <c r="T65" s="509">
        <f t="shared" si="12"/>
        <v>1946</v>
      </c>
      <c r="U65" s="356">
        <f t="shared" si="12"/>
        <v>146</v>
      </c>
      <c r="V65" s="509">
        <f t="shared" si="12"/>
        <v>1083</v>
      </c>
      <c r="W65" s="356">
        <f t="shared" si="12"/>
        <v>201</v>
      </c>
      <c r="X65" s="509">
        <f t="shared" si="12"/>
        <v>1510</v>
      </c>
      <c r="Y65" s="356">
        <f t="shared" si="12"/>
        <v>67</v>
      </c>
      <c r="Z65" s="509">
        <f t="shared" si="12"/>
        <v>441</v>
      </c>
      <c r="AA65" s="356">
        <f t="shared" si="12"/>
        <v>176</v>
      </c>
      <c r="AB65" s="509">
        <f t="shared" si="12"/>
        <v>1075</v>
      </c>
      <c r="AC65" s="356">
        <f t="shared" si="12"/>
        <v>129</v>
      </c>
      <c r="AD65" s="509">
        <f t="shared" si="12"/>
        <v>834</v>
      </c>
    </row>
    <row r="66" spans="1:30">
      <c r="A66" s="1545"/>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row>
    <row r="67" spans="1:30">
      <c r="A67" s="1545"/>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row>
    <row r="69" spans="1:30">
      <c r="A69" s="1014" t="s">
        <v>1204</v>
      </c>
    </row>
    <row r="70" spans="1:30">
      <c r="A70" s="1009" t="s">
        <v>1196</v>
      </c>
      <c r="B70" s="548">
        <f>SUM(F70:AD70)</f>
        <v>944</v>
      </c>
      <c r="C70" s="178"/>
      <c r="D70" s="240"/>
      <c r="E70" s="1033"/>
      <c r="F70" s="1034">
        <f>+[7]cons!E67</f>
        <v>54</v>
      </c>
      <c r="G70" s="1033"/>
      <c r="H70" s="1034">
        <f>+[7]cons!G67</f>
        <v>89</v>
      </c>
      <c r="I70" s="1033"/>
      <c r="J70" s="1034">
        <f>+[7]cons!I67</f>
        <v>57</v>
      </c>
      <c r="K70" s="1033"/>
      <c r="L70" s="1034">
        <f>+[7]cons!K67</f>
        <v>116</v>
      </c>
      <c r="M70" s="1033"/>
      <c r="N70" s="1034">
        <f>+[7]cons!M67</f>
        <v>51</v>
      </c>
      <c r="O70" s="1033"/>
      <c r="P70" s="1034">
        <f>+[7]cons!O67</f>
        <v>10</v>
      </c>
      <c r="Q70" s="1033"/>
      <c r="R70" s="1034">
        <f>+[7]cons!Q67</f>
        <v>19</v>
      </c>
      <c r="S70" s="1033"/>
      <c r="T70" s="1034">
        <f>+[7]cons!S67</f>
        <v>120</v>
      </c>
      <c r="U70" s="1033"/>
      <c r="V70" s="1034">
        <f>+[7]cons!U67</f>
        <v>92</v>
      </c>
      <c r="W70" s="1033"/>
      <c r="X70" s="1034">
        <f>+[7]cons!W67</f>
        <v>98</v>
      </c>
      <c r="Y70" s="1033"/>
      <c r="Z70" s="1034">
        <f>+[7]cons!Y67</f>
        <v>62</v>
      </c>
      <c r="AA70" s="1033"/>
      <c r="AB70" s="1034">
        <f>+[7]cons!AA67</f>
        <v>123</v>
      </c>
      <c r="AC70" s="1033"/>
      <c r="AD70" s="1034">
        <f>+[7]cons!AC67</f>
        <v>53</v>
      </c>
    </row>
    <row r="71" spans="1:30">
      <c r="A71" s="1010" t="s">
        <v>1197</v>
      </c>
      <c r="B71" s="550">
        <f t="shared" ref="B71:B80" si="13">SUM(F71:AD71)</f>
        <v>675</v>
      </c>
      <c r="C71" s="320"/>
      <c r="D71" s="149"/>
      <c r="E71" s="1035"/>
      <c r="F71" s="1036">
        <f>+[7]cons!E68</f>
        <v>73</v>
      </c>
      <c r="G71" s="1035"/>
      <c r="H71" s="1036">
        <f>+[7]cons!G68</f>
        <v>124</v>
      </c>
      <c r="I71" s="1035"/>
      <c r="J71" s="1036">
        <f>+[7]cons!I68</f>
        <v>31</v>
      </c>
      <c r="K71" s="1035"/>
      <c r="L71" s="1036">
        <f>+[7]cons!K68</f>
        <v>22</v>
      </c>
      <c r="M71" s="1035"/>
      <c r="N71" s="1036">
        <f>+[7]cons!M68</f>
        <v>56</v>
      </c>
      <c r="O71" s="1035"/>
      <c r="P71" s="1036">
        <f>+[7]cons!O68</f>
        <v>15</v>
      </c>
      <c r="Q71" s="1035"/>
      <c r="R71" s="1036">
        <f>+[7]cons!Q68</f>
        <v>9</v>
      </c>
      <c r="S71" s="1035"/>
      <c r="T71" s="1036">
        <f>+[7]cons!S68</f>
        <v>77</v>
      </c>
      <c r="U71" s="1035"/>
      <c r="V71" s="1036">
        <f>+[7]cons!U68</f>
        <v>28</v>
      </c>
      <c r="W71" s="1035"/>
      <c r="X71" s="1036">
        <f>+[7]cons!W68</f>
        <v>75</v>
      </c>
      <c r="Y71" s="1035"/>
      <c r="Z71" s="1036">
        <f>+[7]cons!Y68</f>
        <v>37</v>
      </c>
      <c r="AA71" s="1035"/>
      <c r="AB71" s="1036">
        <f>+[7]cons!AA68</f>
        <v>73</v>
      </c>
      <c r="AC71" s="1035"/>
      <c r="AD71" s="1036">
        <f>+[7]cons!AC68</f>
        <v>55</v>
      </c>
    </row>
    <row r="72" spans="1:30">
      <c r="A72" s="1010" t="s">
        <v>1198</v>
      </c>
      <c r="B72" s="550">
        <f t="shared" si="13"/>
        <v>1</v>
      </c>
      <c r="C72" s="320"/>
      <c r="D72" s="149"/>
      <c r="E72" s="1035"/>
      <c r="F72" s="1036">
        <f>+[7]cons!E69</f>
        <v>1</v>
      </c>
      <c r="G72" s="1035"/>
      <c r="H72" s="1036">
        <f>+[7]cons!G69</f>
        <v>0</v>
      </c>
      <c r="I72" s="1035"/>
      <c r="J72" s="1036">
        <f>+[7]cons!I69</f>
        <v>0</v>
      </c>
      <c r="K72" s="1035"/>
      <c r="L72" s="1036">
        <f>+[7]cons!K69</f>
        <v>0</v>
      </c>
      <c r="M72" s="1035"/>
      <c r="N72" s="1036">
        <f>+[7]cons!M69</f>
        <v>0</v>
      </c>
      <c r="O72" s="1035"/>
      <c r="P72" s="1036">
        <f>+[7]cons!O69</f>
        <v>0</v>
      </c>
      <c r="Q72" s="1035"/>
      <c r="R72" s="1036">
        <f>+[7]cons!Q69</f>
        <v>0</v>
      </c>
      <c r="S72" s="1035"/>
      <c r="T72" s="1036">
        <f>+[7]cons!S69</f>
        <v>0</v>
      </c>
      <c r="U72" s="1035"/>
      <c r="V72" s="1036">
        <f>+[7]cons!U69</f>
        <v>0</v>
      </c>
      <c r="W72" s="1035"/>
      <c r="X72" s="1036">
        <f>+[7]cons!W69</f>
        <v>0</v>
      </c>
      <c r="Y72" s="1035"/>
      <c r="Z72" s="1036">
        <f>+[7]cons!Y69</f>
        <v>0</v>
      </c>
      <c r="AA72" s="1035"/>
      <c r="AB72" s="1036">
        <f>+[7]cons!AA69</f>
        <v>0</v>
      </c>
      <c r="AC72" s="1035"/>
      <c r="AD72" s="1036">
        <f>+[7]cons!AC69</f>
        <v>0</v>
      </c>
    </row>
    <row r="73" spans="1:30" ht="20.399999999999999">
      <c r="A73" s="1010" t="s">
        <v>1199</v>
      </c>
      <c r="B73" s="550">
        <f t="shared" si="13"/>
        <v>594</v>
      </c>
      <c r="C73" s="320"/>
      <c r="D73" s="149"/>
      <c r="E73" s="1035"/>
      <c r="F73" s="1036">
        <f>+[7]cons!E70</f>
        <v>63</v>
      </c>
      <c r="G73" s="1035"/>
      <c r="H73" s="1036">
        <f>+[7]cons!G70</f>
        <v>89</v>
      </c>
      <c r="I73" s="1035"/>
      <c r="J73" s="1036">
        <f>+[7]cons!I70</f>
        <v>35</v>
      </c>
      <c r="K73" s="1035"/>
      <c r="L73" s="1036">
        <f>+[7]cons!K70</f>
        <v>36</v>
      </c>
      <c r="M73" s="1035"/>
      <c r="N73" s="1036">
        <f>+[7]cons!M70</f>
        <v>14</v>
      </c>
      <c r="O73" s="1035"/>
      <c r="P73" s="1036">
        <f>+[7]cons!O70</f>
        <v>14</v>
      </c>
      <c r="Q73" s="1035"/>
      <c r="R73" s="1036">
        <f>+[7]cons!Q70</f>
        <v>39</v>
      </c>
      <c r="S73" s="1035"/>
      <c r="T73" s="1036">
        <f>+[7]cons!S70</f>
        <v>114</v>
      </c>
      <c r="U73" s="1035"/>
      <c r="V73" s="1036">
        <f>+[7]cons!U70</f>
        <v>36</v>
      </c>
      <c r="W73" s="1035"/>
      <c r="X73" s="1036">
        <f>+[7]cons!W70</f>
        <v>34</v>
      </c>
      <c r="Y73" s="1035"/>
      <c r="Z73" s="1036">
        <f>+[7]cons!Y70</f>
        <v>40</v>
      </c>
      <c r="AA73" s="1035"/>
      <c r="AB73" s="1036">
        <f>+[7]cons!AA70</f>
        <v>45</v>
      </c>
      <c r="AC73" s="1035"/>
      <c r="AD73" s="1036">
        <f>+[7]cons!AC70</f>
        <v>35</v>
      </c>
    </row>
    <row r="74" spans="1:30">
      <c r="A74" s="1010" t="s">
        <v>1200</v>
      </c>
      <c r="B74" s="550">
        <f t="shared" si="13"/>
        <v>136</v>
      </c>
      <c r="C74" s="320"/>
      <c r="D74" s="149"/>
      <c r="E74" s="1035"/>
      <c r="F74" s="1036">
        <f>+[7]cons!E71</f>
        <v>20</v>
      </c>
      <c r="G74" s="1035"/>
      <c r="H74" s="1036">
        <f>+[7]cons!G71</f>
        <v>28</v>
      </c>
      <c r="I74" s="1035"/>
      <c r="J74" s="1036">
        <f>+[7]cons!I71</f>
        <v>9</v>
      </c>
      <c r="K74" s="1035"/>
      <c r="L74" s="1036">
        <f>+[7]cons!K71</f>
        <v>15</v>
      </c>
      <c r="M74" s="1035"/>
      <c r="N74" s="1036">
        <f>+[7]cons!M71</f>
        <v>10</v>
      </c>
      <c r="O74" s="1035"/>
      <c r="P74" s="1036">
        <f>+[7]cons!O71</f>
        <v>1</v>
      </c>
      <c r="Q74" s="1035"/>
      <c r="R74" s="1036">
        <f>+[7]cons!Q71</f>
        <v>9</v>
      </c>
      <c r="S74" s="1035"/>
      <c r="T74" s="1036">
        <f>+[7]cons!S71</f>
        <v>13</v>
      </c>
      <c r="U74" s="1035"/>
      <c r="V74" s="1036">
        <f>+[7]cons!U71</f>
        <v>2</v>
      </c>
      <c r="W74" s="1035"/>
      <c r="X74" s="1036">
        <f>+[7]cons!W71</f>
        <v>4</v>
      </c>
      <c r="Y74" s="1035"/>
      <c r="Z74" s="1036">
        <f>+[7]cons!Y71</f>
        <v>6</v>
      </c>
      <c r="AA74" s="1035"/>
      <c r="AB74" s="1036">
        <f>+[7]cons!AA71</f>
        <v>10</v>
      </c>
      <c r="AC74" s="1035"/>
      <c r="AD74" s="1036">
        <f>+[7]cons!AC71</f>
        <v>9</v>
      </c>
    </row>
    <row r="75" spans="1:30">
      <c r="A75" s="1010" t="s">
        <v>1201</v>
      </c>
      <c r="B75" s="550">
        <f t="shared" si="13"/>
        <v>225</v>
      </c>
      <c r="C75" s="320"/>
      <c r="D75" s="149"/>
      <c r="E75" s="1035"/>
      <c r="F75" s="1036">
        <f>+[7]cons!E72</f>
        <v>14</v>
      </c>
      <c r="G75" s="1035"/>
      <c r="H75" s="1036">
        <f>+[7]cons!G72</f>
        <v>41</v>
      </c>
      <c r="I75" s="1035"/>
      <c r="J75" s="1036">
        <f>+[7]cons!I72</f>
        <v>11</v>
      </c>
      <c r="K75" s="1035"/>
      <c r="L75" s="1036">
        <f>+[7]cons!K72</f>
        <v>15</v>
      </c>
      <c r="M75" s="1035"/>
      <c r="N75" s="1036">
        <f>+[7]cons!M72</f>
        <v>11</v>
      </c>
      <c r="O75" s="1035"/>
      <c r="P75" s="1036">
        <f>+[7]cons!O72</f>
        <v>3</v>
      </c>
      <c r="Q75" s="1035"/>
      <c r="R75" s="1036">
        <f>+[7]cons!Q72</f>
        <v>13</v>
      </c>
      <c r="S75" s="1035"/>
      <c r="T75" s="1036">
        <f>+[7]cons!S72</f>
        <v>48</v>
      </c>
      <c r="U75" s="1035"/>
      <c r="V75" s="1036">
        <f>+[7]cons!U72</f>
        <v>21</v>
      </c>
      <c r="W75" s="1035"/>
      <c r="X75" s="1036">
        <f>+[7]cons!W72</f>
        <v>19</v>
      </c>
      <c r="Y75" s="1035"/>
      <c r="Z75" s="1036">
        <f>+[7]cons!Y72</f>
        <v>4</v>
      </c>
      <c r="AA75" s="1035"/>
      <c r="AB75" s="1036">
        <f>+[7]cons!AA72</f>
        <v>7</v>
      </c>
      <c r="AC75" s="1035"/>
      <c r="AD75" s="1036">
        <f>+[7]cons!AC72</f>
        <v>18</v>
      </c>
    </row>
    <row r="76" spans="1:30">
      <c r="A76" s="1011" t="s">
        <v>1202</v>
      </c>
      <c r="B76" s="550">
        <f t="shared" si="13"/>
        <v>310</v>
      </c>
      <c r="C76" s="320"/>
      <c r="D76" s="149"/>
      <c r="E76" s="1035"/>
      <c r="F76" s="1036">
        <f>+[7]cons!E73</f>
        <v>25</v>
      </c>
      <c r="G76" s="1035"/>
      <c r="H76" s="1036">
        <f>+[7]cons!G73</f>
        <v>62</v>
      </c>
      <c r="I76" s="1035"/>
      <c r="J76" s="1036">
        <f>+[7]cons!I73</f>
        <v>15</v>
      </c>
      <c r="K76" s="1035"/>
      <c r="L76" s="1036">
        <f>+[7]cons!K73</f>
        <v>25</v>
      </c>
      <c r="M76" s="1035"/>
      <c r="N76" s="1036">
        <f>+[7]cons!M73</f>
        <v>17</v>
      </c>
      <c r="O76" s="1035"/>
      <c r="P76" s="1036">
        <f>+[7]cons!O73</f>
        <v>6</v>
      </c>
      <c r="Q76" s="1035"/>
      <c r="R76" s="1036">
        <f>+[7]cons!Q73</f>
        <v>18</v>
      </c>
      <c r="S76" s="1035"/>
      <c r="T76" s="1036">
        <f>+[7]cons!S73</f>
        <v>43</v>
      </c>
      <c r="U76" s="1035"/>
      <c r="V76" s="1036">
        <f>+[7]cons!U73</f>
        <v>22</v>
      </c>
      <c r="W76" s="1035"/>
      <c r="X76" s="1036">
        <f>+[7]cons!W73</f>
        <v>19</v>
      </c>
      <c r="Y76" s="1035"/>
      <c r="Z76" s="1036">
        <f>+[7]cons!Y73</f>
        <v>9</v>
      </c>
      <c r="AA76" s="1035"/>
      <c r="AB76" s="1036">
        <f>+[7]cons!AA73</f>
        <v>23</v>
      </c>
      <c r="AC76" s="1035"/>
      <c r="AD76" s="1036">
        <f>+[7]cons!AC73</f>
        <v>26</v>
      </c>
    </row>
    <row r="77" spans="1:30">
      <c r="A77" s="1010" t="s">
        <v>1225</v>
      </c>
      <c r="B77" s="550">
        <f t="shared" si="13"/>
        <v>43</v>
      </c>
      <c r="C77" s="320"/>
      <c r="D77" s="149"/>
      <c r="E77" s="1035"/>
      <c r="F77" s="1036">
        <f>+[7]cons!E74</f>
        <v>0</v>
      </c>
      <c r="G77" s="1035"/>
      <c r="H77" s="1036">
        <f>+[7]cons!G74</f>
        <v>13</v>
      </c>
      <c r="I77" s="1035"/>
      <c r="J77" s="1036">
        <f>+[7]cons!I74</f>
        <v>0</v>
      </c>
      <c r="K77" s="1035"/>
      <c r="L77" s="1036">
        <f>+[7]cons!K74</f>
        <v>0</v>
      </c>
      <c r="M77" s="1035"/>
      <c r="N77" s="1036">
        <f>+[7]cons!M74</f>
        <v>0</v>
      </c>
      <c r="O77" s="1035"/>
      <c r="P77" s="1036">
        <f>+[7]cons!O74</f>
        <v>0</v>
      </c>
      <c r="Q77" s="1035"/>
      <c r="R77" s="1036">
        <f>+[7]cons!Q74</f>
        <v>0</v>
      </c>
      <c r="S77" s="1035"/>
      <c r="T77" s="1036">
        <f>+[7]cons!S74</f>
        <v>0</v>
      </c>
      <c r="U77" s="1035"/>
      <c r="V77" s="1036">
        <f>+[7]cons!U74</f>
        <v>0</v>
      </c>
      <c r="W77" s="1035"/>
      <c r="X77" s="1036">
        <f>+[7]cons!W74</f>
        <v>19</v>
      </c>
      <c r="Y77" s="1035"/>
      <c r="Z77" s="1036">
        <f>+[7]cons!Y74</f>
        <v>2</v>
      </c>
      <c r="AA77" s="1035"/>
      <c r="AB77" s="1036">
        <f>+[7]cons!AA74</f>
        <v>6</v>
      </c>
      <c r="AC77" s="1035"/>
      <c r="AD77" s="1036">
        <f>+[7]cons!AC74</f>
        <v>3</v>
      </c>
    </row>
    <row r="78" spans="1:30">
      <c r="A78" s="1011" t="s">
        <v>1226</v>
      </c>
      <c r="B78" s="550">
        <f t="shared" si="13"/>
        <v>0</v>
      </c>
      <c r="C78" s="320"/>
      <c r="D78" s="149"/>
      <c r="E78" s="1035"/>
      <c r="F78" s="1036">
        <f>+[7]cons!E75</f>
        <v>0</v>
      </c>
      <c r="G78" s="1035"/>
      <c r="H78" s="1036">
        <f>+[7]cons!G75</f>
        <v>0</v>
      </c>
      <c r="I78" s="1035"/>
      <c r="J78" s="1036">
        <f>+[7]cons!I75</f>
        <v>0</v>
      </c>
      <c r="K78" s="1035"/>
      <c r="L78" s="1036">
        <f>+[7]cons!K75</f>
        <v>0</v>
      </c>
      <c r="M78" s="1035"/>
      <c r="N78" s="1036">
        <f>+[7]cons!M75</f>
        <v>0</v>
      </c>
      <c r="O78" s="1035"/>
      <c r="P78" s="1036">
        <f>+[7]cons!O75</f>
        <v>0</v>
      </c>
      <c r="Q78" s="1035"/>
      <c r="R78" s="1036">
        <f>+[7]cons!Q75</f>
        <v>0</v>
      </c>
      <c r="S78" s="1035"/>
      <c r="T78" s="1036">
        <f>+[7]cons!S75</f>
        <v>0</v>
      </c>
      <c r="U78" s="1035"/>
      <c r="V78" s="1036">
        <f>+[7]cons!U75</f>
        <v>0</v>
      </c>
      <c r="W78" s="1035"/>
      <c r="X78" s="1036">
        <f>+[7]cons!W75</f>
        <v>0</v>
      </c>
      <c r="Y78" s="1035"/>
      <c r="Z78" s="1036">
        <f>+[7]cons!Y75</f>
        <v>0</v>
      </c>
      <c r="AA78" s="1035"/>
      <c r="AB78" s="1036">
        <f>+[7]cons!AA75</f>
        <v>0</v>
      </c>
      <c r="AC78" s="1035"/>
      <c r="AD78" s="1036">
        <f>+[7]cons!AC75</f>
        <v>0</v>
      </c>
    </row>
    <row r="79" spans="1:30">
      <c r="A79" s="1011" t="s">
        <v>1227</v>
      </c>
      <c r="B79" s="550">
        <f t="shared" si="13"/>
        <v>5</v>
      </c>
      <c r="C79" s="320"/>
      <c r="D79" s="149"/>
      <c r="E79" s="1035"/>
      <c r="F79" s="1036">
        <f>+[7]cons!E76</f>
        <v>0</v>
      </c>
      <c r="G79" s="1035"/>
      <c r="H79" s="1036">
        <f>+[7]cons!G76</f>
        <v>0</v>
      </c>
      <c r="I79" s="1035"/>
      <c r="J79" s="1036">
        <f>+[7]cons!I76</f>
        <v>0</v>
      </c>
      <c r="K79" s="1035"/>
      <c r="L79" s="1036">
        <f>+[7]cons!K76</f>
        <v>0</v>
      </c>
      <c r="M79" s="1035"/>
      <c r="N79" s="1036">
        <f>+[7]cons!M76</f>
        <v>0</v>
      </c>
      <c r="O79" s="1035"/>
      <c r="P79" s="1036">
        <f>+[7]cons!O76</f>
        <v>0</v>
      </c>
      <c r="Q79" s="1035"/>
      <c r="R79" s="1036">
        <f>+[7]cons!Q76</f>
        <v>0</v>
      </c>
      <c r="S79" s="1035"/>
      <c r="T79" s="1036">
        <f>+[7]cons!S76</f>
        <v>0</v>
      </c>
      <c r="U79" s="1035"/>
      <c r="V79" s="1036">
        <f>+[7]cons!U76</f>
        <v>0</v>
      </c>
      <c r="W79" s="1035"/>
      <c r="X79" s="1036">
        <f>+[7]cons!W76</f>
        <v>0</v>
      </c>
      <c r="Y79" s="1035"/>
      <c r="Z79" s="1036">
        <f>+[7]cons!Y76</f>
        <v>5</v>
      </c>
      <c r="AA79" s="1035"/>
      <c r="AB79" s="1036">
        <f>+[7]cons!AA76</f>
        <v>0</v>
      </c>
      <c r="AC79" s="1035"/>
      <c r="AD79" s="1036">
        <f>+[7]cons!AC76</f>
        <v>0</v>
      </c>
    </row>
    <row r="80" spans="1:30">
      <c r="A80" s="1012" t="s">
        <v>1203</v>
      </c>
      <c r="B80" s="550">
        <f t="shared" si="13"/>
        <v>37</v>
      </c>
      <c r="C80" s="320"/>
      <c r="D80" s="149"/>
      <c r="E80" s="1035"/>
      <c r="F80" s="1036">
        <f>+[7]cons!E77</f>
        <v>0</v>
      </c>
      <c r="G80" s="1035"/>
      <c r="H80" s="1036">
        <f>+[7]cons!G77</f>
        <v>16</v>
      </c>
      <c r="I80" s="1035"/>
      <c r="J80" s="1036">
        <f>+[7]cons!I77</f>
        <v>2</v>
      </c>
      <c r="K80" s="1035"/>
      <c r="L80" s="1036">
        <f>+[7]cons!K77</f>
        <v>0</v>
      </c>
      <c r="M80" s="1035"/>
      <c r="N80" s="1036">
        <f>+[7]cons!M77</f>
        <v>0</v>
      </c>
      <c r="O80" s="1035"/>
      <c r="P80" s="1036">
        <f>+[7]cons!O77</f>
        <v>0</v>
      </c>
      <c r="Q80" s="1035"/>
      <c r="R80" s="1036">
        <f>+[7]cons!Q77</f>
        <v>0</v>
      </c>
      <c r="S80" s="1035"/>
      <c r="T80" s="1036">
        <f>+[7]cons!S77</f>
        <v>1</v>
      </c>
      <c r="U80" s="1035"/>
      <c r="V80" s="1036">
        <f>+[7]cons!U77</f>
        <v>6</v>
      </c>
      <c r="W80" s="1035"/>
      <c r="X80" s="1036">
        <f>+[7]cons!W77</f>
        <v>0</v>
      </c>
      <c r="Y80" s="1035"/>
      <c r="Z80" s="1036">
        <f>+[7]cons!Y77</f>
        <v>6</v>
      </c>
      <c r="AA80" s="1035"/>
      <c r="AB80" s="1036">
        <f>+[7]cons!AA77</f>
        <v>3</v>
      </c>
      <c r="AC80" s="1035"/>
      <c r="AD80" s="1036">
        <f>+[7]cons!AC77</f>
        <v>3</v>
      </c>
    </row>
    <row r="81" spans="1:30">
      <c r="A81" s="1013" t="s">
        <v>517</v>
      </c>
      <c r="B81" s="1052">
        <f>SUM(B70:B80)</f>
        <v>2970</v>
      </c>
      <c r="C81" s="183"/>
      <c r="D81" s="691"/>
      <c r="E81" s="183"/>
      <c r="F81" s="1053">
        <f>SUM(F70:F80)</f>
        <v>250</v>
      </c>
      <c r="G81" s="691"/>
      <c r="H81" s="1054">
        <f>SUM(H70:H80)</f>
        <v>462</v>
      </c>
      <c r="I81" s="183"/>
      <c r="J81" s="1053">
        <f>SUM(J70:J80)</f>
        <v>160</v>
      </c>
      <c r="K81" s="691"/>
      <c r="L81" s="1054">
        <f>SUM(L70:L80)</f>
        <v>229</v>
      </c>
      <c r="M81" s="183"/>
      <c r="N81" s="1053">
        <f>SUM(N70:N80)</f>
        <v>159</v>
      </c>
      <c r="O81" s="691"/>
      <c r="P81" s="1054">
        <f>SUM(P70:P80)</f>
        <v>49</v>
      </c>
      <c r="Q81" s="183"/>
      <c r="R81" s="1053">
        <f>SUM(R70:R80)</f>
        <v>107</v>
      </c>
      <c r="S81" s="691"/>
      <c r="T81" s="1054">
        <f>SUM(T70:T80)</f>
        <v>416</v>
      </c>
      <c r="U81" s="183"/>
      <c r="V81" s="1053">
        <f>SUM(V70:V80)</f>
        <v>207</v>
      </c>
      <c r="W81" s="691"/>
      <c r="X81" s="1054">
        <f>SUM(X70:X80)</f>
        <v>268</v>
      </c>
      <c r="Y81" s="183"/>
      <c r="Z81" s="1053">
        <f>SUM(Z70:Z80)</f>
        <v>171</v>
      </c>
      <c r="AA81" s="691"/>
      <c r="AB81" s="1054">
        <f>SUM(AB70:AB80)</f>
        <v>290</v>
      </c>
      <c r="AC81" s="183"/>
      <c r="AD81" s="1053">
        <f>SUM(AD70:AD80)</f>
        <v>202</v>
      </c>
    </row>
  </sheetData>
  <mergeCells count="14">
    <mergeCell ref="W3:X3"/>
    <mergeCell ref="Y3:Z3"/>
    <mergeCell ref="AC3:AD3"/>
    <mergeCell ref="AA3:AB3"/>
    <mergeCell ref="A1:AB1"/>
    <mergeCell ref="E3:F3"/>
    <mergeCell ref="G3:H3"/>
    <mergeCell ref="I3:J3"/>
    <mergeCell ref="K3:L3"/>
    <mergeCell ref="M3:N3"/>
    <mergeCell ref="O3:P3"/>
    <mergeCell ref="Q3:R3"/>
    <mergeCell ref="S3:T3"/>
    <mergeCell ref="U3:V3"/>
  </mergeCells>
  <phoneticPr fontId="19" type="noConversion"/>
  <dataValidations disablePrompts="1" count="3">
    <dataValidation type="list" errorStyle="information" allowBlank="1" showInputMessage="1" showErrorMessage="1" errorTitle="COMUNAS" error="Por favor, utilice la lista disponible con la flecha lateral para seleccionar la Comuna._x000a_Gracias!_x000a_EQUIPO DEIS" sqref="AC3 U3:AA3 I3:P3">
      <formula1>$AM$1:$AM$341</formula1>
    </dataValidation>
    <dataValidation type="list" errorStyle="information" allowBlank="1" showInputMessage="1" showErrorMessage="1" errorTitle="COMUNAS" error="Por favor, utilice la lista disponible con la flecha lateral para seleccionar la Comuna._x000a_Gracias!_x000a_EQUIPO DEIS" sqref="S3:T3">
      <formula1>$AQ$1:$AQ$341</formula1>
    </dataValidation>
    <dataValidation type="list" errorStyle="information" allowBlank="1" showInputMessage="1" showErrorMessage="1" errorTitle="COMUNAS" error="Por favor, utilice la lista disponible con la flecha lateral para seleccionar la Comuna._x000a_Gracias!_x000a_EQUIPO DEIS" sqref="Q3:R3">
      <formula1>$AN$1:$AN$341</formula1>
    </dataValidation>
  </dataValidations>
  <pageMargins left="1.1811023622047245" right="0.19685039370078741" top="0.78740157480314965" bottom="0.78740157480314965" header="0" footer="0"/>
  <pageSetup paperSize="5" scale="75"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10" zoomScale="83" zoomScaleNormal="83" workbookViewId="0">
      <selection activeCell="H11" sqref="H11"/>
    </sheetView>
  </sheetViews>
  <sheetFormatPr baseColWidth="10" defaultRowHeight="13.2"/>
  <cols>
    <col min="1" max="1" width="28.21875" customWidth="1"/>
    <col min="2" max="2" width="10.77734375" style="409" customWidth="1"/>
    <col min="3" max="3" width="12.77734375" style="554" customWidth="1"/>
    <col min="4" max="4" width="9.77734375" style="554" customWidth="1"/>
    <col min="5" max="5" width="9.21875" style="554" customWidth="1"/>
    <col min="6" max="7" width="9.77734375" style="554" customWidth="1"/>
    <col min="8" max="8" width="16.77734375" customWidth="1"/>
    <col min="9" max="9" width="16" customWidth="1"/>
    <col min="10" max="10" width="12.5546875" customWidth="1"/>
  </cols>
  <sheetData>
    <row r="1" spans="1:10">
      <c r="A1" s="1648" t="s">
        <v>1654</v>
      </c>
      <c r="B1" s="1648"/>
      <c r="C1" s="1648"/>
      <c r="D1" s="1648"/>
      <c r="E1" s="1648"/>
      <c r="F1" s="1648"/>
      <c r="G1" s="1648"/>
      <c r="H1" s="1648"/>
      <c r="I1" s="1648"/>
      <c r="J1" s="1648"/>
    </row>
    <row r="2" spans="1:10" ht="20.25" customHeight="1">
      <c r="A2" s="540"/>
      <c r="B2" s="553"/>
    </row>
    <row r="3" spans="1:10" s="337" customFormat="1" ht="24" customHeight="1">
      <c r="A3" s="487" t="s">
        <v>1008</v>
      </c>
      <c r="B3" s="555" t="s">
        <v>1017</v>
      </c>
      <c r="C3" s="555" t="s">
        <v>1018</v>
      </c>
      <c r="D3" s="1652" t="s">
        <v>1395</v>
      </c>
      <c r="E3" s="1653"/>
      <c r="F3" s="1653"/>
      <c r="G3" s="1653"/>
      <c r="H3" s="1654" t="s">
        <v>1019</v>
      </c>
      <c r="I3" s="1655"/>
      <c r="J3" s="1656"/>
    </row>
    <row r="4" spans="1:10" s="337" customFormat="1" ht="36" customHeight="1">
      <c r="A4" s="544"/>
      <c r="B4" s="557" t="s">
        <v>517</v>
      </c>
      <c r="C4" s="318" t="s">
        <v>1008</v>
      </c>
      <c r="D4" s="558" t="s">
        <v>517</v>
      </c>
      <c r="E4" s="558" t="s">
        <v>1020</v>
      </c>
      <c r="F4" s="559" t="s">
        <v>1021</v>
      </c>
      <c r="G4" s="559" t="s">
        <v>1022</v>
      </c>
      <c r="H4" s="1037" t="s">
        <v>1428</v>
      </c>
      <c r="I4" s="1037" t="s">
        <v>1169</v>
      </c>
      <c r="J4" s="1037" t="s">
        <v>1228</v>
      </c>
    </row>
    <row r="5" spans="1:10" s="337" customFormat="1" ht="23.25" customHeight="1">
      <c r="A5" s="1444" t="s">
        <v>1519</v>
      </c>
      <c r="B5" s="560">
        <f>+'55'!B5</f>
        <v>498</v>
      </c>
      <c r="C5" s="318">
        <f>+'57'!B5</f>
        <v>3799</v>
      </c>
      <c r="D5" s="318">
        <f>SUM(E5:G5)</f>
        <v>537</v>
      </c>
      <c r="E5" s="1378">
        <f>+'57'!D5</f>
        <v>203</v>
      </c>
      <c r="F5" s="1378">
        <f>+'57'!E5</f>
        <v>306</v>
      </c>
      <c r="G5" s="1378">
        <f>+'57'!F5</f>
        <v>28</v>
      </c>
      <c r="H5" s="1008">
        <f>+E5/B5*100</f>
        <v>40.76305220883534</v>
      </c>
      <c r="I5" s="1008">
        <f>+D5/C5*100</f>
        <v>14.135298762832324</v>
      </c>
      <c r="J5" s="1008">
        <f>+E5/C5*100</f>
        <v>5.343511450381679</v>
      </c>
    </row>
    <row r="6" spans="1:10" s="337" customFormat="1" ht="23.25" customHeight="1">
      <c r="A6" s="1444" t="s">
        <v>1520</v>
      </c>
      <c r="B6" s="560">
        <f>+'55'!B6</f>
        <v>2645</v>
      </c>
      <c r="C6" s="1443">
        <f>+'57'!B6</f>
        <v>12205</v>
      </c>
      <c r="D6" s="1443">
        <f t="shared" ref="D6:D64" si="0">SUM(E6:G6)</f>
        <v>1756</v>
      </c>
      <c r="E6" s="1443">
        <f>+'57'!D6</f>
        <v>983</v>
      </c>
      <c r="F6" s="1443">
        <f>+'57'!E6</f>
        <v>769</v>
      </c>
      <c r="G6" s="1443">
        <f>+'57'!F6</f>
        <v>4</v>
      </c>
      <c r="H6" s="1008">
        <f t="shared" ref="H6:H57" si="1">+E6/B6*100</f>
        <v>37.16446124763705</v>
      </c>
      <c r="I6" s="1008">
        <f t="shared" ref="I6:I57" si="2">+D6/C6*100</f>
        <v>14.387546087668987</v>
      </c>
      <c r="J6" s="1008">
        <f t="shared" ref="J6:J57" si="3">+E6/C6*100</f>
        <v>8.0540761982793931</v>
      </c>
    </row>
    <row r="7" spans="1:10" s="337" customFormat="1" ht="23.25" customHeight="1">
      <c r="A7" s="1444" t="s">
        <v>1521</v>
      </c>
      <c r="B7" s="560">
        <f>+'55'!B7</f>
        <v>0</v>
      </c>
      <c r="C7" s="1443">
        <f>+'57'!B7</f>
        <v>659</v>
      </c>
      <c r="D7" s="1443">
        <f t="shared" si="0"/>
        <v>0</v>
      </c>
      <c r="E7" s="1443">
        <f>+'57'!D7</f>
        <v>0</v>
      </c>
      <c r="F7" s="1443">
        <f>+'57'!E7</f>
        <v>0</v>
      </c>
      <c r="G7" s="1443">
        <f>+'57'!F7</f>
        <v>0</v>
      </c>
      <c r="H7" s="1008"/>
      <c r="I7" s="1008">
        <f t="shared" si="2"/>
        <v>0</v>
      </c>
      <c r="J7" s="1008">
        <f t="shared" si="3"/>
        <v>0</v>
      </c>
    </row>
    <row r="8" spans="1:10" s="337" customFormat="1" ht="23.25" customHeight="1">
      <c r="A8" s="1444" t="s">
        <v>1522</v>
      </c>
      <c r="B8" s="560">
        <f>+'55'!B8</f>
        <v>1</v>
      </c>
      <c r="C8" s="1443">
        <f>+'57'!B8</f>
        <v>294</v>
      </c>
      <c r="D8" s="1443">
        <f t="shared" si="0"/>
        <v>28</v>
      </c>
      <c r="E8" s="1443">
        <f>+'57'!D8</f>
        <v>12</v>
      </c>
      <c r="F8" s="1443">
        <f>+'57'!E8</f>
        <v>16</v>
      </c>
      <c r="G8" s="1443">
        <f>+'57'!F8</f>
        <v>0</v>
      </c>
      <c r="H8" s="1008">
        <f t="shared" si="1"/>
        <v>1200</v>
      </c>
      <c r="I8" s="1008">
        <f t="shared" si="2"/>
        <v>9.5238095238095237</v>
      </c>
      <c r="J8" s="1008">
        <f t="shared" si="3"/>
        <v>4.0816326530612246</v>
      </c>
    </row>
    <row r="9" spans="1:10" s="337" customFormat="1" ht="23.25" customHeight="1">
      <c r="A9" s="1444" t="s">
        <v>1523</v>
      </c>
      <c r="B9" s="560">
        <f>+'55'!B9</f>
        <v>2</v>
      </c>
      <c r="C9" s="1443">
        <f>+'57'!B9</f>
        <v>788</v>
      </c>
      <c r="D9" s="1443">
        <f t="shared" si="0"/>
        <v>125</v>
      </c>
      <c r="E9" s="1443">
        <f>+'57'!D9</f>
        <v>38</v>
      </c>
      <c r="F9" s="1443">
        <f>+'57'!E9</f>
        <v>87</v>
      </c>
      <c r="G9" s="1443">
        <f>+'57'!F9</f>
        <v>0</v>
      </c>
      <c r="H9" s="1008">
        <f t="shared" si="1"/>
        <v>1900</v>
      </c>
      <c r="I9" s="1008">
        <f t="shared" si="2"/>
        <v>15.862944162436548</v>
      </c>
      <c r="J9" s="1008">
        <f t="shared" si="3"/>
        <v>4.8223350253807107</v>
      </c>
    </row>
    <row r="10" spans="1:10" s="337" customFormat="1" ht="23.25" customHeight="1">
      <c r="A10" s="1444" t="s">
        <v>1524</v>
      </c>
      <c r="B10" s="560">
        <f>+'55'!B10</f>
        <v>1</v>
      </c>
      <c r="C10" s="1443">
        <f>+'57'!B10</f>
        <v>327</v>
      </c>
      <c r="D10" s="1443">
        <f t="shared" si="0"/>
        <v>116</v>
      </c>
      <c r="E10" s="1443">
        <f>+'57'!D10</f>
        <v>39</v>
      </c>
      <c r="F10" s="1443">
        <f>+'57'!E10</f>
        <v>77</v>
      </c>
      <c r="G10" s="1443">
        <f>+'57'!F10</f>
        <v>0</v>
      </c>
      <c r="H10" s="1008">
        <f t="shared" si="1"/>
        <v>3900</v>
      </c>
      <c r="I10" s="1008">
        <f t="shared" si="2"/>
        <v>35.474006116207953</v>
      </c>
      <c r="J10" s="1008">
        <f t="shared" si="3"/>
        <v>11.926605504587156</v>
      </c>
    </row>
    <row r="11" spans="1:10" s="337" customFormat="1" ht="23.25" customHeight="1">
      <c r="A11" s="1444" t="s">
        <v>1665</v>
      </c>
      <c r="B11" s="560">
        <f>+'55'!B11</f>
        <v>0</v>
      </c>
      <c r="C11" s="1443">
        <f>+'57'!B11</f>
        <v>2085</v>
      </c>
      <c r="D11" s="1443">
        <f t="shared" si="0"/>
        <v>337</v>
      </c>
      <c r="E11" s="1443">
        <f>+'57'!D11</f>
        <v>80</v>
      </c>
      <c r="F11" s="1443">
        <f>+'57'!E11</f>
        <v>256</v>
      </c>
      <c r="G11" s="1443">
        <f>+'57'!F11</f>
        <v>1</v>
      </c>
      <c r="H11" s="1008"/>
      <c r="I11" s="1008">
        <f t="shared" si="2"/>
        <v>16.163069544364507</v>
      </c>
      <c r="J11" s="1008">
        <f t="shared" si="3"/>
        <v>3.8369304556354913</v>
      </c>
    </row>
    <row r="12" spans="1:10" s="337" customFormat="1" ht="23.25" customHeight="1">
      <c r="A12" s="1444" t="s">
        <v>1525</v>
      </c>
      <c r="B12" s="560">
        <f>+'55'!B12</f>
        <v>0</v>
      </c>
      <c r="C12" s="1443">
        <f>+'57'!B12</f>
        <v>0</v>
      </c>
      <c r="D12" s="1443">
        <f t="shared" si="0"/>
        <v>0</v>
      </c>
      <c r="E12" s="1443">
        <f>+'57'!D12</f>
        <v>0</v>
      </c>
      <c r="F12" s="1443">
        <f>+'57'!E12</f>
        <v>0</v>
      </c>
      <c r="G12" s="1443">
        <f>+'57'!F12</f>
        <v>0</v>
      </c>
      <c r="H12" s="1008"/>
      <c r="I12" s="1008"/>
      <c r="J12" s="1008"/>
    </row>
    <row r="13" spans="1:10" s="337" customFormat="1" ht="23.25" customHeight="1">
      <c r="A13" s="1444" t="s">
        <v>1526</v>
      </c>
      <c r="B13" s="560">
        <f>+'55'!B13</f>
        <v>0</v>
      </c>
      <c r="C13" s="1443">
        <f>+'57'!B13</f>
        <v>1450</v>
      </c>
      <c r="D13" s="1443">
        <f t="shared" si="0"/>
        <v>165</v>
      </c>
      <c r="E13" s="1443">
        <f>+'57'!D13</f>
        <v>49</v>
      </c>
      <c r="F13" s="1443">
        <f>+'57'!E13</f>
        <v>116</v>
      </c>
      <c r="G13" s="1443">
        <f>+'57'!F13</f>
        <v>0</v>
      </c>
      <c r="H13" s="1008"/>
      <c r="I13" s="1008">
        <f t="shared" si="2"/>
        <v>11.379310344827587</v>
      </c>
      <c r="J13" s="1008">
        <f t="shared" si="3"/>
        <v>3.3793103448275859</v>
      </c>
    </row>
    <row r="14" spans="1:10" s="337" customFormat="1" ht="23.25" customHeight="1">
      <c r="A14" s="1444" t="s">
        <v>1527</v>
      </c>
      <c r="B14" s="560">
        <f>+'55'!B14</f>
        <v>0</v>
      </c>
      <c r="C14" s="1443">
        <f>+'57'!B14</f>
        <v>219</v>
      </c>
      <c r="D14" s="1443">
        <f t="shared" si="0"/>
        <v>30</v>
      </c>
      <c r="E14" s="1443">
        <f>+'57'!D14</f>
        <v>19</v>
      </c>
      <c r="F14" s="1443">
        <f>+'57'!E14</f>
        <v>11</v>
      </c>
      <c r="G14" s="1443">
        <f>+'57'!F14</f>
        <v>0</v>
      </c>
      <c r="H14" s="1008"/>
      <c r="I14" s="1008">
        <f t="shared" si="2"/>
        <v>13.698630136986301</v>
      </c>
      <c r="J14" s="1008">
        <f t="shared" si="3"/>
        <v>8.6757990867579906</v>
      </c>
    </row>
    <row r="15" spans="1:10" s="337" customFormat="1" ht="23.25" customHeight="1">
      <c r="A15" s="1444" t="s">
        <v>1528</v>
      </c>
      <c r="B15" s="560">
        <f>+'55'!B15</f>
        <v>2</v>
      </c>
      <c r="C15" s="1443">
        <f>+'57'!B15</f>
        <v>309</v>
      </c>
      <c r="D15" s="1443">
        <f t="shared" si="0"/>
        <v>105</v>
      </c>
      <c r="E15" s="1443">
        <f>+'57'!D15</f>
        <v>47</v>
      </c>
      <c r="F15" s="1443">
        <f>+'57'!E15</f>
        <v>58</v>
      </c>
      <c r="G15" s="1443">
        <f>+'57'!F15</f>
        <v>0</v>
      </c>
      <c r="H15" s="1008">
        <f t="shared" si="1"/>
        <v>2350</v>
      </c>
      <c r="I15" s="1008">
        <f t="shared" si="2"/>
        <v>33.980582524271846</v>
      </c>
      <c r="J15" s="1008">
        <f t="shared" si="3"/>
        <v>15.210355987055015</v>
      </c>
    </row>
    <row r="16" spans="1:10" s="337" customFormat="1" ht="23.25" customHeight="1">
      <c r="A16" s="1444" t="s">
        <v>1529</v>
      </c>
      <c r="B16" s="560">
        <f>+'55'!B16</f>
        <v>0</v>
      </c>
      <c r="C16" s="1443">
        <f>+'57'!B16</f>
        <v>0</v>
      </c>
      <c r="D16" s="1443">
        <f t="shared" si="0"/>
        <v>0</v>
      </c>
      <c r="E16" s="1443">
        <f>+'57'!D16</f>
        <v>0</v>
      </c>
      <c r="F16" s="1443">
        <f>+'57'!E16</f>
        <v>0</v>
      </c>
      <c r="G16" s="1443">
        <f>+'57'!F16</f>
        <v>0</v>
      </c>
      <c r="H16" s="1008"/>
      <c r="I16" s="1008"/>
      <c r="J16" s="1008"/>
    </row>
    <row r="17" spans="1:10" s="337" customFormat="1" ht="23.25" customHeight="1">
      <c r="A17" s="1444" t="s">
        <v>1530</v>
      </c>
      <c r="B17" s="560">
        <f>+'55'!B17</f>
        <v>0</v>
      </c>
      <c r="C17" s="1443">
        <f>+'57'!B17</f>
        <v>0</v>
      </c>
      <c r="D17" s="1443">
        <f t="shared" si="0"/>
        <v>0</v>
      </c>
      <c r="E17" s="1443">
        <f>+'57'!D17</f>
        <v>0</v>
      </c>
      <c r="F17" s="1443">
        <f>+'57'!E17</f>
        <v>0</v>
      </c>
      <c r="G17" s="1443">
        <f>+'57'!F17</f>
        <v>0</v>
      </c>
      <c r="H17" s="1008"/>
      <c r="I17" s="1008"/>
      <c r="J17" s="1008"/>
    </row>
    <row r="18" spans="1:10" s="337" customFormat="1" ht="23.25" customHeight="1">
      <c r="A18" s="1444" t="s">
        <v>1666</v>
      </c>
      <c r="B18" s="560">
        <f>+'55'!B18</f>
        <v>0</v>
      </c>
      <c r="C18" s="1443">
        <f>+'57'!B18</f>
        <v>0</v>
      </c>
      <c r="D18" s="1443">
        <f t="shared" si="0"/>
        <v>0</v>
      </c>
      <c r="E18" s="1443">
        <f>+'57'!D18</f>
        <v>0</v>
      </c>
      <c r="F18" s="1443">
        <f>+'57'!E18</f>
        <v>0</v>
      </c>
      <c r="G18" s="1443">
        <f>+'57'!F18</f>
        <v>0</v>
      </c>
      <c r="H18" s="1008"/>
      <c r="I18" s="1008"/>
      <c r="J18" s="1008"/>
    </row>
    <row r="19" spans="1:10" s="337" customFormat="1" ht="23.25" customHeight="1">
      <c r="A19" s="1446" t="s">
        <v>1531</v>
      </c>
      <c r="B19" s="560">
        <f>+'55'!B19</f>
        <v>1</v>
      </c>
      <c r="C19" s="1443">
        <f>+'57'!B19</f>
        <v>0</v>
      </c>
      <c r="D19" s="1443">
        <f t="shared" si="0"/>
        <v>0</v>
      </c>
      <c r="E19" s="1443">
        <f>+'57'!D19</f>
        <v>0</v>
      </c>
      <c r="F19" s="1443">
        <f>+'57'!E19</f>
        <v>0</v>
      </c>
      <c r="G19" s="1443">
        <f>+'57'!F19</f>
        <v>0</v>
      </c>
      <c r="H19" s="1008"/>
      <c r="I19" s="1008"/>
      <c r="J19" s="1008"/>
    </row>
    <row r="20" spans="1:10" s="337" customFormat="1" ht="23.25" customHeight="1">
      <c r="A20" s="1444" t="s">
        <v>1532</v>
      </c>
      <c r="B20" s="560">
        <f>+'55'!B20</f>
        <v>6</v>
      </c>
      <c r="C20" s="1443">
        <f>+'57'!B20</f>
        <v>508</v>
      </c>
      <c r="D20" s="1443">
        <f t="shared" si="0"/>
        <v>81</v>
      </c>
      <c r="E20" s="1443">
        <f>+'57'!D20</f>
        <v>54</v>
      </c>
      <c r="F20" s="1443">
        <f>+'57'!E20</f>
        <v>27</v>
      </c>
      <c r="G20" s="1443">
        <f>+'57'!F20</f>
        <v>0</v>
      </c>
      <c r="H20" s="1008">
        <f t="shared" si="1"/>
        <v>900</v>
      </c>
      <c r="I20" s="1008">
        <f t="shared" si="2"/>
        <v>15.94488188976378</v>
      </c>
      <c r="J20" s="1008">
        <f t="shared" si="3"/>
        <v>10.62992125984252</v>
      </c>
    </row>
    <row r="21" spans="1:10" s="337" customFormat="1" ht="23.25" customHeight="1">
      <c r="A21" s="1444" t="s">
        <v>1533</v>
      </c>
      <c r="B21" s="560">
        <f>+'55'!B21</f>
        <v>0</v>
      </c>
      <c r="C21" s="1443">
        <f>+'57'!B21</f>
        <v>0</v>
      </c>
      <c r="D21" s="1443">
        <f t="shared" si="0"/>
        <v>0</v>
      </c>
      <c r="E21" s="1443">
        <f>+'57'!D21</f>
        <v>0</v>
      </c>
      <c r="F21" s="1443">
        <f>+'57'!E21</f>
        <v>0</v>
      </c>
      <c r="G21" s="1443">
        <f>+'57'!F21</f>
        <v>0</v>
      </c>
      <c r="H21" s="1008"/>
      <c r="I21" s="1008"/>
      <c r="J21" s="1008"/>
    </row>
    <row r="22" spans="1:10" s="337" customFormat="1" ht="23.25" customHeight="1">
      <c r="A22" s="1444" t="s">
        <v>1667</v>
      </c>
      <c r="B22" s="560">
        <f>+'55'!B22</f>
        <v>0</v>
      </c>
      <c r="C22" s="1443">
        <f>+'57'!B22</f>
        <v>0</v>
      </c>
      <c r="D22" s="1443">
        <f t="shared" si="0"/>
        <v>0</v>
      </c>
      <c r="E22" s="1443">
        <f>+'57'!D22</f>
        <v>0</v>
      </c>
      <c r="F22" s="1443">
        <f>+'57'!E22</f>
        <v>0</v>
      </c>
      <c r="G22" s="1443">
        <f>+'57'!F22</f>
        <v>0</v>
      </c>
      <c r="H22" s="1008"/>
      <c r="I22" s="1008"/>
      <c r="J22" s="1008"/>
    </row>
    <row r="23" spans="1:10" s="337" customFormat="1" ht="23.25" customHeight="1">
      <c r="A23" s="1444" t="s">
        <v>1534</v>
      </c>
      <c r="B23" s="560">
        <f>+'55'!B23</f>
        <v>0</v>
      </c>
      <c r="C23" s="1443">
        <f>+'57'!B23</f>
        <v>0</v>
      </c>
      <c r="D23" s="1443">
        <f t="shared" si="0"/>
        <v>0</v>
      </c>
      <c r="E23" s="1443">
        <f>+'57'!D23</f>
        <v>0</v>
      </c>
      <c r="F23" s="1443">
        <f>+'57'!E23</f>
        <v>0</v>
      </c>
      <c r="G23" s="1443">
        <f>+'57'!F23</f>
        <v>0</v>
      </c>
      <c r="H23" s="1008"/>
      <c r="I23" s="1008"/>
      <c r="J23" s="1008"/>
    </row>
    <row r="24" spans="1:10" s="337" customFormat="1" ht="23.25" customHeight="1">
      <c r="A24" s="1444" t="s">
        <v>1668</v>
      </c>
      <c r="B24" s="560">
        <f>+'55'!B24</f>
        <v>11</v>
      </c>
      <c r="C24" s="1443">
        <f>+'57'!B24</f>
        <v>1457</v>
      </c>
      <c r="D24" s="1443">
        <f t="shared" si="0"/>
        <v>175</v>
      </c>
      <c r="E24" s="1443">
        <f>+'57'!D24</f>
        <v>65</v>
      </c>
      <c r="F24" s="1443">
        <f>+'57'!E24</f>
        <v>110</v>
      </c>
      <c r="G24" s="1443">
        <f>+'57'!F24</f>
        <v>0</v>
      </c>
      <c r="H24" s="1008">
        <f t="shared" si="1"/>
        <v>590.90909090909088</v>
      </c>
      <c r="I24" s="1008">
        <f t="shared" si="2"/>
        <v>12.010981468771448</v>
      </c>
      <c r="J24" s="1008">
        <f t="shared" si="3"/>
        <v>4.4612216884008236</v>
      </c>
    </row>
    <row r="25" spans="1:10" s="337" customFormat="1" ht="23.25" customHeight="1">
      <c r="A25" s="1447" t="s">
        <v>1535</v>
      </c>
      <c r="B25" s="560">
        <f>+'55'!B25</f>
        <v>742</v>
      </c>
      <c r="C25" s="1443">
        <f>+'57'!B25</f>
        <v>671</v>
      </c>
      <c r="D25" s="1443">
        <f t="shared" si="0"/>
        <v>220</v>
      </c>
      <c r="E25" s="1443">
        <f>+'57'!D25</f>
        <v>174</v>
      </c>
      <c r="F25" s="1443">
        <f>+'57'!E25</f>
        <v>46</v>
      </c>
      <c r="G25" s="1443">
        <f>+'57'!F25</f>
        <v>0</v>
      </c>
      <c r="H25" s="1008">
        <f t="shared" si="1"/>
        <v>23.450134770889488</v>
      </c>
      <c r="I25" s="1008">
        <f t="shared" si="2"/>
        <v>32.786885245901637</v>
      </c>
      <c r="J25" s="1008">
        <f t="shared" si="3"/>
        <v>25.931445603576751</v>
      </c>
    </row>
    <row r="26" spans="1:10" s="337" customFormat="1" ht="23.25" customHeight="1">
      <c r="A26" s="1447" t="s">
        <v>1536</v>
      </c>
      <c r="B26" s="560">
        <f>+'55'!B26</f>
        <v>3</v>
      </c>
      <c r="C26" s="1443">
        <f>+'57'!B26</f>
        <v>0</v>
      </c>
      <c r="D26" s="1443">
        <f t="shared" si="0"/>
        <v>0</v>
      </c>
      <c r="E26" s="1443">
        <f>+'57'!D26</f>
        <v>0</v>
      </c>
      <c r="F26" s="1443">
        <f>+'57'!E26</f>
        <v>0</v>
      </c>
      <c r="G26" s="1443">
        <f>+'57'!F26</f>
        <v>0</v>
      </c>
      <c r="H26" s="1008"/>
      <c r="I26" s="1008"/>
      <c r="J26" s="1008"/>
    </row>
    <row r="27" spans="1:10" s="337" customFormat="1" ht="23.25" customHeight="1">
      <c r="A27" s="1444" t="s">
        <v>1669</v>
      </c>
      <c r="B27" s="560">
        <f>+'55'!B27</f>
        <v>30</v>
      </c>
      <c r="C27" s="1443">
        <f>+'57'!B27</f>
        <v>799</v>
      </c>
      <c r="D27" s="1443">
        <f t="shared" si="0"/>
        <v>43</v>
      </c>
      <c r="E27" s="1443">
        <f>+'57'!D27</f>
        <v>35</v>
      </c>
      <c r="F27" s="1443">
        <f>+'57'!E27</f>
        <v>8</v>
      </c>
      <c r="G27" s="1443">
        <f>+'57'!F27</f>
        <v>0</v>
      </c>
      <c r="H27" s="1008">
        <f t="shared" si="1"/>
        <v>116.66666666666667</v>
      </c>
      <c r="I27" s="1008">
        <f t="shared" si="2"/>
        <v>5.3817271589486859</v>
      </c>
      <c r="J27" s="1008">
        <f t="shared" si="3"/>
        <v>4.3804755944931166</v>
      </c>
    </row>
    <row r="28" spans="1:10" s="337" customFormat="1" ht="23.25" customHeight="1">
      <c r="A28" s="1444" t="s">
        <v>1537</v>
      </c>
      <c r="B28" s="560">
        <f>+'55'!B28</f>
        <v>0</v>
      </c>
      <c r="C28" s="1443">
        <f>+'57'!B28</f>
        <v>0</v>
      </c>
      <c r="D28" s="1443">
        <f t="shared" si="0"/>
        <v>0</v>
      </c>
      <c r="E28" s="1443">
        <f>+'57'!D28</f>
        <v>0</v>
      </c>
      <c r="F28" s="1443">
        <f>+'57'!E28</f>
        <v>0</v>
      </c>
      <c r="G28" s="1443">
        <f>+'57'!F28</f>
        <v>0</v>
      </c>
      <c r="H28" s="1008"/>
      <c r="I28" s="1008"/>
      <c r="J28" s="1008"/>
    </row>
    <row r="29" spans="1:10" s="337" customFormat="1" ht="23.25" customHeight="1">
      <c r="A29" s="1444" t="s">
        <v>1538</v>
      </c>
      <c r="B29" s="560">
        <f>+'55'!B29</f>
        <v>1</v>
      </c>
      <c r="C29" s="1443">
        <f>+'57'!B29</f>
        <v>0</v>
      </c>
      <c r="D29" s="1443">
        <f t="shared" si="0"/>
        <v>0</v>
      </c>
      <c r="E29" s="1443">
        <f>+'57'!D29</f>
        <v>0</v>
      </c>
      <c r="F29" s="1443">
        <f>+'57'!E29</f>
        <v>0</v>
      </c>
      <c r="G29" s="1443">
        <f>+'57'!F29</f>
        <v>0</v>
      </c>
      <c r="H29" s="1008"/>
      <c r="I29" s="1008"/>
      <c r="J29" s="1008"/>
    </row>
    <row r="30" spans="1:10" s="337" customFormat="1" ht="23.25" customHeight="1">
      <c r="A30" s="1444" t="s">
        <v>1539</v>
      </c>
      <c r="B30" s="560">
        <f>+'55'!B30</f>
        <v>6</v>
      </c>
      <c r="C30" s="1443">
        <f>+'57'!B30</f>
        <v>302</v>
      </c>
      <c r="D30" s="1443">
        <f t="shared" si="0"/>
        <v>77</v>
      </c>
      <c r="E30" s="1443">
        <f>+'57'!D30</f>
        <v>4</v>
      </c>
      <c r="F30" s="1443">
        <f>+'57'!E30</f>
        <v>73</v>
      </c>
      <c r="G30" s="1443">
        <f>+'57'!F30</f>
        <v>0</v>
      </c>
      <c r="H30" s="1008">
        <f t="shared" si="1"/>
        <v>66.666666666666657</v>
      </c>
      <c r="I30" s="1008">
        <f t="shared" si="2"/>
        <v>25.496688741721858</v>
      </c>
      <c r="J30" s="1008">
        <f t="shared" si="3"/>
        <v>1.3245033112582782</v>
      </c>
    </row>
    <row r="31" spans="1:10" s="337" customFormat="1" ht="23.25" customHeight="1">
      <c r="A31" s="1444" t="s">
        <v>1540</v>
      </c>
      <c r="B31" s="560">
        <f>+'55'!B31</f>
        <v>158</v>
      </c>
      <c r="C31" s="1443">
        <f>+'57'!B31</f>
        <v>940</v>
      </c>
      <c r="D31" s="1443">
        <f t="shared" si="0"/>
        <v>283</v>
      </c>
      <c r="E31" s="1443">
        <f>+'57'!D31</f>
        <v>30</v>
      </c>
      <c r="F31" s="1443">
        <f>+'57'!E31</f>
        <v>253</v>
      </c>
      <c r="G31" s="1443">
        <f>+'57'!F31</f>
        <v>0</v>
      </c>
      <c r="H31" s="1008">
        <f t="shared" si="1"/>
        <v>18.9873417721519</v>
      </c>
      <c r="I31" s="1008">
        <f t="shared" si="2"/>
        <v>30.106382978723406</v>
      </c>
      <c r="J31" s="1008">
        <f t="shared" si="3"/>
        <v>3.1914893617021276</v>
      </c>
    </row>
    <row r="32" spans="1:10" s="337" customFormat="1" ht="23.25" customHeight="1">
      <c r="A32" s="1444" t="s">
        <v>1541</v>
      </c>
      <c r="B32" s="560">
        <f>+'55'!B32</f>
        <v>259</v>
      </c>
      <c r="C32" s="1443">
        <f>+'57'!B32</f>
        <v>2188</v>
      </c>
      <c r="D32" s="1443">
        <f t="shared" si="0"/>
        <v>373</v>
      </c>
      <c r="E32" s="1443">
        <f>+'57'!D32</f>
        <v>206</v>
      </c>
      <c r="F32" s="1443">
        <f>+'57'!E32</f>
        <v>158</v>
      </c>
      <c r="G32" s="1443">
        <f>+'57'!F32</f>
        <v>9</v>
      </c>
      <c r="H32" s="1008">
        <f t="shared" si="1"/>
        <v>79.536679536679529</v>
      </c>
      <c r="I32" s="1008">
        <f t="shared" si="2"/>
        <v>17.047531992687386</v>
      </c>
      <c r="J32" s="1008">
        <f t="shared" si="3"/>
        <v>9.4149908592321747</v>
      </c>
    </row>
    <row r="33" spans="1:10" s="337" customFormat="1" ht="23.25" customHeight="1">
      <c r="A33" s="1444" t="s">
        <v>1670</v>
      </c>
      <c r="B33" s="560">
        <f>+'55'!B33</f>
        <v>781</v>
      </c>
      <c r="C33" s="1443">
        <f>+'57'!B33</f>
        <v>4203</v>
      </c>
      <c r="D33" s="1443">
        <f t="shared" si="0"/>
        <v>1047</v>
      </c>
      <c r="E33" s="1443">
        <f>+'57'!D33</f>
        <v>597</v>
      </c>
      <c r="F33" s="1443">
        <f>+'57'!E33</f>
        <v>449</v>
      </c>
      <c r="G33" s="1443">
        <f>+'57'!F33</f>
        <v>1</v>
      </c>
      <c r="H33" s="1008">
        <f t="shared" si="1"/>
        <v>76.440460947503198</v>
      </c>
      <c r="I33" s="1008">
        <f t="shared" si="2"/>
        <v>24.91077801570307</v>
      </c>
      <c r="J33" s="1008">
        <f t="shared" si="3"/>
        <v>14.204139900071377</v>
      </c>
    </row>
    <row r="34" spans="1:10" s="337" customFormat="1" ht="23.25" customHeight="1">
      <c r="A34" s="1444" t="s">
        <v>1542</v>
      </c>
      <c r="B34" s="560">
        <f>+'55'!B34</f>
        <v>1</v>
      </c>
      <c r="C34" s="1443">
        <f>+'57'!B34</f>
        <v>0</v>
      </c>
      <c r="D34" s="1443">
        <f t="shared" si="0"/>
        <v>0</v>
      </c>
      <c r="E34" s="1443">
        <f>+'57'!D34</f>
        <v>0</v>
      </c>
      <c r="F34" s="1443">
        <f>+'57'!E34</f>
        <v>0</v>
      </c>
      <c r="G34" s="1443">
        <f>+'57'!F34</f>
        <v>0</v>
      </c>
      <c r="H34" s="1008">
        <f t="shared" si="1"/>
        <v>0</v>
      </c>
      <c r="I34" s="1008"/>
      <c r="J34" s="1008"/>
    </row>
    <row r="35" spans="1:10" s="337" customFormat="1" ht="23.25" customHeight="1">
      <c r="A35" s="1444" t="s">
        <v>1543</v>
      </c>
      <c r="B35" s="560">
        <f>+'55'!B35</f>
        <v>89</v>
      </c>
      <c r="C35" s="1443">
        <f>+'57'!B35</f>
        <v>1065</v>
      </c>
      <c r="D35" s="1443">
        <f t="shared" si="0"/>
        <v>171</v>
      </c>
      <c r="E35" s="1443">
        <f>+'57'!D35</f>
        <v>94</v>
      </c>
      <c r="F35" s="1443">
        <f>+'57'!E35</f>
        <v>36</v>
      </c>
      <c r="G35" s="1443">
        <f>+'57'!F35</f>
        <v>41</v>
      </c>
      <c r="H35" s="1008">
        <f t="shared" si="1"/>
        <v>105.61797752808988</v>
      </c>
      <c r="I35" s="1008">
        <f t="shared" si="2"/>
        <v>16.056338028169016</v>
      </c>
      <c r="J35" s="1008">
        <f t="shared" si="3"/>
        <v>8.8262910798122061</v>
      </c>
    </row>
    <row r="36" spans="1:10" s="337" customFormat="1" ht="23.25" customHeight="1">
      <c r="A36" s="1444" t="s">
        <v>1671</v>
      </c>
      <c r="B36" s="560">
        <f>+'55'!B36</f>
        <v>432</v>
      </c>
      <c r="C36" s="1443">
        <f>+'57'!B36</f>
        <v>3724</v>
      </c>
      <c r="D36" s="1443">
        <f t="shared" si="0"/>
        <v>605</v>
      </c>
      <c r="E36" s="1443">
        <f>+'57'!D36</f>
        <v>420</v>
      </c>
      <c r="F36" s="1443">
        <f>+'57'!E36</f>
        <v>29</v>
      </c>
      <c r="G36" s="1443">
        <f>+'57'!F36</f>
        <v>156</v>
      </c>
      <c r="H36" s="1008">
        <f t="shared" si="1"/>
        <v>97.222222222222214</v>
      </c>
      <c r="I36" s="1008">
        <f t="shared" si="2"/>
        <v>16.245972073039741</v>
      </c>
      <c r="J36" s="1008">
        <f t="shared" si="3"/>
        <v>11.278195488721805</v>
      </c>
    </row>
    <row r="37" spans="1:10" s="337" customFormat="1" ht="23.25" customHeight="1">
      <c r="A37" s="1444" t="s">
        <v>1544</v>
      </c>
      <c r="B37" s="560">
        <f>+'55'!B37</f>
        <v>413</v>
      </c>
      <c r="C37" s="1443">
        <f>+'57'!B37</f>
        <v>1319</v>
      </c>
      <c r="D37" s="1443">
        <f t="shared" si="0"/>
        <v>402</v>
      </c>
      <c r="E37" s="1443">
        <f>+'57'!D37</f>
        <v>265</v>
      </c>
      <c r="F37" s="1443">
        <f>+'57'!E37</f>
        <v>101</v>
      </c>
      <c r="G37" s="1443">
        <f>+'57'!F37</f>
        <v>36</v>
      </c>
      <c r="H37" s="1008">
        <f t="shared" si="1"/>
        <v>64.164648910411628</v>
      </c>
      <c r="I37" s="1008">
        <f t="shared" si="2"/>
        <v>30.477634571645183</v>
      </c>
      <c r="J37" s="1008">
        <f t="shared" si="3"/>
        <v>20.090978013646701</v>
      </c>
    </row>
    <row r="38" spans="1:10" s="337" customFormat="1" ht="23.25" customHeight="1">
      <c r="A38" s="1444" t="s">
        <v>1672</v>
      </c>
      <c r="B38" s="560">
        <f>+'55'!B38</f>
        <v>2024</v>
      </c>
      <c r="C38" s="1443">
        <f>+'57'!B38</f>
        <v>8614</v>
      </c>
      <c r="D38" s="1443">
        <f t="shared" si="0"/>
        <v>2473</v>
      </c>
      <c r="E38" s="1443">
        <f>+'57'!D38</f>
        <v>1369</v>
      </c>
      <c r="F38" s="1443">
        <f>+'57'!E38</f>
        <v>1076</v>
      </c>
      <c r="G38" s="1443">
        <f>+'57'!F38</f>
        <v>28</v>
      </c>
      <c r="H38" s="1008">
        <f t="shared" si="1"/>
        <v>67.638339920948624</v>
      </c>
      <c r="I38" s="1008">
        <f t="shared" si="2"/>
        <v>28.709078244717901</v>
      </c>
      <c r="J38" s="1008">
        <f t="shared" si="3"/>
        <v>15.892732760622245</v>
      </c>
    </row>
    <row r="39" spans="1:10" s="337" customFormat="1" ht="23.25" customHeight="1">
      <c r="A39" s="1444" t="s">
        <v>1673</v>
      </c>
      <c r="B39" s="560">
        <f>+'55'!B39</f>
        <v>3</v>
      </c>
      <c r="C39" s="1443">
        <f>+'57'!B39</f>
        <v>0</v>
      </c>
      <c r="D39" s="1443">
        <f t="shared" si="0"/>
        <v>0</v>
      </c>
      <c r="E39" s="1443">
        <f>+'57'!D39</f>
        <v>0</v>
      </c>
      <c r="F39" s="1443">
        <f>+'57'!E39</f>
        <v>0</v>
      </c>
      <c r="G39" s="1443">
        <f>+'57'!F39</f>
        <v>0</v>
      </c>
      <c r="H39" s="1008">
        <f t="shared" si="1"/>
        <v>0</v>
      </c>
      <c r="I39" s="1008"/>
      <c r="J39" s="1008"/>
    </row>
    <row r="40" spans="1:10" s="337" customFormat="1" ht="23.25" customHeight="1">
      <c r="A40" s="1444" t="s">
        <v>1545</v>
      </c>
      <c r="B40" s="560">
        <f>+'55'!B40</f>
        <v>16</v>
      </c>
      <c r="C40" s="1443">
        <f>+'57'!B40</f>
        <v>0</v>
      </c>
      <c r="D40" s="1443">
        <f t="shared" si="0"/>
        <v>0</v>
      </c>
      <c r="E40" s="1443">
        <f>+'57'!D40</f>
        <v>0</v>
      </c>
      <c r="F40" s="1443">
        <f>+'57'!E40</f>
        <v>0</v>
      </c>
      <c r="G40" s="1443">
        <f>+'57'!F40</f>
        <v>0</v>
      </c>
      <c r="H40" s="1008">
        <f t="shared" si="1"/>
        <v>0</v>
      </c>
      <c r="I40" s="1008"/>
      <c r="J40" s="1008"/>
    </row>
    <row r="41" spans="1:10" s="337" customFormat="1" ht="23.25" customHeight="1">
      <c r="A41" s="1444" t="s">
        <v>1546</v>
      </c>
      <c r="B41" s="560">
        <f>+'55'!B41</f>
        <v>0</v>
      </c>
      <c r="C41" s="1443">
        <f>+'57'!B41</f>
        <v>0</v>
      </c>
      <c r="D41" s="1443">
        <f t="shared" si="0"/>
        <v>0</v>
      </c>
      <c r="E41" s="1443">
        <f>+'57'!D41</f>
        <v>0</v>
      </c>
      <c r="F41" s="1443">
        <f>+'57'!E41</f>
        <v>0</v>
      </c>
      <c r="G41" s="1443">
        <f>+'57'!F41</f>
        <v>0</v>
      </c>
      <c r="H41" s="1008"/>
      <c r="I41" s="1008"/>
      <c r="J41" s="1008"/>
    </row>
    <row r="42" spans="1:10" s="337" customFormat="1" ht="23.25" customHeight="1">
      <c r="A42" s="1444" t="s">
        <v>1674</v>
      </c>
      <c r="B42" s="560">
        <f>+'55'!B42</f>
        <v>1</v>
      </c>
      <c r="C42" s="1443">
        <f>+'57'!B42</f>
        <v>372</v>
      </c>
      <c r="D42" s="1443">
        <f t="shared" si="0"/>
        <v>105</v>
      </c>
      <c r="E42" s="1443">
        <f>+'57'!D42</f>
        <v>36</v>
      </c>
      <c r="F42" s="1443">
        <f>+'57'!E42</f>
        <v>69</v>
      </c>
      <c r="G42" s="1443">
        <f>+'57'!F42</f>
        <v>0</v>
      </c>
      <c r="H42" s="1008">
        <f t="shared" si="1"/>
        <v>3600</v>
      </c>
      <c r="I42" s="1008">
        <f t="shared" si="2"/>
        <v>28.225806451612907</v>
      </c>
      <c r="J42" s="1008">
        <f t="shared" si="3"/>
        <v>9.67741935483871</v>
      </c>
    </row>
    <row r="43" spans="1:10" s="337" customFormat="1" ht="23.25" customHeight="1">
      <c r="A43" s="1444" t="s">
        <v>1675</v>
      </c>
      <c r="B43" s="560">
        <f>+'55'!B43</f>
        <v>0</v>
      </c>
      <c r="C43" s="1443">
        <f>+'57'!B43</f>
        <v>0</v>
      </c>
      <c r="D43" s="1443">
        <f t="shared" si="0"/>
        <v>0</v>
      </c>
      <c r="E43" s="1443">
        <f>+'57'!D43</f>
        <v>0</v>
      </c>
      <c r="F43" s="1443">
        <f>+'57'!E43</f>
        <v>0</v>
      </c>
      <c r="G43" s="1443">
        <f>+'57'!F43</f>
        <v>0</v>
      </c>
      <c r="H43" s="1008"/>
      <c r="I43" s="1008"/>
      <c r="J43" s="1008"/>
    </row>
    <row r="44" spans="1:10" s="337" customFormat="1" ht="23.25" customHeight="1">
      <c r="A44" s="1444" t="s">
        <v>1547</v>
      </c>
      <c r="B44" s="560">
        <f>+'55'!B44</f>
        <v>0</v>
      </c>
      <c r="C44" s="1443">
        <f>+'57'!B44</f>
        <v>0</v>
      </c>
      <c r="D44" s="1443">
        <f t="shared" si="0"/>
        <v>0</v>
      </c>
      <c r="E44" s="1443">
        <f>+'57'!D44</f>
        <v>0</v>
      </c>
      <c r="F44" s="1443">
        <f>+'57'!E44</f>
        <v>0</v>
      </c>
      <c r="G44" s="1443">
        <f>+'57'!F44</f>
        <v>0</v>
      </c>
      <c r="H44" s="1008"/>
      <c r="I44" s="1008"/>
      <c r="J44" s="1008"/>
    </row>
    <row r="45" spans="1:10" s="337" customFormat="1" ht="23.25" customHeight="1">
      <c r="A45" s="1444" t="s">
        <v>1449</v>
      </c>
      <c r="B45" s="560">
        <f>+'55'!B45</f>
        <v>3</v>
      </c>
      <c r="C45" s="1443">
        <f>+'57'!B45</f>
        <v>148</v>
      </c>
      <c r="D45" s="1443">
        <f t="shared" si="0"/>
        <v>47</v>
      </c>
      <c r="E45" s="1443">
        <f>+'57'!D45</f>
        <v>12</v>
      </c>
      <c r="F45" s="1443">
        <f>+'57'!E45</f>
        <v>35</v>
      </c>
      <c r="G45" s="1443">
        <f>+'57'!F45</f>
        <v>0</v>
      </c>
      <c r="H45" s="1008"/>
      <c r="I45" s="1008">
        <f t="shared" si="2"/>
        <v>31.756756756756754</v>
      </c>
      <c r="J45" s="1008">
        <f t="shared" si="3"/>
        <v>8.1081081081081088</v>
      </c>
    </row>
    <row r="46" spans="1:10" s="337" customFormat="1" ht="23.25" customHeight="1">
      <c r="A46" s="1444" t="s">
        <v>1548</v>
      </c>
      <c r="B46" s="560">
        <f>+'55'!B46</f>
        <v>643</v>
      </c>
      <c r="C46" s="1443">
        <f>+'57'!B46</f>
        <v>2495</v>
      </c>
      <c r="D46" s="1443">
        <f t="shared" si="0"/>
        <v>528</v>
      </c>
      <c r="E46" s="1443">
        <f>+'57'!D46</f>
        <v>334</v>
      </c>
      <c r="F46" s="1443">
        <f>+'57'!E46</f>
        <v>187</v>
      </c>
      <c r="G46" s="1443">
        <f>+'57'!F46</f>
        <v>7</v>
      </c>
      <c r="H46" s="1008">
        <f t="shared" si="1"/>
        <v>51.944012441679632</v>
      </c>
      <c r="I46" s="1008">
        <f t="shared" si="2"/>
        <v>21.162324649298597</v>
      </c>
      <c r="J46" s="1008">
        <f t="shared" si="3"/>
        <v>13.386773547094188</v>
      </c>
    </row>
    <row r="47" spans="1:10" s="337" customFormat="1" ht="23.25" customHeight="1">
      <c r="A47" s="1444" t="s">
        <v>1549</v>
      </c>
      <c r="B47" s="560">
        <f>+'55'!B47</f>
        <v>0</v>
      </c>
      <c r="C47" s="1443">
        <f>+'57'!B47</f>
        <v>0</v>
      </c>
      <c r="D47" s="1443">
        <f t="shared" si="0"/>
        <v>0</v>
      </c>
      <c r="E47" s="1443">
        <f>+'57'!D47</f>
        <v>0</v>
      </c>
      <c r="F47" s="1443">
        <f>+'57'!E47</f>
        <v>0</v>
      </c>
      <c r="G47" s="1443">
        <f>+'57'!F47</f>
        <v>0</v>
      </c>
      <c r="H47" s="1008" t="e">
        <f t="shared" si="1"/>
        <v>#DIV/0!</v>
      </c>
      <c r="I47" s="1008"/>
      <c r="J47" s="1008"/>
    </row>
    <row r="48" spans="1:10" s="337" customFormat="1" ht="23.25" customHeight="1">
      <c r="A48" s="1444" t="s">
        <v>1450</v>
      </c>
      <c r="B48" s="560">
        <f>+'55'!B48</f>
        <v>2</v>
      </c>
      <c r="C48" s="1443">
        <f>+'57'!B48</f>
        <v>70</v>
      </c>
      <c r="D48" s="1443">
        <f t="shared" si="0"/>
        <v>0</v>
      </c>
      <c r="E48" s="1443">
        <f>+'57'!D48</f>
        <v>0</v>
      </c>
      <c r="F48" s="1443">
        <f>+'57'!E48</f>
        <v>0</v>
      </c>
      <c r="G48" s="1443">
        <f>+'57'!F48</f>
        <v>0</v>
      </c>
      <c r="H48" s="1008">
        <f t="shared" si="1"/>
        <v>0</v>
      </c>
      <c r="I48" s="1008">
        <f t="shared" si="2"/>
        <v>0</v>
      </c>
      <c r="J48" s="1008">
        <f t="shared" si="3"/>
        <v>0</v>
      </c>
    </row>
    <row r="49" spans="1:10" s="337" customFormat="1" ht="23.25" customHeight="1">
      <c r="A49" s="1444" t="s">
        <v>1550</v>
      </c>
      <c r="B49" s="560">
        <f>+'55'!B49</f>
        <v>756</v>
      </c>
      <c r="C49" s="1443">
        <f>+'57'!B49</f>
        <v>5930</v>
      </c>
      <c r="D49" s="1443">
        <f t="shared" si="0"/>
        <v>1407</v>
      </c>
      <c r="E49" s="1443">
        <f>+'57'!D49</f>
        <v>774</v>
      </c>
      <c r="F49" s="1443">
        <f>+'57'!E49</f>
        <v>630</v>
      </c>
      <c r="G49" s="1443">
        <f>+'57'!F49</f>
        <v>3</v>
      </c>
      <c r="H49" s="1008">
        <f t="shared" si="1"/>
        <v>102.38095238095238</v>
      </c>
      <c r="I49" s="1008">
        <f t="shared" si="2"/>
        <v>23.726812816188868</v>
      </c>
      <c r="J49" s="1008">
        <f t="shared" si="3"/>
        <v>13.052276559865092</v>
      </c>
    </row>
    <row r="50" spans="1:10" s="337" customFormat="1" ht="23.25" customHeight="1">
      <c r="A50" s="1444" t="s">
        <v>1551</v>
      </c>
      <c r="B50" s="560">
        <f>+'55'!B50</f>
        <v>7</v>
      </c>
      <c r="C50" s="1443">
        <f>+'57'!B50</f>
        <v>0</v>
      </c>
      <c r="D50" s="1443">
        <f t="shared" si="0"/>
        <v>0</v>
      </c>
      <c r="E50" s="1443">
        <f>+'57'!D50</f>
        <v>0</v>
      </c>
      <c r="F50" s="1443">
        <f>+'57'!E50</f>
        <v>0</v>
      </c>
      <c r="G50" s="1443">
        <f>+'57'!F50</f>
        <v>0</v>
      </c>
      <c r="H50" s="1008">
        <f t="shared" si="1"/>
        <v>0</v>
      </c>
      <c r="I50" s="1008"/>
      <c r="J50" s="1008"/>
    </row>
    <row r="51" spans="1:10" s="337" customFormat="1" ht="23.25" customHeight="1">
      <c r="A51" s="1444" t="s">
        <v>1676</v>
      </c>
      <c r="B51" s="560">
        <f>+'55'!B51</f>
        <v>710</v>
      </c>
      <c r="C51" s="1443">
        <f>+'57'!B51</f>
        <v>3635</v>
      </c>
      <c r="D51" s="1443">
        <f t="shared" si="0"/>
        <v>737</v>
      </c>
      <c r="E51" s="1443">
        <f>+'57'!D51</f>
        <v>509</v>
      </c>
      <c r="F51" s="1443">
        <f>+'57'!E51</f>
        <v>216</v>
      </c>
      <c r="G51" s="1443">
        <f>+'57'!F51</f>
        <v>12</v>
      </c>
      <c r="H51" s="1008">
        <f t="shared" si="1"/>
        <v>71.690140845070431</v>
      </c>
      <c r="I51" s="1008">
        <f t="shared" si="2"/>
        <v>20.275103163686385</v>
      </c>
      <c r="J51" s="1008">
        <f t="shared" si="3"/>
        <v>14.002751031636866</v>
      </c>
    </row>
    <row r="52" spans="1:10" s="337" customFormat="1" ht="23.25" customHeight="1">
      <c r="A52" s="1444" t="s">
        <v>1552</v>
      </c>
      <c r="B52" s="560">
        <f>+'55'!B52</f>
        <v>2704</v>
      </c>
      <c r="C52" s="1443">
        <f>+'57'!B52</f>
        <v>4986</v>
      </c>
      <c r="D52" s="1443">
        <f t="shared" si="0"/>
        <v>1807</v>
      </c>
      <c r="E52" s="1443">
        <f>+'57'!D52</f>
        <v>335</v>
      </c>
      <c r="F52" s="1443">
        <f>+'57'!E52</f>
        <v>1472</v>
      </c>
      <c r="G52" s="1443">
        <f>+'57'!F52</f>
        <v>0</v>
      </c>
      <c r="H52" s="1008">
        <f t="shared" si="1"/>
        <v>12.389053254437869</v>
      </c>
      <c r="I52" s="1008">
        <f t="shared" si="2"/>
        <v>36.241476133172881</v>
      </c>
      <c r="J52" s="1008">
        <f t="shared" si="3"/>
        <v>6.7188126754913755</v>
      </c>
    </row>
    <row r="53" spans="1:10" s="337" customFormat="1" ht="23.25" customHeight="1">
      <c r="A53" s="1444" t="s">
        <v>1553</v>
      </c>
      <c r="B53" s="560">
        <f>+'55'!B53</f>
        <v>1419</v>
      </c>
      <c r="C53" s="1443">
        <f>+'57'!B53</f>
        <v>4329</v>
      </c>
      <c r="D53" s="1443">
        <f t="shared" si="0"/>
        <v>2173</v>
      </c>
      <c r="E53" s="1443">
        <f>+'57'!D53</f>
        <v>799</v>
      </c>
      <c r="F53" s="1443">
        <f>+'57'!E53</f>
        <v>1368</v>
      </c>
      <c r="G53" s="1443">
        <f>+'57'!F53</f>
        <v>6</v>
      </c>
      <c r="H53" s="1008">
        <f t="shared" si="1"/>
        <v>56.307258632840032</v>
      </c>
      <c r="I53" s="1008">
        <f t="shared" si="2"/>
        <v>50.196350196350195</v>
      </c>
      <c r="J53" s="1008">
        <f t="shared" si="3"/>
        <v>18.456918456918455</v>
      </c>
    </row>
    <row r="54" spans="1:10" s="337" customFormat="1" ht="23.25" customHeight="1">
      <c r="A54" s="1444" t="s">
        <v>1554</v>
      </c>
      <c r="B54" s="560">
        <f>+'55'!B54</f>
        <v>357</v>
      </c>
      <c r="C54" s="1443">
        <f>+'57'!B54</f>
        <v>353</v>
      </c>
      <c r="D54" s="1443">
        <f t="shared" si="0"/>
        <v>0</v>
      </c>
      <c r="E54" s="1443">
        <f>+'57'!D54</f>
        <v>0</v>
      </c>
      <c r="F54" s="1443">
        <f>+'57'!E54</f>
        <v>0</v>
      </c>
      <c r="G54" s="1443">
        <f>+'57'!F54</f>
        <v>0</v>
      </c>
      <c r="H54" s="1008">
        <f t="shared" si="1"/>
        <v>0</v>
      </c>
      <c r="I54" s="1008">
        <f t="shared" si="2"/>
        <v>0</v>
      </c>
      <c r="J54" s="1008">
        <f t="shared" si="3"/>
        <v>0</v>
      </c>
    </row>
    <row r="55" spans="1:10" s="337" customFormat="1" ht="23.25" customHeight="1">
      <c r="A55" s="1444" t="s">
        <v>1677</v>
      </c>
      <c r="B55" s="560">
        <f>+'55'!B55</f>
        <v>1144</v>
      </c>
      <c r="C55" s="1443">
        <f>+'57'!B55</f>
        <v>6633</v>
      </c>
      <c r="D55" s="1443">
        <f t="shared" si="0"/>
        <v>1717</v>
      </c>
      <c r="E55" s="1443">
        <f>+'57'!D55</f>
        <v>496</v>
      </c>
      <c r="F55" s="1443">
        <f>+'57'!E55</f>
        <v>1221</v>
      </c>
      <c r="G55" s="1443">
        <f>+'57'!F55</f>
        <v>0</v>
      </c>
      <c r="H55" s="1008">
        <f t="shared" si="1"/>
        <v>43.356643356643353</v>
      </c>
      <c r="I55" s="1008">
        <f t="shared" si="2"/>
        <v>25.885722900648272</v>
      </c>
      <c r="J55" s="1008">
        <f t="shared" si="3"/>
        <v>7.4777627016432993</v>
      </c>
    </row>
    <row r="56" spans="1:10" s="337" customFormat="1" ht="23.25" customHeight="1">
      <c r="A56" s="1444" t="s">
        <v>1555</v>
      </c>
      <c r="B56" s="560">
        <f>+'55'!B56</f>
        <v>22</v>
      </c>
      <c r="C56" s="1443">
        <f>+'57'!B56</f>
        <v>0</v>
      </c>
      <c r="D56" s="1443">
        <f t="shared" si="0"/>
        <v>0</v>
      </c>
      <c r="E56" s="1443">
        <f>+'57'!D56</f>
        <v>0</v>
      </c>
      <c r="F56" s="1443">
        <f>+'57'!E56</f>
        <v>0</v>
      </c>
      <c r="G56" s="1443">
        <f>+'57'!F56</f>
        <v>0</v>
      </c>
      <c r="H56" s="1008">
        <f t="shared" si="1"/>
        <v>0</v>
      </c>
      <c r="I56" s="1008"/>
      <c r="J56" s="1008"/>
    </row>
    <row r="57" spans="1:10" s="337" customFormat="1" ht="23.25" customHeight="1">
      <c r="A57" s="1444" t="s">
        <v>1678</v>
      </c>
      <c r="B57" s="560">
        <f>+'55'!B57</f>
        <v>733</v>
      </c>
      <c r="C57" s="1443">
        <f>+'57'!B57</f>
        <v>1809</v>
      </c>
      <c r="D57" s="1443">
        <f t="shared" si="0"/>
        <v>230</v>
      </c>
      <c r="E57" s="1443">
        <f>+'57'!D57</f>
        <v>118</v>
      </c>
      <c r="F57" s="1443">
        <f>+'57'!E57</f>
        <v>112</v>
      </c>
      <c r="G57" s="1443">
        <f>+'57'!F57</f>
        <v>0</v>
      </c>
      <c r="H57" s="1008">
        <f t="shared" si="1"/>
        <v>16.098226466575717</v>
      </c>
      <c r="I57" s="1008">
        <f t="shared" si="2"/>
        <v>12.71420674405749</v>
      </c>
      <c r="J57" s="1008">
        <f t="shared" si="3"/>
        <v>6.5229408512990599</v>
      </c>
    </row>
    <row r="58" spans="1:10" s="337" customFormat="1" ht="23.25" customHeight="1">
      <c r="A58" s="1444" t="s">
        <v>1556</v>
      </c>
      <c r="B58" s="560">
        <f>+'55'!B58</f>
        <v>6</v>
      </c>
      <c r="C58" s="1443">
        <f>+'57'!B58</f>
        <v>0</v>
      </c>
      <c r="D58" s="1443">
        <f t="shared" si="0"/>
        <v>0</v>
      </c>
      <c r="E58" s="1443">
        <f>+'57'!D58</f>
        <v>0</v>
      </c>
      <c r="F58" s="1443">
        <f>+'57'!E58</f>
        <v>0</v>
      </c>
      <c r="G58" s="1443">
        <f>+'57'!F58</f>
        <v>0</v>
      </c>
      <c r="H58" s="1008"/>
      <c r="I58" s="1008"/>
      <c r="J58" s="1008"/>
    </row>
    <row r="59" spans="1:10" s="337" customFormat="1" ht="23.25" customHeight="1">
      <c r="A59" s="1444" t="s">
        <v>1557</v>
      </c>
      <c r="B59" s="560">
        <f>+'55'!B59</f>
        <v>5</v>
      </c>
      <c r="C59" s="1544"/>
      <c r="D59" s="1544"/>
      <c r="E59" s="1544"/>
      <c r="F59" s="1544"/>
      <c r="G59" s="1544"/>
      <c r="H59" s="1008"/>
      <c r="I59" s="1008"/>
      <c r="J59" s="1008"/>
    </row>
    <row r="60" spans="1:10" s="337" customFormat="1" ht="23.25" customHeight="1">
      <c r="A60" s="1444" t="s">
        <v>1679</v>
      </c>
      <c r="B60" s="560">
        <f>+'55'!B60</f>
        <v>2</v>
      </c>
      <c r="C60" s="1544"/>
      <c r="D60" s="1544"/>
      <c r="E60" s="1544"/>
      <c r="F60" s="1544"/>
      <c r="G60" s="1544"/>
      <c r="H60" s="1008"/>
      <c r="I60" s="1008"/>
      <c r="J60" s="1008"/>
    </row>
    <row r="61" spans="1:10" s="337" customFormat="1" ht="23.25" customHeight="1">
      <c r="A61" s="1444" t="s">
        <v>1558</v>
      </c>
      <c r="B61" s="560">
        <f>+'55'!B61</f>
        <v>0</v>
      </c>
      <c r="C61" s="1544"/>
      <c r="D61" s="1544"/>
      <c r="E61" s="1544"/>
      <c r="F61" s="1544"/>
      <c r="G61" s="1544"/>
      <c r="H61" s="1008"/>
      <c r="I61" s="1008"/>
      <c r="J61" s="1008"/>
    </row>
    <row r="62" spans="1:10" s="337" customFormat="1" ht="23.25" customHeight="1">
      <c r="A62" s="1444" t="s">
        <v>1559</v>
      </c>
      <c r="B62" s="560">
        <f>+'55'!B62</f>
        <v>0</v>
      </c>
      <c r="C62" s="1443">
        <f>+'57'!B62</f>
        <v>0</v>
      </c>
      <c r="D62" s="1443">
        <f t="shared" si="0"/>
        <v>0</v>
      </c>
      <c r="E62" s="1443">
        <f>+'57'!D62</f>
        <v>0</v>
      </c>
      <c r="F62" s="1443">
        <f>+'57'!E62</f>
        <v>0</v>
      </c>
      <c r="G62" s="1443">
        <f>+'57'!F62</f>
        <v>0</v>
      </c>
      <c r="H62" s="1008"/>
      <c r="I62" s="1008"/>
      <c r="J62" s="1008"/>
    </row>
    <row r="63" spans="1:10" s="337" customFormat="1" ht="23.25" customHeight="1">
      <c r="A63" s="1444" t="s">
        <v>1680</v>
      </c>
      <c r="B63" s="560">
        <f>+'55'!B63</f>
        <v>0</v>
      </c>
      <c r="C63" s="1443">
        <f>+'57'!B63</f>
        <v>0</v>
      </c>
      <c r="D63" s="1443">
        <f t="shared" si="0"/>
        <v>0</v>
      </c>
      <c r="E63" s="1443">
        <f>+'57'!D63</f>
        <v>0</v>
      </c>
      <c r="F63" s="1443">
        <f>+'57'!E63</f>
        <v>0</v>
      </c>
      <c r="G63" s="1443">
        <f>+'57'!F63</f>
        <v>0</v>
      </c>
      <c r="H63" s="1008"/>
      <c r="I63" s="1008"/>
      <c r="J63" s="1008"/>
    </row>
    <row r="64" spans="1:10" s="337" customFormat="1" ht="23.25" customHeight="1">
      <c r="A64" s="1444" t="s">
        <v>1681</v>
      </c>
      <c r="B64" s="560">
        <f>+'55'!B64</f>
        <v>0</v>
      </c>
      <c r="C64" s="1443">
        <f>+'57'!B64</f>
        <v>0</v>
      </c>
      <c r="D64" s="1443">
        <f t="shared" si="0"/>
        <v>0</v>
      </c>
      <c r="E64" s="1443">
        <f>+'57'!D64</f>
        <v>0</v>
      </c>
      <c r="F64" s="1443">
        <f>+'57'!E64</f>
        <v>0</v>
      </c>
      <c r="G64" s="1443">
        <f>+'57'!F64</f>
        <v>0</v>
      </c>
      <c r="H64" s="1008"/>
      <c r="I64" s="1008"/>
      <c r="J64" s="1008"/>
    </row>
    <row r="65" spans="1:10" ht="23.25" customHeight="1">
      <c r="A65" s="560" t="s">
        <v>517</v>
      </c>
      <c r="B65" s="318">
        <f t="shared" ref="B65:G65" si="4">SUM(B5:B64)</f>
        <v>16639</v>
      </c>
      <c r="C65" s="318">
        <f t="shared" si="4"/>
        <v>78685</v>
      </c>
      <c r="D65" s="318">
        <f t="shared" si="4"/>
        <v>17900</v>
      </c>
      <c r="E65" s="318">
        <f t="shared" si="4"/>
        <v>8196</v>
      </c>
      <c r="F65" s="318">
        <f t="shared" si="4"/>
        <v>9372</v>
      </c>
      <c r="G65" s="318">
        <f t="shared" si="4"/>
        <v>332</v>
      </c>
      <c r="H65" s="1008">
        <f t="shared" ref="H65" si="5">+E65/B65*100</f>
        <v>49.257767894705211</v>
      </c>
      <c r="I65" s="1008">
        <f>+D65/C65*100</f>
        <v>22.7489356294084</v>
      </c>
      <c r="J65" s="1164">
        <f t="shared" ref="J65" si="6">+E65/C65*100</f>
        <v>10.41621655970007</v>
      </c>
    </row>
    <row r="66" spans="1:10">
      <c r="A66" s="561"/>
    </row>
    <row r="67" spans="1:10">
      <c r="A67" s="561"/>
      <c r="B67" s="390"/>
      <c r="C67" s="963"/>
    </row>
    <row r="68" spans="1:10">
      <c r="A68" s="561"/>
      <c r="B68" s="390"/>
    </row>
    <row r="69" spans="1:10">
      <c r="A69" s="561"/>
    </row>
    <row r="70" spans="1:10">
      <c r="A70" s="561"/>
    </row>
  </sheetData>
  <mergeCells count="3">
    <mergeCell ref="D3:G3"/>
    <mergeCell ref="H3:J3"/>
    <mergeCell ref="A1:J1"/>
  </mergeCells>
  <phoneticPr fontId="19" type="noConversion"/>
  <pageMargins left="0.85" right="0.19685039370078741" top="0.63" bottom="0.78740157480314965" header="0" footer="0"/>
  <pageSetup paperSize="5"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workbookViewId="0">
      <selection activeCell="I5" sqref="I5"/>
    </sheetView>
  </sheetViews>
  <sheetFormatPr baseColWidth="10" defaultRowHeight="13.2"/>
  <cols>
    <col min="1" max="1" width="27" customWidth="1"/>
    <col min="2" max="2" width="12.77734375" style="554" customWidth="1"/>
    <col min="3" max="6" width="10" style="554" customWidth="1"/>
    <col min="7" max="10" width="10" customWidth="1"/>
    <col min="12" max="14" width="11.44140625" style="1134"/>
  </cols>
  <sheetData>
    <row r="1" spans="1:15" ht="23.25" customHeight="1">
      <c r="A1" s="1664" t="s">
        <v>1689</v>
      </c>
      <c r="B1" s="1664"/>
      <c r="C1" s="1664"/>
      <c r="D1" s="1664"/>
      <c r="E1" s="1664"/>
      <c r="F1" s="1664"/>
      <c r="G1" s="1664"/>
      <c r="H1" s="1664"/>
      <c r="I1" s="1664"/>
      <c r="J1" s="1664"/>
      <c r="K1" s="1664"/>
      <c r="L1" s="1664"/>
      <c r="M1" s="1664"/>
      <c r="N1" s="1664"/>
      <c r="O1" s="1664"/>
    </row>
    <row r="2" spans="1:15" ht="20.25" customHeight="1" thickBot="1">
      <c r="A2" s="540"/>
    </row>
    <row r="3" spans="1:15" s="337" customFormat="1" ht="24" customHeight="1">
      <c r="A3" s="487" t="s">
        <v>1008</v>
      </c>
      <c r="B3" s="555" t="s">
        <v>1018</v>
      </c>
      <c r="C3" s="1652" t="s">
        <v>1683</v>
      </c>
      <c r="D3" s="1653"/>
      <c r="E3" s="1653"/>
      <c r="F3" s="1657"/>
      <c r="G3" s="1658" t="s">
        <v>1584</v>
      </c>
      <c r="H3" s="1659"/>
      <c r="I3" s="1659"/>
      <c r="J3" s="1660"/>
      <c r="K3" s="1661" t="s">
        <v>1585</v>
      </c>
      <c r="L3" s="1661"/>
      <c r="M3" s="1661"/>
      <c r="N3" s="1661"/>
      <c r="O3" s="1662" t="s">
        <v>511</v>
      </c>
    </row>
    <row r="4" spans="1:15" s="337" customFormat="1" ht="36" customHeight="1" thickBot="1">
      <c r="A4" s="544"/>
      <c r="B4" s="1103" t="s">
        <v>1008</v>
      </c>
      <c r="C4" s="558" t="s">
        <v>517</v>
      </c>
      <c r="D4" s="558" t="s">
        <v>1020</v>
      </c>
      <c r="E4" s="559" t="s">
        <v>1021</v>
      </c>
      <c r="F4" s="1379" t="s">
        <v>1022</v>
      </c>
      <c r="G4" s="1381" t="s">
        <v>517</v>
      </c>
      <c r="H4" s="1105" t="s">
        <v>1020</v>
      </c>
      <c r="I4" s="1106" t="s">
        <v>1021</v>
      </c>
      <c r="J4" s="1382" t="s">
        <v>1022</v>
      </c>
      <c r="K4" s="1139" t="s">
        <v>517</v>
      </c>
      <c r="L4" s="1105" t="s">
        <v>1020</v>
      </c>
      <c r="M4" s="1106" t="s">
        <v>1021</v>
      </c>
      <c r="N4" s="1141" t="s">
        <v>1022</v>
      </c>
      <c r="O4" s="1663"/>
    </row>
    <row r="5" spans="1:15" s="337" customFormat="1" ht="23.25" customHeight="1">
      <c r="A5" s="1444" t="s">
        <v>1519</v>
      </c>
      <c r="B5" s="1242">
        <f>+[8]A07!B11</f>
        <v>3799</v>
      </c>
      <c r="C5" s="1138">
        <f>SUM(D5:F5)</f>
        <v>537</v>
      </c>
      <c r="D5" s="1374">
        <f>+[8]A07!X11+[8]A07!AB11</f>
        <v>203</v>
      </c>
      <c r="E5" s="1544">
        <f>+[8]A07!Y11+[8]A07!AC11</f>
        <v>306</v>
      </c>
      <c r="F5" s="1544">
        <f>+[8]A07!Z11+[8]A07!AD11</f>
        <v>28</v>
      </c>
      <c r="G5" s="1383">
        <f>SUM(H5:J5)</f>
        <v>1022</v>
      </c>
      <c r="H5" s="1443">
        <v>429</v>
      </c>
      <c r="I5" s="1443">
        <v>565</v>
      </c>
      <c r="J5" s="1384">
        <v>28</v>
      </c>
      <c r="K5" s="1140">
        <f>SUM(L5:N5)</f>
        <v>-485</v>
      </c>
      <c r="L5" s="70">
        <f t="shared" ref="L5:N6" si="0">+D5-H5</f>
        <v>-226</v>
      </c>
      <c r="M5" s="70">
        <f t="shared" si="0"/>
        <v>-259</v>
      </c>
      <c r="N5" s="1142">
        <f t="shared" si="0"/>
        <v>0</v>
      </c>
      <c r="O5" s="1143">
        <f>(+C5-G5)/G5*100</f>
        <v>-47.455968688845402</v>
      </c>
    </row>
    <row r="6" spans="1:15" s="337" customFormat="1" ht="23.25" customHeight="1">
      <c r="A6" s="1444" t="s">
        <v>1520</v>
      </c>
      <c r="B6" s="1544">
        <f>+[8]A07!$B12</f>
        <v>12205</v>
      </c>
      <c r="C6" s="1138">
        <f t="shared" ref="C6:C64" si="1">SUM(D6:F6)</f>
        <v>1756</v>
      </c>
      <c r="D6" s="1544">
        <f>+[8]A07!X12+[8]A07!AB12</f>
        <v>983</v>
      </c>
      <c r="E6" s="1544">
        <f>+[8]A07!Y12+[8]A07!AC12</f>
        <v>769</v>
      </c>
      <c r="F6" s="1544">
        <f>+[8]A07!Z12+[8]A07!AD12</f>
        <v>4</v>
      </c>
      <c r="G6" s="1383">
        <f t="shared" ref="G6:G65" si="2">SUM(H6:J6)</f>
        <v>4152</v>
      </c>
      <c r="H6" s="1443">
        <v>2761</v>
      </c>
      <c r="I6" s="1443">
        <v>1390</v>
      </c>
      <c r="J6" s="1384">
        <v>1</v>
      </c>
      <c r="K6" s="1140">
        <f t="shared" ref="K6" si="3">SUM(L6:N6)</f>
        <v>-2396</v>
      </c>
      <c r="L6" s="70">
        <f t="shared" si="0"/>
        <v>-1778</v>
      </c>
      <c r="M6" s="70">
        <f t="shared" si="0"/>
        <v>-621</v>
      </c>
      <c r="N6" s="1142">
        <f t="shared" si="0"/>
        <v>3</v>
      </c>
      <c r="O6" s="1144">
        <f>(+C6-G6)/G6*100</f>
        <v>-57.707129094412338</v>
      </c>
    </row>
    <row r="7" spans="1:15" s="337" customFormat="1" ht="23.25" customHeight="1">
      <c r="A7" s="1444" t="s">
        <v>1521</v>
      </c>
      <c r="B7" s="1544">
        <f>+[8]A07!$B13</f>
        <v>659</v>
      </c>
      <c r="C7" s="1138">
        <f t="shared" si="1"/>
        <v>0</v>
      </c>
      <c r="D7" s="1544">
        <f>+[8]A07!X13+[8]A07!AB13</f>
        <v>0</v>
      </c>
      <c r="E7" s="1544">
        <f>+[8]A07!Y13+[8]A07!AC13</f>
        <v>0</v>
      </c>
      <c r="F7" s="1544">
        <f>+[8]A07!Z13+[8]A07!AD13</f>
        <v>0</v>
      </c>
      <c r="G7" s="1383">
        <f t="shared" si="2"/>
        <v>0</v>
      </c>
      <c r="H7" s="1443">
        <v>0</v>
      </c>
      <c r="I7" s="1443">
        <v>0</v>
      </c>
      <c r="J7" s="1384">
        <v>0</v>
      </c>
      <c r="K7" s="1140">
        <f t="shared" ref="K7:K27" si="4">SUM(L7:N7)</f>
        <v>0</v>
      </c>
      <c r="L7" s="70">
        <f t="shared" ref="L7:L27" si="5">+D7-H7</f>
        <v>0</v>
      </c>
      <c r="M7" s="70">
        <f t="shared" ref="M7:M27" si="6">+E7-I7</f>
        <v>0</v>
      </c>
      <c r="N7" s="1142">
        <f t="shared" ref="N7:N27" si="7">+F7-J7</f>
        <v>0</v>
      </c>
      <c r="O7" s="1144"/>
    </row>
    <row r="8" spans="1:15" s="337" customFormat="1" ht="23.25" customHeight="1">
      <c r="A8" s="1444" t="s">
        <v>1522</v>
      </c>
      <c r="B8" s="1544">
        <f>+[8]A07!$B14</f>
        <v>294</v>
      </c>
      <c r="C8" s="1138">
        <f t="shared" si="1"/>
        <v>28</v>
      </c>
      <c r="D8" s="1544">
        <f>+[8]A07!X14+[8]A07!AB14</f>
        <v>12</v>
      </c>
      <c r="E8" s="1544">
        <f>+[8]A07!Y14+[8]A07!AC14</f>
        <v>16</v>
      </c>
      <c r="F8" s="1544">
        <f>+[8]A07!Z14+[8]A07!AD14</f>
        <v>0</v>
      </c>
      <c r="G8" s="1383">
        <f t="shared" si="2"/>
        <v>68</v>
      </c>
      <c r="H8" s="1443">
        <v>29</v>
      </c>
      <c r="I8" s="1443">
        <v>39</v>
      </c>
      <c r="J8" s="1384">
        <v>0</v>
      </c>
      <c r="K8" s="1140">
        <f t="shared" si="4"/>
        <v>-40</v>
      </c>
      <c r="L8" s="70">
        <f t="shared" si="5"/>
        <v>-17</v>
      </c>
      <c r="M8" s="70">
        <f t="shared" si="6"/>
        <v>-23</v>
      </c>
      <c r="N8" s="1142">
        <f t="shared" si="7"/>
        <v>0</v>
      </c>
      <c r="O8" s="1144">
        <f t="shared" ref="O8:O65" si="8">(+C8-G8)/G8*100</f>
        <v>-58.82352941176471</v>
      </c>
    </row>
    <row r="9" spans="1:15" s="337" customFormat="1" ht="23.25" customHeight="1">
      <c r="A9" s="1444" t="s">
        <v>1523</v>
      </c>
      <c r="B9" s="1544">
        <f>+[8]A07!$B15</f>
        <v>788</v>
      </c>
      <c r="C9" s="1138">
        <f t="shared" si="1"/>
        <v>125</v>
      </c>
      <c r="D9" s="1544">
        <f>+[8]A07!X15+[8]A07!AB15</f>
        <v>38</v>
      </c>
      <c r="E9" s="1544">
        <f>+[8]A07!Y15+[8]A07!AC15</f>
        <v>87</v>
      </c>
      <c r="F9" s="1544">
        <f>+[8]A07!Z15+[8]A07!AD15</f>
        <v>0</v>
      </c>
      <c r="G9" s="1383">
        <f t="shared" si="2"/>
        <v>118</v>
      </c>
      <c r="H9" s="1443">
        <v>50</v>
      </c>
      <c r="I9" s="1443">
        <v>68</v>
      </c>
      <c r="J9" s="1384">
        <v>0</v>
      </c>
      <c r="K9" s="1140">
        <f t="shared" si="4"/>
        <v>7</v>
      </c>
      <c r="L9" s="70">
        <f t="shared" si="5"/>
        <v>-12</v>
      </c>
      <c r="M9" s="70">
        <f t="shared" si="6"/>
        <v>19</v>
      </c>
      <c r="N9" s="1142">
        <f t="shared" si="7"/>
        <v>0</v>
      </c>
      <c r="O9" s="1144">
        <f t="shared" si="8"/>
        <v>5.9322033898305087</v>
      </c>
    </row>
    <row r="10" spans="1:15" s="337" customFormat="1" ht="23.25" customHeight="1">
      <c r="A10" s="1444" t="s">
        <v>1524</v>
      </c>
      <c r="B10" s="1544">
        <f>+[8]A07!$B16</f>
        <v>327</v>
      </c>
      <c r="C10" s="1138">
        <f t="shared" si="1"/>
        <v>116</v>
      </c>
      <c r="D10" s="1544">
        <f>+[8]A07!X16+[8]A07!AB16</f>
        <v>39</v>
      </c>
      <c r="E10" s="1544">
        <f>+[8]A07!Y16+[8]A07!AC16</f>
        <v>77</v>
      </c>
      <c r="F10" s="1544">
        <f>+[8]A07!Z16+[8]A07!AD16</f>
        <v>0</v>
      </c>
      <c r="G10" s="1383">
        <f t="shared" si="2"/>
        <v>218</v>
      </c>
      <c r="H10" s="1443">
        <v>71</v>
      </c>
      <c r="I10" s="1443">
        <v>147</v>
      </c>
      <c r="J10" s="1384">
        <v>0</v>
      </c>
      <c r="K10" s="1140">
        <f t="shared" si="4"/>
        <v>-102</v>
      </c>
      <c r="L10" s="70">
        <f t="shared" si="5"/>
        <v>-32</v>
      </c>
      <c r="M10" s="70">
        <f t="shared" si="6"/>
        <v>-70</v>
      </c>
      <c r="N10" s="1142">
        <f t="shared" si="7"/>
        <v>0</v>
      </c>
      <c r="O10" s="1144">
        <f t="shared" si="8"/>
        <v>-46.788990825688074</v>
      </c>
    </row>
    <row r="11" spans="1:15" s="337" customFormat="1" ht="23.25" customHeight="1">
      <c r="A11" s="1444" t="s">
        <v>1665</v>
      </c>
      <c r="B11" s="1544">
        <f>+[8]A07!$B17</f>
        <v>2085</v>
      </c>
      <c r="C11" s="1138">
        <f t="shared" si="1"/>
        <v>337</v>
      </c>
      <c r="D11" s="1544">
        <f>+[8]A07!X17+[8]A07!AB17</f>
        <v>80</v>
      </c>
      <c r="E11" s="1544">
        <f>+[8]A07!Y17+[8]A07!AC17</f>
        <v>256</v>
      </c>
      <c r="F11" s="1544">
        <f>+[8]A07!Z17+[8]A07!AD17</f>
        <v>1</v>
      </c>
      <c r="G11" s="1383">
        <f t="shared" si="2"/>
        <v>874</v>
      </c>
      <c r="H11" s="1443">
        <v>208</v>
      </c>
      <c r="I11" s="1443">
        <v>666</v>
      </c>
      <c r="J11" s="1384">
        <v>0</v>
      </c>
      <c r="K11" s="1140">
        <f t="shared" si="4"/>
        <v>-537</v>
      </c>
      <c r="L11" s="70">
        <f t="shared" si="5"/>
        <v>-128</v>
      </c>
      <c r="M11" s="70">
        <f t="shared" si="6"/>
        <v>-410</v>
      </c>
      <c r="N11" s="1142">
        <f t="shared" si="7"/>
        <v>1</v>
      </c>
      <c r="O11" s="1144">
        <f t="shared" si="8"/>
        <v>-61.441647597254004</v>
      </c>
    </row>
    <row r="12" spans="1:15" s="337" customFormat="1" ht="23.25" customHeight="1">
      <c r="A12" s="1444" t="s">
        <v>1525</v>
      </c>
      <c r="B12" s="1544">
        <f>+[8]A07!$B18</f>
        <v>0</v>
      </c>
      <c r="C12" s="1138">
        <f t="shared" si="1"/>
        <v>0</v>
      </c>
      <c r="D12" s="1544">
        <f>+[8]A07!X18+[8]A07!AB18</f>
        <v>0</v>
      </c>
      <c r="E12" s="1544">
        <f>+[8]A07!Y18+[8]A07!AC18</f>
        <v>0</v>
      </c>
      <c r="F12" s="1544">
        <f>+[8]A07!Z18+[8]A07!AD18</f>
        <v>0</v>
      </c>
      <c r="G12" s="1383">
        <f t="shared" si="2"/>
        <v>0</v>
      </c>
      <c r="H12" s="1443">
        <v>0</v>
      </c>
      <c r="I12" s="1443">
        <v>0</v>
      </c>
      <c r="J12" s="1384">
        <v>0</v>
      </c>
      <c r="K12" s="1140">
        <f t="shared" si="4"/>
        <v>0</v>
      </c>
      <c r="L12" s="70">
        <f t="shared" si="5"/>
        <v>0</v>
      </c>
      <c r="M12" s="70">
        <f t="shared" si="6"/>
        <v>0</v>
      </c>
      <c r="N12" s="1142">
        <f t="shared" si="7"/>
        <v>0</v>
      </c>
      <c r="O12" s="1144"/>
    </row>
    <row r="13" spans="1:15" s="337" customFormat="1" ht="23.25" customHeight="1">
      <c r="A13" s="1445" t="s">
        <v>1526</v>
      </c>
      <c r="B13" s="1544">
        <f>+[8]A07!$B19</f>
        <v>1450</v>
      </c>
      <c r="C13" s="1138">
        <f t="shared" si="1"/>
        <v>165</v>
      </c>
      <c r="D13" s="1544">
        <f>+[8]A07!X19+[8]A07!AB19</f>
        <v>49</v>
      </c>
      <c r="E13" s="1544">
        <f>+[8]A07!Y19+[8]A07!AC19</f>
        <v>116</v>
      </c>
      <c r="F13" s="1544">
        <f>+[8]A07!Z19+[8]A07!AD19</f>
        <v>0</v>
      </c>
      <c r="G13" s="1383">
        <f t="shared" si="2"/>
        <v>309</v>
      </c>
      <c r="H13" s="1443">
        <v>14</v>
      </c>
      <c r="I13" s="1443">
        <v>295</v>
      </c>
      <c r="J13" s="1384">
        <v>0</v>
      </c>
      <c r="K13" s="1140">
        <f t="shared" si="4"/>
        <v>-144</v>
      </c>
      <c r="L13" s="70">
        <f t="shared" si="5"/>
        <v>35</v>
      </c>
      <c r="M13" s="70">
        <f t="shared" si="6"/>
        <v>-179</v>
      </c>
      <c r="N13" s="1142">
        <f t="shared" si="7"/>
        <v>0</v>
      </c>
      <c r="O13" s="1144">
        <f t="shared" si="8"/>
        <v>-46.601941747572816</v>
      </c>
    </row>
    <row r="14" spans="1:15" s="337" customFormat="1" ht="23.25" customHeight="1">
      <c r="A14" s="1444" t="s">
        <v>1527</v>
      </c>
      <c r="B14" s="1544">
        <f>+[8]A07!$B20</f>
        <v>219</v>
      </c>
      <c r="C14" s="1138">
        <f t="shared" si="1"/>
        <v>30</v>
      </c>
      <c r="D14" s="1544">
        <f>+[8]A07!X20+[8]A07!AB20</f>
        <v>19</v>
      </c>
      <c r="E14" s="1544">
        <f>+[8]A07!Y20+[8]A07!AC20</f>
        <v>11</v>
      </c>
      <c r="F14" s="1544">
        <f>+[8]A07!Z20+[8]A07!AD20</f>
        <v>0</v>
      </c>
      <c r="G14" s="1383">
        <f t="shared" si="2"/>
        <v>92</v>
      </c>
      <c r="H14" s="1443">
        <v>51</v>
      </c>
      <c r="I14" s="1443">
        <v>41</v>
      </c>
      <c r="J14" s="1384">
        <v>0</v>
      </c>
      <c r="K14" s="1140">
        <f t="shared" si="4"/>
        <v>-62</v>
      </c>
      <c r="L14" s="70">
        <f t="shared" si="5"/>
        <v>-32</v>
      </c>
      <c r="M14" s="70">
        <f t="shared" si="6"/>
        <v>-30</v>
      </c>
      <c r="N14" s="1142">
        <f t="shared" si="7"/>
        <v>0</v>
      </c>
      <c r="O14" s="1144">
        <f t="shared" si="8"/>
        <v>-67.391304347826093</v>
      </c>
    </row>
    <row r="15" spans="1:15" s="337" customFormat="1" ht="23.25" customHeight="1">
      <c r="A15" s="1444" t="s">
        <v>1528</v>
      </c>
      <c r="B15" s="1544">
        <f>+[8]A07!$B21</f>
        <v>309</v>
      </c>
      <c r="C15" s="1138">
        <f t="shared" si="1"/>
        <v>105</v>
      </c>
      <c r="D15" s="1544">
        <f>+[8]A07!X21+[8]A07!AB21</f>
        <v>47</v>
      </c>
      <c r="E15" s="1544">
        <f>+[8]A07!Y21+[8]A07!AC21</f>
        <v>58</v>
      </c>
      <c r="F15" s="1544">
        <f>+[8]A07!Z21+[8]A07!AD21</f>
        <v>0</v>
      </c>
      <c r="G15" s="1383">
        <f t="shared" si="2"/>
        <v>321</v>
      </c>
      <c r="H15" s="1443">
        <v>114</v>
      </c>
      <c r="I15" s="1443">
        <v>207</v>
      </c>
      <c r="J15" s="1384">
        <v>0</v>
      </c>
      <c r="K15" s="1140">
        <f t="shared" si="4"/>
        <v>-216</v>
      </c>
      <c r="L15" s="70">
        <f t="shared" si="5"/>
        <v>-67</v>
      </c>
      <c r="M15" s="70">
        <f t="shared" si="6"/>
        <v>-149</v>
      </c>
      <c r="N15" s="1142">
        <f t="shared" si="7"/>
        <v>0</v>
      </c>
      <c r="O15" s="1144">
        <f t="shared" si="8"/>
        <v>-67.289719626168221</v>
      </c>
    </row>
    <row r="16" spans="1:15" s="337" customFormat="1" ht="23.25" customHeight="1">
      <c r="A16" s="1444" t="s">
        <v>1529</v>
      </c>
      <c r="B16" s="1544">
        <f>+[8]A07!$B22</f>
        <v>0</v>
      </c>
      <c r="C16" s="1138">
        <f t="shared" si="1"/>
        <v>0</v>
      </c>
      <c r="D16" s="1544">
        <f>+[8]A07!X22+[8]A07!AB22</f>
        <v>0</v>
      </c>
      <c r="E16" s="1544">
        <f>+[8]A07!Y22+[8]A07!AC22</f>
        <v>0</v>
      </c>
      <c r="F16" s="1544">
        <f>+[8]A07!Z22+[8]A07!AD22</f>
        <v>0</v>
      </c>
      <c r="G16" s="1383">
        <f t="shared" si="2"/>
        <v>0</v>
      </c>
      <c r="H16" s="1443">
        <v>0</v>
      </c>
      <c r="I16" s="1443">
        <v>0</v>
      </c>
      <c r="J16" s="1384">
        <v>0</v>
      </c>
      <c r="K16" s="1140">
        <f t="shared" si="4"/>
        <v>0</v>
      </c>
      <c r="L16" s="70">
        <f t="shared" si="5"/>
        <v>0</v>
      </c>
      <c r="M16" s="70">
        <f t="shared" si="6"/>
        <v>0</v>
      </c>
      <c r="N16" s="1142">
        <f t="shared" si="7"/>
        <v>0</v>
      </c>
      <c r="O16" s="1144"/>
    </row>
    <row r="17" spans="1:15" s="337" customFormat="1" ht="23.25" customHeight="1">
      <c r="A17" s="1444" t="s">
        <v>1530</v>
      </c>
      <c r="B17" s="1544">
        <f>+[8]A07!$B23</f>
        <v>0</v>
      </c>
      <c r="C17" s="1138">
        <f t="shared" si="1"/>
        <v>0</v>
      </c>
      <c r="D17" s="1544">
        <f>+[8]A07!X23+[8]A07!AB23</f>
        <v>0</v>
      </c>
      <c r="E17" s="1544">
        <f>+[8]A07!Y23+[8]A07!AC23</f>
        <v>0</v>
      </c>
      <c r="F17" s="1544">
        <f>+[8]A07!Z23+[8]A07!AD23</f>
        <v>0</v>
      </c>
      <c r="G17" s="1383">
        <f t="shared" si="2"/>
        <v>0</v>
      </c>
      <c r="H17" s="1443">
        <v>0</v>
      </c>
      <c r="I17" s="1443">
        <v>0</v>
      </c>
      <c r="J17" s="1384">
        <v>0</v>
      </c>
      <c r="K17" s="1140">
        <f t="shared" si="4"/>
        <v>0</v>
      </c>
      <c r="L17" s="70">
        <f t="shared" si="5"/>
        <v>0</v>
      </c>
      <c r="M17" s="70">
        <f t="shared" si="6"/>
        <v>0</v>
      </c>
      <c r="N17" s="1142">
        <f t="shared" si="7"/>
        <v>0</v>
      </c>
      <c r="O17" s="1144"/>
    </row>
    <row r="18" spans="1:15" s="337" customFormat="1" ht="23.25" customHeight="1">
      <c r="A18" s="1444" t="s">
        <v>1666</v>
      </c>
      <c r="B18" s="1544">
        <f>+[8]A07!$B24</f>
        <v>0</v>
      </c>
      <c r="C18" s="1138">
        <f t="shared" si="1"/>
        <v>0</v>
      </c>
      <c r="D18" s="1544">
        <f>+[8]A07!X24+[8]A07!AB24</f>
        <v>0</v>
      </c>
      <c r="E18" s="1544">
        <f>+[8]A07!Y24+[8]A07!AC24</f>
        <v>0</v>
      </c>
      <c r="F18" s="1544">
        <f>+[8]A07!Z24+[8]A07!AD24</f>
        <v>0</v>
      </c>
      <c r="G18" s="1383">
        <f t="shared" si="2"/>
        <v>0</v>
      </c>
      <c r="H18" s="1443">
        <v>0</v>
      </c>
      <c r="I18" s="1443">
        <v>0</v>
      </c>
      <c r="J18" s="1384">
        <v>0</v>
      </c>
      <c r="K18" s="1140">
        <f t="shared" si="4"/>
        <v>0</v>
      </c>
      <c r="L18" s="70">
        <f t="shared" si="5"/>
        <v>0</v>
      </c>
      <c r="M18" s="70">
        <f t="shared" si="6"/>
        <v>0</v>
      </c>
      <c r="N18" s="1142">
        <f t="shared" si="7"/>
        <v>0</v>
      </c>
      <c r="O18" s="1144"/>
    </row>
    <row r="19" spans="1:15" s="337" customFormat="1" ht="23.25" customHeight="1">
      <c r="A19" s="1446" t="s">
        <v>1531</v>
      </c>
      <c r="B19" s="1544">
        <f>+[8]A07!$B25</f>
        <v>0</v>
      </c>
      <c r="C19" s="1138">
        <f t="shared" si="1"/>
        <v>0</v>
      </c>
      <c r="D19" s="1544">
        <f>+[8]A07!X25+[8]A07!AB25</f>
        <v>0</v>
      </c>
      <c r="E19" s="1544">
        <f>+[8]A07!Y25+[8]A07!AC25</f>
        <v>0</v>
      </c>
      <c r="F19" s="1544">
        <f>+[8]A07!Z25+[8]A07!AD25</f>
        <v>0</v>
      </c>
      <c r="G19" s="1383">
        <f t="shared" si="2"/>
        <v>0</v>
      </c>
      <c r="H19" s="1443">
        <v>0</v>
      </c>
      <c r="I19" s="1443">
        <v>0</v>
      </c>
      <c r="J19" s="1384">
        <v>0</v>
      </c>
      <c r="K19" s="1140">
        <f t="shared" si="4"/>
        <v>0</v>
      </c>
      <c r="L19" s="70">
        <f t="shared" si="5"/>
        <v>0</v>
      </c>
      <c r="M19" s="70">
        <f t="shared" si="6"/>
        <v>0</v>
      </c>
      <c r="N19" s="1142">
        <f t="shared" si="7"/>
        <v>0</v>
      </c>
      <c r="O19" s="1144"/>
    </row>
    <row r="20" spans="1:15" s="337" customFormat="1" ht="23.25" customHeight="1">
      <c r="A20" s="1444" t="s">
        <v>1532</v>
      </c>
      <c r="B20" s="1544">
        <f>+[8]A07!$B26</f>
        <v>508</v>
      </c>
      <c r="C20" s="1138">
        <f t="shared" si="1"/>
        <v>81</v>
      </c>
      <c r="D20" s="1544">
        <f>+[8]A07!X26+[8]A07!AB26</f>
        <v>54</v>
      </c>
      <c r="E20" s="1544">
        <f>+[8]A07!Y26+[8]A07!AC26</f>
        <v>27</v>
      </c>
      <c r="F20" s="1544">
        <f>+[8]A07!Z26+[8]A07!AD26</f>
        <v>0</v>
      </c>
      <c r="G20" s="1383">
        <f t="shared" si="2"/>
        <v>141</v>
      </c>
      <c r="H20" s="1443">
        <v>62</v>
      </c>
      <c r="I20" s="1443">
        <v>79</v>
      </c>
      <c r="J20" s="1384">
        <v>0</v>
      </c>
      <c r="K20" s="1140">
        <f t="shared" si="4"/>
        <v>-60</v>
      </c>
      <c r="L20" s="70">
        <f t="shared" si="5"/>
        <v>-8</v>
      </c>
      <c r="M20" s="70">
        <f t="shared" si="6"/>
        <v>-52</v>
      </c>
      <c r="N20" s="1142">
        <f t="shared" si="7"/>
        <v>0</v>
      </c>
      <c r="O20" s="1144">
        <f t="shared" si="8"/>
        <v>-42.553191489361701</v>
      </c>
    </row>
    <row r="21" spans="1:15" s="337" customFormat="1" ht="23.25" customHeight="1">
      <c r="A21" s="1444" t="s">
        <v>1533</v>
      </c>
      <c r="B21" s="1544">
        <f>+[8]A07!$B27</f>
        <v>0</v>
      </c>
      <c r="C21" s="1138">
        <f t="shared" si="1"/>
        <v>0</v>
      </c>
      <c r="D21" s="1544">
        <f>+[8]A07!X27+[8]A07!AB27</f>
        <v>0</v>
      </c>
      <c r="E21" s="1544">
        <f>+[8]A07!Y27+[8]A07!AC27</f>
        <v>0</v>
      </c>
      <c r="F21" s="1544">
        <f>+[8]A07!Z27+[8]A07!AD27</f>
        <v>0</v>
      </c>
      <c r="G21" s="1383">
        <v>0</v>
      </c>
      <c r="H21" s="1443">
        <v>0</v>
      </c>
      <c r="I21" s="1443">
        <v>0</v>
      </c>
      <c r="J21" s="1384">
        <v>0</v>
      </c>
      <c r="K21" s="1140">
        <v>0</v>
      </c>
      <c r="L21" s="70">
        <v>0</v>
      </c>
      <c r="M21" s="70">
        <v>0</v>
      </c>
      <c r="N21" s="1142">
        <v>0</v>
      </c>
      <c r="O21" s="1144">
        <v>0</v>
      </c>
    </row>
    <row r="22" spans="1:15" s="337" customFormat="1" ht="23.25" customHeight="1">
      <c r="A22" s="1444" t="s">
        <v>1667</v>
      </c>
      <c r="B22" s="1544">
        <f>+[8]A07!$B28</f>
        <v>0</v>
      </c>
      <c r="C22" s="1138">
        <f t="shared" si="1"/>
        <v>0</v>
      </c>
      <c r="D22" s="1544">
        <f>+[8]A07!X28+[8]A07!AB28</f>
        <v>0</v>
      </c>
      <c r="E22" s="1544">
        <f>+[8]A07!Y28+[8]A07!AC28</f>
        <v>0</v>
      </c>
      <c r="F22" s="1544">
        <f>+[8]A07!Z28+[8]A07!AD28</f>
        <v>0</v>
      </c>
      <c r="G22" s="1383">
        <f t="shared" si="2"/>
        <v>0</v>
      </c>
      <c r="H22" s="1443">
        <v>0</v>
      </c>
      <c r="I22" s="1443">
        <v>0</v>
      </c>
      <c r="J22" s="1384">
        <v>0</v>
      </c>
      <c r="K22" s="1140">
        <f t="shared" si="4"/>
        <v>0</v>
      </c>
      <c r="L22" s="70">
        <f t="shared" si="5"/>
        <v>0</v>
      </c>
      <c r="M22" s="70">
        <f t="shared" si="6"/>
        <v>0</v>
      </c>
      <c r="N22" s="1142">
        <f t="shared" si="7"/>
        <v>0</v>
      </c>
      <c r="O22" s="1144"/>
    </row>
    <row r="23" spans="1:15" s="337" customFormat="1" ht="23.25" customHeight="1">
      <c r="A23" s="1444" t="s">
        <v>1534</v>
      </c>
      <c r="B23" s="1544">
        <f>+[8]A07!$B29</f>
        <v>0</v>
      </c>
      <c r="C23" s="1138">
        <f t="shared" si="1"/>
        <v>0</v>
      </c>
      <c r="D23" s="1544">
        <f>+[8]A07!X29+[8]A07!AB29</f>
        <v>0</v>
      </c>
      <c r="E23" s="1544">
        <f>+[8]A07!Y29+[8]A07!AC29</f>
        <v>0</v>
      </c>
      <c r="F23" s="1544">
        <f>+[8]A07!Z29+[8]A07!AD29</f>
        <v>0</v>
      </c>
      <c r="G23" s="1383">
        <f t="shared" si="2"/>
        <v>0</v>
      </c>
      <c r="H23" s="1443">
        <v>0</v>
      </c>
      <c r="I23" s="1443">
        <v>0</v>
      </c>
      <c r="J23" s="1384">
        <v>0</v>
      </c>
      <c r="K23" s="1140">
        <f t="shared" si="4"/>
        <v>0</v>
      </c>
      <c r="L23" s="70">
        <f t="shared" si="5"/>
        <v>0</v>
      </c>
      <c r="M23" s="70">
        <f t="shared" si="6"/>
        <v>0</v>
      </c>
      <c r="N23" s="1142">
        <f t="shared" si="7"/>
        <v>0</v>
      </c>
      <c r="O23" s="1144"/>
    </row>
    <row r="24" spans="1:15" s="337" customFormat="1" ht="23.25" customHeight="1">
      <c r="A24" s="1444" t="s">
        <v>1668</v>
      </c>
      <c r="B24" s="1544">
        <f>+[8]A07!$B30</f>
        <v>1457</v>
      </c>
      <c r="C24" s="1138">
        <f t="shared" si="1"/>
        <v>175</v>
      </c>
      <c r="D24" s="1544">
        <f>+[8]A07!X30+[8]A07!AB30</f>
        <v>65</v>
      </c>
      <c r="E24" s="1544">
        <f>+[8]A07!Y30+[8]A07!AC30</f>
        <v>110</v>
      </c>
      <c r="F24" s="1544">
        <f>+[8]A07!Z30+[8]A07!AD30</f>
        <v>0</v>
      </c>
      <c r="G24" s="1383">
        <f t="shared" si="2"/>
        <v>377</v>
      </c>
      <c r="H24" s="1443">
        <v>114</v>
      </c>
      <c r="I24" s="1443">
        <v>263</v>
      </c>
      <c r="J24" s="1384">
        <v>0</v>
      </c>
      <c r="K24" s="1140">
        <f t="shared" si="4"/>
        <v>-202</v>
      </c>
      <c r="L24" s="70">
        <f t="shared" si="5"/>
        <v>-49</v>
      </c>
      <c r="M24" s="70">
        <f t="shared" si="6"/>
        <v>-153</v>
      </c>
      <c r="N24" s="1142">
        <f t="shared" si="7"/>
        <v>0</v>
      </c>
      <c r="O24" s="1144">
        <f t="shared" si="8"/>
        <v>-53.58090185676393</v>
      </c>
    </row>
    <row r="25" spans="1:15" s="337" customFormat="1" ht="23.25" customHeight="1">
      <c r="A25" s="1447" t="s">
        <v>1535</v>
      </c>
      <c r="B25" s="1544">
        <f>+[8]A07!$B31</f>
        <v>671</v>
      </c>
      <c r="C25" s="1138">
        <f t="shared" si="1"/>
        <v>220</v>
      </c>
      <c r="D25" s="1544">
        <f>+[8]A07!X31+[8]A07!AB31</f>
        <v>174</v>
      </c>
      <c r="E25" s="1544">
        <f>+[8]A07!Y31+[8]A07!AC31</f>
        <v>46</v>
      </c>
      <c r="F25" s="1544">
        <f>+[8]A07!Z31+[8]A07!AD31</f>
        <v>0</v>
      </c>
      <c r="G25" s="1383">
        <f t="shared" si="2"/>
        <v>1132</v>
      </c>
      <c r="H25" s="1443">
        <v>814</v>
      </c>
      <c r="I25" s="1443">
        <v>318</v>
      </c>
      <c r="J25" s="1384">
        <v>0</v>
      </c>
      <c r="K25" s="1140">
        <f t="shared" si="4"/>
        <v>-912</v>
      </c>
      <c r="L25" s="70">
        <f t="shared" si="5"/>
        <v>-640</v>
      </c>
      <c r="M25" s="70">
        <f t="shared" si="6"/>
        <v>-272</v>
      </c>
      <c r="N25" s="1142">
        <f t="shared" si="7"/>
        <v>0</v>
      </c>
      <c r="O25" s="1144">
        <f t="shared" si="8"/>
        <v>-80.565371024734972</v>
      </c>
    </row>
    <row r="26" spans="1:15" s="337" customFormat="1" ht="23.25" customHeight="1">
      <c r="A26" s="1447" t="s">
        <v>1536</v>
      </c>
      <c r="B26" s="1544">
        <f>+[8]A07!$B32</f>
        <v>0</v>
      </c>
      <c r="C26" s="1138">
        <f t="shared" si="1"/>
        <v>0</v>
      </c>
      <c r="D26" s="1544">
        <f>+[8]A07!X32+[8]A07!AB32</f>
        <v>0</v>
      </c>
      <c r="E26" s="1544">
        <f>+[8]A07!Y32+[8]A07!AC32</f>
        <v>0</v>
      </c>
      <c r="F26" s="1544">
        <f>+[8]A07!Z32+[8]A07!AD32</f>
        <v>0</v>
      </c>
      <c r="G26" s="1383">
        <f t="shared" si="2"/>
        <v>0</v>
      </c>
      <c r="H26" s="1443">
        <v>0</v>
      </c>
      <c r="I26" s="1443">
        <v>0</v>
      </c>
      <c r="J26" s="1384">
        <v>0</v>
      </c>
      <c r="K26" s="1140">
        <f t="shared" si="4"/>
        <v>0</v>
      </c>
      <c r="L26" s="70">
        <f t="shared" si="5"/>
        <v>0</v>
      </c>
      <c r="M26" s="70">
        <f t="shared" si="6"/>
        <v>0</v>
      </c>
      <c r="N26" s="1142">
        <f t="shared" si="7"/>
        <v>0</v>
      </c>
      <c r="O26" s="1144"/>
    </row>
    <row r="27" spans="1:15" s="337" customFormat="1" ht="23.25" customHeight="1">
      <c r="A27" s="1444" t="s">
        <v>1669</v>
      </c>
      <c r="B27" s="1544">
        <f>+[8]A07!$B33</f>
        <v>799</v>
      </c>
      <c r="C27" s="1138">
        <f t="shared" si="1"/>
        <v>43</v>
      </c>
      <c r="D27" s="1544">
        <f>+[8]A07!X33+[8]A07!AB33</f>
        <v>35</v>
      </c>
      <c r="E27" s="1544">
        <f>+[8]A07!Y33+[8]A07!AC33</f>
        <v>8</v>
      </c>
      <c r="F27" s="1544">
        <f>+[8]A07!Z33+[8]A07!AD33</f>
        <v>0</v>
      </c>
      <c r="G27" s="1383">
        <f t="shared" si="2"/>
        <v>168</v>
      </c>
      <c r="H27" s="1443">
        <v>125</v>
      </c>
      <c r="I27" s="1443">
        <v>43</v>
      </c>
      <c r="J27" s="1384">
        <v>0</v>
      </c>
      <c r="K27" s="1140">
        <f t="shared" si="4"/>
        <v>-125</v>
      </c>
      <c r="L27" s="70">
        <f t="shared" si="5"/>
        <v>-90</v>
      </c>
      <c r="M27" s="70">
        <f t="shared" si="6"/>
        <v>-35</v>
      </c>
      <c r="N27" s="1142">
        <f t="shared" si="7"/>
        <v>0</v>
      </c>
      <c r="O27" s="1144">
        <f t="shared" si="8"/>
        <v>-74.404761904761912</v>
      </c>
    </row>
    <row r="28" spans="1:15" s="337" customFormat="1" ht="23.25" customHeight="1">
      <c r="A28" s="1444" t="s">
        <v>1537</v>
      </c>
      <c r="B28" s="1544">
        <f>+[8]A07!$B34</f>
        <v>0</v>
      </c>
      <c r="C28" s="1138">
        <f t="shared" si="1"/>
        <v>0</v>
      </c>
      <c r="D28" s="1544">
        <f>+[8]A07!X34+[8]A07!AB34</f>
        <v>0</v>
      </c>
      <c r="E28" s="1544">
        <f>+[8]A07!Y34+[8]A07!AC34</f>
        <v>0</v>
      </c>
      <c r="F28" s="1544">
        <f>+[8]A07!Z34+[8]A07!AD34</f>
        <v>0</v>
      </c>
      <c r="G28" s="1383">
        <f t="shared" si="2"/>
        <v>0</v>
      </c>
      <c r="H28" s="1443">
        <v>0</v>
      </c>
      <c r="I28" s="1443">
        <v>0</v>
      </c>
      <c r="J28" s="1384">
        <v>0</v>
      </c>
      <c r="K28" s="1140">
        <f t="shared" ref="K28:K64" si="9">SUM(L28:N28)</f>
        <v>0</v>
      </c>
      <c r="L28" s="70">
        <f t="shared" ref="L28:L64" si="10">+D28-H28</f>
        <v>0</v>
      </c>
      <c r="M28" s="70">
        <f t="shared" ref="M28:M64" si="11">+E28-I28</f>
        <v>0</v>
      </c>
      <c r="N28" s="1142">
        <f t="shared" ref="N28:N64" si="12">+F28-J28</f>
        <v>0</v>
      </c>
      <c r="O28" s="1144"/>
    </row>
    <row r="29" spans="1:15" s="337" customFormat="1" ht="23.25" customHeight="1">
      <c r="A29" s="1444" t="s">
        <v>1538</v>
      </c>
      <c r="B29" s="1544">
        <f>+[8]A07!$B35</f>
        <v>0</v>
      </c>
      <c r="C29" s="1138">
        <f t="shared" si="1"/>
        <v>0</v>
      </c>
      <c r="D29" s="1544">
        <f>+[8]A07!X35+[8]A07!AB35</f>
        <v>0</v>
      </c>
      <c r="E29" s="1544">
        <f>+[8]A07!Y35+[8]A07!AC35</f>
        <v>0</v>
      </c>
      <c r="F29" s="1544">
        <f>+[8]A07!Z35+[8]A07!AD35</f>
        <v>0</v>
      </c>
      <c r="G29" s="1383">
        <f t="shared" si="2"/>
        <v>0</v>
      </c>
      <c r="H29" s="1443">
        <v>0</v>
      </c>
      <c r="I29" s="1443">
        <v>0</v>
      </c>
      <c r="J29" s="1384">
        <v>0</v>
      </c>
      <c r="K29" s="1140">
        <f t="shared" si="9"/>
        <v>0</v>
      </c>
      <c r="L29" s="70">
        <f t="shared" si="10"/>
        <v>0</v>
      </c>
      <c r="M29" s="70">
        <f t="shared" si="11"/>
        <v>0</v>
      </c>
      <c r="N29" s="1142">
        <f t="shared" si="12"/>
        <v>0</v>
      </c>
      <c r="O29" s="1144"/>
    </row>
    <row r="30" spans="1:15" s="337" customFormat="1" ht="23.25" customHeight="1">
      <c r="A30" s="1444" t="s">
        <v>1539</v>
      </c>
      <c r="B30" s="1544">
        <f>+[8]A07!$B36</f>
        <v>302</v>
      </c>
      <c r="C30" s="1138">
        <f t="shared" si="1"/>
        <v>77</v>
      </c>
      <c r="D30" s="1544">
        <f>+[8]A07!X36+[8]A07!AB36</f>
        <v>4</v>
      </c>
      <c r="E30" s="1544">
        <f>+[8]A07!Y36+[8]A07!AC36</f>
        <v>73</v>
      </c>
      <c r="F30" s="1544">
        <f>+[8]A07!Z36+[8]A07!AD36</f>
        <v>0</v>
      </c>
      <c r="G30" s="1383">
        <f t="shared" si="2"/>
        <v>207</v>
      </c>
      <c r="H30" s="1443">
        <v>20</v>
      </c>
      <c r="I30" s="1443">
        <v>187</v>
      </c>
      <c r="J30" s="1384">
        <v>0</v>
      </c>
      <c r="K30" s="1140">
        <f t="shared" si="9"/>
        <v>-130</v>
      </c>
      <c r="L30" s="70">
        <f t="shared" si="10"/>
        <v>-16</v>
      </c>
      <c r="M30" s="70">
        <f t="shared" si="11"/>
        <v>-114</v>
      </c>
      <c r="N30" s="1142">
        <f t="shared" si="12"/>
        <v>0</v>
      </c>
      <c r="O30" s="1144">
        <f t="shared" si="8"/>
        <v>-62.80193236714976</v>
      </c>
    </row>
    <row r="31" spans="1:15" s="337" customFormat="1" ht="23.25" customHeight="1">
      <c r="A31" s="1444" t="s">
        <v>1540</v>
      </c>
      <c r="B31" s="1544">
        <f>+[8]A07!$B37</f>
        <v>940</v>
      </c>
      <c r="C31" s="1138">
        <f t="shared" si="1"/>
        <v>283</v>
      </c>
      <c r="D31" s="1544">
        <f>+[8]A07!X37+[8]A07!AB37</f>
        <v>30</v>
      </c>
      <c r="E31" s="1544">
        <f>+[8]A07!Y37+[8]A07!AC37</f>
        <v>253</v>
      </c>
      <c r="F31" s="1544">
        <f>+[8]A07!Z37+[8]A07!AD37</f>
        <v>0</v>
      </c>
      <c r="G31" s="1383">
        <f t="shared" si="2"/>
        <v>455</v>
      </c>
      <c r="H31" s="1443">
        <v>82</v>
      </c>
      <c r="I31" s="1443">
        <v>373</v>
      </c>
      <c r="J31" s="1384">
        <v>0</v>
      </c>
      <c r="K31" s="1140">
        <f t="shared" si="9"/>
        <v>-172</v>
      </c>
      <c r="L31" s="70">
        <f t="shared" si="10"/>
        <v>-52</v>
      </c>
      <c r="M31" s="70">
        <f t="shared" si="11"/>
        <v>-120</v>
      </c>
      <c r="N31" s="1142">
        <f t="shared" si="12"/>
        <v>0</v>
      </c>
      <c r="O31" s="1144">
        <f t="shared" si="8"/>
        <v>-37.802197802197803</v>
      </c>
    </row>
    <row r="32" spans="1:15" s="337" customFormat="1" ht="23.25" customHeight="1">
      <c r="A32" s="1444" t="s">
        <v>1541</v>
      </c>
      <c r="B32" s="1544">
        <f>+[8]A07!$B38</f>
        <v>2188</v>
      </c>
      <c r="C32" s="1138">
        <f t="shared" si="1"/>
        <v>373</v>
      </c>
      <c r="D32" s="1544">
        <f>+[8]A07!X38+[8]A07!AB38</f>
        <v>206</v>
      </c>
      <c r="E32" s="1544">
        <f>+[8]A07!Y38+[8]A07!AC38</f>
        <v>158</v>
      </c>
      <c r="F32" s="1544">
        <f>+[8]A07!Z38+[8]A07!AD38</f>
        <v>9</v>
      </c>
      <c r="G32" s="1383">
        <f t="shared" si="2"/>
        <v>1375</v>
      </c>
      <c r="H32" s="1443">
        <v>444</v>
      </c>
      <c r="I32" s="1443">
        <v>929</v>
      </c>
      <c r="J32" s="1384">
        <v>2</v>
      </c>
      <c r="K32" s="1140">
        <f t="shared" si="9"/>
        <v>-1002</v>
      </c>
      <c r="L32" s="70">
        <f t="shared" si="10"/>
        <v>-238</v>
      </c>
      <c r="M32" s="70">
        <f t="shared" si="11"/>
        <v>-771</v>
      </c>
      <c r="N32" s="1142">
        <f t="shared" si="12"/>
        <v>7</v>
      </c>
      <c r="O32" s="1144">
        <f t="shared" si="8"/>
        <v>-72.872727272727275</v>
      </c>
    </row>
    <row r="33" spans="1:15" s="337" customFormat="1" ht="23.25" customHeight="1">
      <c r="A33" s="1444" t="s">
        <v>1670</v>
      </c>
      <c r="B33" s="1544">
        <f>+[8]A07!$B39</f>
        <v>4203</v>
      </c>
      <c r="C33" s="1138">
        <f t="shared" si="1"/>
        <v>1047</v>
      </c>
      <c r="D33" s="1544">
        <f>+[8]A07!X39+[8]A07!AB39</f>
        <v>597</v>
      </c>
      <c r="E33" s="1544">
        <f>+[8]A07!Y39+[8]A07!AC39</f>
        <v>449</v>
      </c>
      <c r="F33" s="1544">
        <f>+[8]A07!Z39+[8]A07!AD39</f>
        <v>1</v>
      </c>
      <c r="G33" s="1383">
        <f t="shared" si="2"/>
        <v>1348</v>
      </c>
      <c r="H33" s="1443">
        <v>875</v>
      </c>
      <c r="I33" s="1443">
        <v>473</v>
      </c>
      <c r="J33" s="1384">
        <v>0</v>
      </c>
      <c r="K33" s="1140">
        <f t="shared" si="9"/>
        <v>-301</v>
      </c>
      <c r="L33" s="70">
        <f t="shared" si="10"/>
        <v>-278</v>
      </c>
      <c r="M33" s="70">
        <f t="shared" si="11"/>
        <v>-24</v>
      </c>
      <c r="N33" s="1142">
        <f t="shared" si="12"/>
        <v>1</v>
      </c>
      <c r="O33" s="1144">
        <f t="shared" si="8"/>
        <v>-22.329376854599406</v>
      </c>
    </row>
    <row r="34" spans="1:15" s="337" customFormat="1" ht="23.25" customHeight="1">
      <c r="A34" s="1444" t="s">
        <v>1542</v>
      </c>
      <c r="B34" s="1544">
        <f>+[8]A07!$B40</f>
        <v>0</v>
      </c>
      <c r="C34" s="1138">
        <f t="shared" si="1"/>
        <v>0</v>
      </c>
      <c r="D34" s="1544">
        <f>+[8]A07!X40+[8]A07!AB40</f>
        <v>0</v>
      </c>
      <c r="E34" s="1544">
        <f>+[8]A07!Y40+[8]A07!AC40</f>
        <v>0</v>
      </c>
      <c r="F34" s="1544">
        <f>+[8]A07!Z40+[8]A07!AD40</f>
        <v>0</v>
      </c>
      <c r="G34" s="1383">
        <f t="shared" si="2"/>
        <v>0</v>
      </c>
      <c r="H34" s="1443">
        <v>0</v>
      </c>
      <c r="I34" s="1443">
        <v>0</v>
      </c>
      <c r="J34" s="1384">
        <v>0</v>
      </c>
      <c r="K34" s="1140">
        <f t="shared" si="9"/>
        <v>0</v>
      </c>
      <c r="L34" s="70">
        <f t="shared" si="10"/>
        <v>0</v>
      </c>
      <c r="M34" s="70">
        <f t="shared" si="11"/>
        <v>0</v>
      </c>
      <c r="N34" s="1142">
        <f t="shared" si="12"/>
        <v>0</v>
      </c>
      <c r="O34" s="1144"/>
    </row>
    <row r="35" spans="1:15" s="337" customFormat="1" ht="23.25" customHeight="1">
      <c r="A35" s="1444" t="s">
        <v>1543</v>
      </c>
      <c r="B35" s="1544">
        <f>+[8]A07!$B41</f>
        <v>1065</v>
      </c>
      <c r="C35" s="1138">
        <f t="shared" si="1"/>
        <v>171</v>
      </c>
      <c r="D35" s="1544">
        <f>+[8]A07!X41+[8]A07!AB41</f>
        <v>94</v>
      </c>
      <c r="E35" s="1544">
        <f>+[8]A07!Y41+[8]A07!AC41</f>
        <v>36</v>
      </c>
      <c r="F35" s="1544">
        <f>+[8]A07!Z41+[8]A07!AD41</f>
        <v>41</v>
      </c>
      <c r="G35" s="1383">
        <f t="shared" si="2"/>
        <v>267</v>
      </c>
      <c r="H35" s="1443">
        <v>177</v>
      </c>
      <c r="I35" s="1443">
        <v>45</v>
      </c>
      <c r="J35" s="1384">
        <v>45</v>
      </c>
      <c r="K35" s="1140">
        <f t="shared" si="9"/>
        <v>-96</v>
      </c>
      <c r="L35" s="70">
        <f t="shared" si="10"/>
        <v>-83</v>
      </c>
      <c r="M35" s="70">
        <f t="shared" si="11"/>
        <v>-9</v>
      </c>
      <c r="N35" s="1142">
        <f t="shared" si="12"/>
        <v>-4</v>
      </c>
      <c r="O35" s="1144">
        <f t="shared" si="8"/>
        <v>-35.955056179775283</v>
      </c>
    </row>
    <row r="36" spans="1:15" s="337" customFormat="1" ht="23.25" customHeight="1">
      <c r="A36" s="1444" t="s">
        <v>1671</v>
      </c>
      <c r="B36" s="1544">
        <f>+[8]A07!$B42</f>
        <v>3724</v>
      </c>
      <c r="C36" s="1138">
        <f t="shared" si="1"/>
        <v>605</v>
      </c>
      <c r="D36" s="1544">
        <f>+[8]A07!X42+[8]A07!AB42</f>
        <v>420</v>
      </c>
      <c r="E36" s="1544">
        <f>+[8]A07!Y42+[8]A07!AC42</f>
        <v>29</v>
      </c>
      <c r="F36" s="1544">
        <f>+[8]A07!Z42+[8]A07!AD42</f>
        <v>156</v>
      </c>
      <c r="G36" s="1383">
        <f t="shared" si="2"/>
        <v>499</v>
      </c>
      <c r="H36" s="1443">
        <v>319</v>
      </c>
      <c r="I36" s="1443">
        <v>23</v>
      </c>
      <c r="J36" s="1384">
        <v>157</v>
      </c>
      <c r="K36" s="1140">
        <f t="shared" si="9"/>
        <v>106</v>
      </c>
      <c r="L36" s="70">
        <f t="shared" si="10"/>
        <v>101</v>
      </c>
      <c r="M36" s="70">
        <f t="shared" si="11"/>
        <v>6</v>
      </c>
      <c r="N36" s="1142">
        <f t="shared" si="12"/>
        <v>-1</v>
      </c>
      <c r="O36" s="1144">
        <f t="shared" si="8"/>
        <v>21.242484969939881</v>
      </c>
    </row>
    <row r="37" spans="1:15" s="337" customFormat="1" ht="23.25" customHeight="1">
      <c r="A37" s="1444" t="s">
        <v>1544</v>
      </c>
      <c r="B37" s="1544">
        <f>+[8]A07!$B43</f>
        <v>1319</v>
      </c>
      <c r="C37" s="1138">
        <f t="shared" si="1"/>
        <v>402</v>
      </c>
      <c r="D37" s="1544">
        <f>+[8]A07!X43+[8]A07!AB43</f>
        <v>265</v>
      </c>
      <c r="E37" s="1544">
        <f>+[8]A07!Y43+[8]A07!AC43</f>
        <v>101</v>
      </c>
      <c r="F37" s="1544">
        <f>+[8]A07!Z43+[8]A07!AD43</f>
        <v>36</v>
      </c>
      <c r="G37" s="1383">
        <f t="shared" si="2"/>
        <v>807</v>
      </c>
      <c r="H37" s="1443">
        <v>578</v>
      </c>
      <c r="I37" s="1443">
        <v>214</v>
      </c>
      <c r="J37" s="1384">
        <v>15</v>
      </c>
      <c r="K37" s="1140">
        <f t="shared" si="9"/>
        <v>-405</v>
      </c>
      <c r="L37" s="70">
        <f t="shared" si="10"/>
        <v>-313</v>
      </c>
      <c r="M37" s="70">
        <f t="shared" si="11"/>
        <v>-113</v>
      </c>
      <c r="N37" s="1142">
        <f t="shared" si="12"/>
        <v>21</v>
      </c>
      <c r="O37" s="1144">
        <f t="shared" si="8"/>
        <v>-50.185873605947947</v>
      </c>
    </row>
    <row r="38" spans="1:15" s="337" customFormat="1" ht="23.25" customHeight="1">
      <c r="A38" s="1444" t="s">
        <v>1672</v>
      </c>
      <c r="B38" s="1544">
        <f>+[8]A07!$B44</f>
        <v>8614</v>
      </c>
      <c r="C38" s="1138">
        <f t="shared" si="1"/>
        <v>2473</v>
      </c>
      <c r="D38" s="1544">
        <f>+[8]A07!X44+[8]A07!AB44</f>
        <v>1369</v>
      </c>
      <c r="E38" s="1544">
        <f>+[8]A07!Y44+[8]A07!AC44</f>
        <v>1076</v>
      </c>
      <c r="F38" s="1544">
        <f>+[8]A07!Z44+[8]A07!AD44</f>
        <v>28</v>
      </c>
      <c r="G38" s="1383">
        <f t="shared" si="2"/>
        <v>4307</v>
      </c>
      <c r="H38" s="1443">
        <v>2873</v>
      </c>
      <c r="I38" s="1443">
        <v>1408</v>
      </c>
      <c r="J38" s="1384">
        <v>26</v>
      </c>
      <c r="K38" s="1140">
        <f t="shared" si="9"/>
        <v>-1834</v>
      </c>
      <c r="L38" s="70">
        <f t="shared" si="10"/>
        <v>-1504</v>
      </c>
      <c r="M38" s="70">
        <f t="shared" si="11"/>
        <v>-332</v>
      </c>
      <c r="N38" s="1142">
        <f t="shared" si="12"/>
        <v>2</v>
      </c>
      <c r="O38" s="1144">
        <f t="shared" si="8"/>
        <v>-42.581843510564198</v>
      </c>
    </row>
    <row r="39" spans="1:15" s="337" customFormat="1" ht="23.25" customHeight="1">
      <c r="A39" s="1444" t="s">
        <v>1673</v>
      </c>
      <c r="B39" s="1544">
        <f>+[8]A07!$B45</f>
        <v>0</v>
      </c>
      <c r="C39" s="1138">
        <f t="shared" si="1"/>
        <v>0</v>
      </c>
      <c r="D39" s="1544">
        <f>+[8]A07!X45+[8]A07!AB45</f>
        <v>0</v>
      </c>
      <c r="E39" s="1544">
        <f>+[8]A07!Y45+[8]A07!AC45</f>
        <v>0</v>
      </c>
      <c r="F39" s="1544">
        <f>+[8]A07!Z45+[8]A07!AD45</f>
        <v>0</v>
      </c>
      <c r="G39" s="1383">
        <f t="shared" si="2"/>
        <v>0</v>
      </c>
      <c r="H39" s="1443">
        <v>0</v>
      </c>
      <c r="I39" s="1443">
        <v>0</v>
      </c>
      <c r="J39" s="1384">
        <v>0</v>
      </c>
      <c r="K39" s="1140">
        <f t="shared" si="9"/>
        <v>0</v>
      </c>
      <c r="L39" s="70">
        <f t="shared" si="10"/>
        <v>0</v>
      </c>
      <c r="M39" s="70">
        <f t="shared" si="11"/>
        <v>0</v>
      </c>
      <c r="N39" s="1142">
        <f t="shared" si="12"/>
        <v>0</v>
      </c>
      <c r="O39" s="1144"/>
    </row>
    <row r="40" spans="1:15" s="337" customFormat="1" ht="23.25" customHeight="1">
      <c r="A40" s="1444" t="s">
        <v>1545</v>
      </c>
      <c r="B40" s="1544">
        <f>+[8]A07!$B46</f>
        <v>0</v>
      </c>
      <c r="C40" s="1138">
        <f t="shared" si="1"/>
        <v>0</v>
      </c>
      <c r="D40" s="1544">
        <f>+[8]A07!X46+[8]A07!AB46</f>
        <v>0</v>
      </c>
      <c r="E40" s="1544">
        <f>+[8]A07!Y46+[8]A07!AC46</f>
        <v>0</v>
      </c>
      <c r="F40" s="1544">
        <f>+[8]A07!Z46+[8]A07!AD46</f>
        <v>0</v>
      </c>
      <c r="G40" s="1383">
        <f t="shared" si="2"/>
        <v>0</v>
      </c>
      <c r="H40" s="1443">
        <v>0</v>
      </c>
      <c r="I40" s="1443">
        <v>0</v>
      </c>
      <c r="J40" s="1384">
        <v>0</v>
      </c>
      <c r="K40" s="1140">
        <f t="shared" si="9"/>
        <v>0</v>
      </c>
      <c r="L40" s="70">
        <f t="shared" si="10"/>
        <v>0</v>
      </c>
      <c r="M40" s="70">
        <f t="shared" si="11"/>
        <v>0</v>
      </c>
      <c r="N40" s="1142">
        <f t="shared" si="12"/>
        <v>0</v>
      </c>
      <c r="O40" s="1144"/>
    </row>
    <row r="41" spans="1:15" s="337" customFormat="1" ht="23.25" customHeight="1">
      <c r="A41" s="1444" t="s">
        <v>1546</v>
      </c>
      <c r="B41" s="1544">
        <f>+[8]A07!$B47</f>
        <v>0</v>
      </c>
      <c r="C41" s="1138">
        <f t="shared" si="1"/>
        <v>0</v>
      </c>
      <c r="D41" s="1544">
        <f>+[8]A07!X47+[8]A07!AB47</f>
        <v>0</v>
      </c>
      <c r="E41" s="1544">
        <f>+[8]A07!Y47+[8]A07!AC47</f>
        <v>0</v>
      </c>
      <c r="F41" s="1544">
        <f>+[8]A07!Z47+[8]A07!AD47</f>
        <v>0</v>
      </c>
      <c r="G41" s="1383">
        <f t="shared" si="2"/>
        <v>0</v>
      </c>
      <c r="H41" s="1443">
        <v>0</v>
      </c>
      <c r="I41" s="1443">
        <v>0</v>
      </c>
      <c r="J41" s="1384">
        <v>0</v>
      </c>
      <c r="K41" s="1140">
        <f t="shared" si="9"/>
        <v>0</v>
      </c>
      <c r="L41" s="70">
        <f t="shared" si="10"/>
        <v>0</v>
      </c>
      <c r="M41" s="70">
        <f t="shared" si="11"/>
        <v>0</v>
      </c>
      <c r="N41" s="1142">
        <f t="shared" si="12"/>
        <v>0</v>
      </c>
      <c r="O41" s="1144"/>
    </row>
    <row r="42" spans="1:15" s="337" customFormat="1" ht="23.25" customHeight="1">
      <c r="A42" s="1444" t="s">
        <v>1674</v>
      </c>
      <c r="B42" s="1544">
        <f>+[8]A07!$B48</f>
        <v>372</v>
      </c>
      <c r="C42" s="1138">
        <f t="shared" si="1"/>
        <v>105</v>
      </c>
      <c r="D42" s="1544">
        <f>+[8]A07!X48+[8]A07!AB48</f>
        <v>36</v>
      </c>
      <c r="E42" s="1544">
        <f>+[8]A07!Y48+[8]A07!AC48</f>
        <v>69</v>
      </c>
      <c r="F42" s="1544">
        <f>+[8]A07!Z48+[8]A07!AD48</f>
        <v>0</v>
      </c>
      <c r="G42" s="1383">
        <f t="shared" si="2"/>
        <v>106</v>
      </c>
      <c r="H42" s="1443">
        <v>8</v>
      </c>
      <c r="I42" s="1443">
        <v>98</v>
      </c>
      <c r="J42" s="1384">
        <v>0</v>
      </c>
      <c r="K42" s="1140">
        <f t="shared" si="9"/>
        <v>-1</v>
      </c>
      <c r="L42" s="70">
        <f t="shared" si="10"/>
        <v>28</v>
      </c>
      <c r="M42" s="70">
        <f t="shared" si="11"/>
        <v>-29</v>
      </c>
      <c r="N42" s="1142">
        <f t="shared" si="12"/>
        <v>0</v>
      </c>
      <c r="O42" s="1144">
        <f t="shared" si="8"/>
        <v>-0.94339622641509435</v>
      </c>
    </row>
    <row r="43" spans="1:15" s="337" customFormat="1" ht="23.25" customHeight="1">
      <c r="A43" s="1444" t="s">
        <v>1675</v>
      </c>
      <c r="B43" s="1544">
        <f>+[8]A07!$B49</f>
        <v>0</v>
      </c>
      <c r="C43" s="1138">
        <f t="shared" si="1"/>
        <v>0</v>
      </c>
      <c r="D43" s="1544">
        <f>+[8]A07!X49+[8]A07!AB49</f>
        <v>0</v>
      </c>
      <c r="E43" s="1544">
        <f>+[8]A07!Y49+[8]A07!AC49</f>
        <v>0</v>
      </c>
      <c r="F43" s="1544">
        <f>+[8]A07!Z49+[8]A07!AD49</f>
        <v>0</v>
      </c>
      <c r="G43" s="1383">
        <f t="shared" si="2"/>
        <v>0</v>
      </c>
      <c r="H43" s="1443">
        <v>0</v>
      </c>
      <c r="I43" s="1443">
        <v>0</v>
      </c>
      <c r="J43" s="1384">
        <v>0</v>
      </c>
      <c r="K43" s="1140">
        <f t="shared" si="9"/>
        <v>0</v>
      </c>
      <c r="L43" s="70">
        <f t="shared" si="10"/>
        <v>0</v>
      </c>
      <c r="M43" s="70">
        <f t="shared" si="11"/>
        <v>0</v>
      </c>
      <c r="N43" s="1142">
        <f t="shared" si="12"/>
        <v>0</v>
      </c>
      <c r="O43" s="1144"/>
    </row>
    <row r="44" spans="1:15" s="337" customFormat="1" ht="23.25" customHeight="1">
      <c r="A44" s="1444" t="s">
        <v>1547</v>
      </c>
      <c r="B44" s="1544">
        <f>+[8]A07!$B50</f>
        <v>0</v>
      </c>
      <c r="C44" s="1138">
        <f t="shared" si="1"/>
        <v>0</v>
      </c>
      <c r="D44" s="1544">
        <f>+[8]A07!X50+[8]A07!AB50</f>
        <v>0</v>
      </c>
      <c r="E44" s="1544">
        <f>+[8]A07!Y50+[8]A07!AC50</f>
        <v>0</v>
      </c>
      <c r="F44" s="1544">
        <f>+[8]A07!Z50+[8]A07!AD50</f>
        <v>0</v>
      </c>
      <c r="G44" s="1383">
        <f t="shared" si="2"/>
        <v>0</v>
      </c>
      <c r="H44" s="1443">
        <v>0</v>
      </c>
      <c r="I44" s="1443">
        <v>0</v>
      </c>
      <c r="J44" s="1384">
        <v>0</v>
      </c>
      <c r="K44" s="1140">
        <f t="shared" si="9"/>
        <v>0</v>
      </c>
      <c r="L44" s="70">
        <f t="shared" si="10"/>
        <v>0</v>
      </c>
      <c r="M44" s="70">
        <f t="shared" si="11"/>
        <v>0</v>
      </c>
      <c r="N44" s="1142">
        <f t="shared" si="12"/>
        <v>0</v>
      </c>
      <c r="O44" s="1144"/>
    </row>
    <row r="45" spans="1:15" s="337" customFormat="1" ht="23.25" customHeight="1">
      <c r="A45" s="1444" t="s">
        <v>1449</v>
      </c>
      <c r="B45" s="1544">
        <f>+[8]A07!$B51</f>
        <v>148</v>
      </c>
      <c r="C45" s="1138">
        <f t="shared" si="1"/>
        <v>47</v>
      </c>
      <c r="D45" s="1544">
        <f>+[8]A07!X51+[8]A07!AB51</f>
        <v>12</v>
      </c>
      <c r="E45" s="1544">
        <f>+[8]A07!Y51+[8]A07!AC51</f>
        <v>35</v>
      </c>
      <c r="F45" s="1544">
        <f>+[8]A07!Z51+[8]A07!AD51</f>
        <v>0</v>
      </c>
      <c r="G45" s="1383">
        <f t="shared" si="2"/>
        <v>124</v>
      </c>
      <c r="H45" s="1443">
        <v>21</v>
      </c>
      <c r="I45" s="1443">
        <v>103</v>
      </c>
      <c r="J45" s="1384">
        <v>0</v>
      </c>
      <c r="K45" s="1140">
        <f t="shared" si="9"/>
        <v>-77</v>
      </c>
      <c r="L45" s="70">
        <f t="shared" si="10"/>
        <v>-9</v>
      </c>
      <c r="M45" s="70">
        <f t="shared" si="11"/>
        <v>-68</v>
      </c>
      <c r="N45" s="1142">
        <f t="shared" si="12"/>
        <v>0</v>
      </c>
      <c r="O45" s="1144">
        <f t="shared" si="8"/>
        <v>-62.096774193548384</v>
      </c>
    </row>
    <row r="46" spans="1:15" s="337" customFormat="1" ht="23.25" customHeight="1">
      <c r="A46" s="1444" t="s">
        <v>1548</v>
      </c>
      <c r="B46" s="1544">
        <f>+[8]A07!$B52</f>
        <v>2495</v>
      </c>
      <c r="C46" s="1138">
        <f t="shared" si="1"/>
        <v>528</v>
      </c>
      <c r="D46" s="1544">
        <f>+[8]A07!X52+[8]A07!AB52</f>
        <v>334</v>
      </c>
      <c r="E46" s="1544">
        <f>+[8]A07!Y52+[8]A07!AC52</f>
        <v>187</v>
      </c>
      <c r="F46" s="1544">
        <f>+[8]A07!Z52+[8]A07!AD52</f>
        <v>7</v>
      </c>
      <c r="G46" s="1383">
        <f t="shared" si="2"/>
        <v>1289</v>
      </c>
      <c r="H46" s="1443">
        <v>825</v>
      </c>
      <c r="I46" s="1443">
        <v>460</v>
      </c>
      <c r="J46" s="1384">
        <v>4</v>
      </c>
      <c r="K46" s="1140">
        <f t="shared" si="9"/>
        <v>-761</v>
      </c>
      <c r="L46" s="70">
        <f t="shared" si="10"/>
        <v>-491</v>
      </c>
      <c r="M46" s="70">
        <f t="shared" si="11"/>
        <v>-273</v>
      </c>
      <c r="N46" s="1142">
        <f t="shared" si="12"/>
        <v>3</v>
      </c>
      <c r="O46" s="1144">
        <f t="shared" si="8"/>
        <v>-59.038013964313421</v>
      </c>
    </row>
    <row r="47" spans="1:15" s="337" customFormat="1" ht="23.25" customHeight="1">
      <c r="A47" s="1444" t="s">
        <v>1549</v>
      </c>
      <c r="B47" s="1544">
        <f>+[8]A07!$B53</f>
        <v>0</v>
      </c>
      <c r="C47" s="1138">
        <f t="shared" si="1"/>
        <v>0</v>
      </c>
      <c r="D47" s="1544">
        <f>+[8]A07!X53+[8]A07!AB53</f>
        <v>0</v>
      </c>
      <c r="E47" s="1544">
        <f>+[8]A07!Y53+[8]A07!AC53</f>
        <v>0</v>
      </c>
      <c r="F47" s="1544">
        <f>+[8]A07!Z53+[8]A07!AD53</f>
        <v>0</v>
      </c>
      <c r="G47" s="1383">
        <f t="shared" si="2"/>
        <v>0</v>
      </c>
      <c r="H47" s="1443">
        <v>0</v>
      </c>
      <c r="I47" s="1443">
        <v>0</v>
      </c>
      <c r="J47" s="1384">
        <v>0</v>
      </c>
      <c r="K47" s="1140">
        <f t="shared" si="9"/>
        <v>0</v>
      </c>
      <c r="L47" s="70">
        <f t="shared" si="10"/>
        <v>0</v>
      </c>
      <c r="M47" s="70">
        <f t="shared" si="11"/>
        <v>0</v>
      </c>
      <c r="N47" s="1142">
        <f t="shared" si="12"/>
        <v>0</v>
      </c>
      <c r="O47" s="1144"/>
    </row>
    <row r="48" spans="1:15" s="337" customFormat="1" ht="23.25" customHeight="1">
      <c r="A48" s="1444" t="s">
        <v>1450</v>
      </c>
      <c r="B48" s="1544">
        <f>+[8]A07!$B54</f>
        <v>70</v>
      </c>
      <c r="C48" s="1138">
        <f t="shared" si="1"/>
        <v>0</v>
      </c>
      <c r="D48" s="1544">
        <f>+[8]A07!X54+[8]A07!AB54</f>
        <v>0</v>
      </c>
      <c r="E48" s="1544">
        <f>+[8]A07!Y54+[8]A07!AC54</f>
        <v>0</v>
      </c>
      <c r="F48" s="1544">
        <f>+[8]A07!Z54+[8]A07!AD54</f>
        <v>0</v>
      </c>
      <c r="G48" s="1383">
        <f t="shared" si="2"/>
        <v>0</v>
      </c>
      <c r="H48" s="1443">
        <v>0</v>
      </c>
      <c r="I48" s="1443">
        <v>0</v>
      </c>
      <c r="J48" s="1384">
        <v>0</v>
      </c>
      <c r="K48" s="1140">
        <f t="shared" si="9"/>
        <v>0</v>
      </c>
      <c r="L48" s="70">
        <f t="shared" si="10"/>
        <v>0</v>
      </c>
      <c r="M48" s="70">
        <f t="shared" si="11"/>
        <v>0</v>
      </c>
      <c r="N48" s="1142">
        <f t="shared" si="12"/>
        <v>0</v>
      </c>
      <c r="O48" s="1144"/>
    </row>
    <row r="49" spans="1:15" s="337" customFormat="1" ht="23.25" customHeight="1">
      <c r="A49" s="1444" t="s">
        <v>1550</v>
      </c>
      <c r="B49" s="1544">
        <f>+[8]A07!$B55</f>
        <v>5930</v>
      </c>
      <c r="C49" s="1138">
        <f t="shared" si="1"/>
        <v>1407</v>
      </c>
      <c r="D49" s="1544">
        <f>+[8]A07!X55+[8]A07!AB55</f>
        <v>774</v>
      </c>
      <c r="E49" s="1544">
        <f>+[8]A07!Y55+[8]A07!AC55</f>
        <v>630</v>
      </c>
      <c r="F49" s="1544">
        <f>+[8]A07!Z55+[8]A07!AD55</f>
        <v>3</v>
      </c>
      <c r="G49" s="1383">
        <f t="shared" si="2"/>
        <v>1651</v>
      </c>
      <c r="H49" s="1443">
        <v>1098</v>
      </c>
      <c r="I49" s="1443">
        <v>546</v>
      </c>
      <c r="J49" s="1384">
        <v>7</v>
      </c>
      <c r="K49" s="1140">
        <f t="shared" si="9"/>
        <v>-244</v>
      </c>
      <c r="L49" s="70">
        <f t="shared" si="10"/>
        <v>-324</v>
      </c>
      <c r="M49" s="70">
        <f t="shared" si="11"/>
        <v>84</v>
      </c>
      <c r="N49" s="1142">
        <f t="shared" si="12"/>
        <v>-4</v>
      </c>
      <c r="O49" s="1144">
        <f t="shared" si="8"/>
        <v>-14.778921865536038</v>
      </c>
    </row>
    <row r="50" spans="1:15" s="337" customFormat="1" ht="23.25" customHeight="1">
      <c r="A50" s="1444" t="s">
        <v>1551</v>
      </c>
      <c r="B50" s="1544">
        <f>+[8]A07!$B56</f>
        <v>0</v>
      </c>
      <c r="C50" s="1138">
        <f t="shared" si="1"/>
        <v>0</v>
      </c>
      <c r="D50" s="1544">
        <f>+[8]A07!X56+[8]A07!AB56</f>
        <v>0</v>
      </c>
      <c r="E50" s="1544">
        <f>+[8]A07!Y56+[8]A07!AC56</f>
        <v>0</v>
      </c>
      <c r="F50" s="1544">
        <f>+[8]A07!Z56+[8]A07!AD56</f>
        <v>0</v>
      </c>
      <c r="G50" s="1383">
        <f t="shared" si="2"/>
        <v>0</v>
      </c>
      <c r="H50" s="1443">
        <v>0</v>
      </c>
      <c r="I50" s="1443">
        <v>0</v>
      </c>
      <c r="J50" s="1384">
        <v>0</v>
      </c>
      <c r="K50" s="1140">
        <f t="shared" si="9"/>
        <v>0</v>
      </c>
      <c r="L50" s="70">
        <f t="shared" si="10"/>
        <v>0</v>
      </c>
      <c r="M50" s="70">
        <f t="shared" si="11"/>
        <v>0</v>
      </c>
      <c r="N50" s="1142">
        <f t="shared" si="12"/>
        <v>0</v>
      </c>
      <c r="O50" s="1144"/>
    </row>
    <row r="51" spans="1:15" s="337" customFormat="1" ht="23.25" customHeight="1">
      <c r="A51" s="1444" t="s">
        <v>1676</v>
      </c>
      <c r="B51" s="1544">
        <f>+[8]A07!$B57</f>
        <v>3635</v>
      </c>
      <c r="C51" s="1138">
        <f t="shared" si="1"/>
        <v>737</v>
      </c>
      <c r="D51" s="1544">
        <f>+[8]A07!X57+[8]A07!AB57</f>
        <v>509</v>
      </c>
      <c r="E51" s="1544">
        <f>+[8]A07!Y57+[8]A07!AC57</f>
        <v>216</v>
      </c>
      <c r="F51" s="1544">
        <f>+[8]A07!Z57+[8]A07!AD57</f>
        <v>12</v>
      </c>
      <c r="G51" s="1383">
        <f t="shared" si="2"/>
        <v>2139</v>
      </c>
      <c r="H51" s="1443">
        <v>1789</v>
      </c>
      <c r="I51" s="1443">
        <v>342</v>
      </c>
      <c r="J51" s="1384">
        <v>8</v>
      </c>
      <c r="K51" s="1140">
        <f t="shared" si="9"/>
        <v>-1402</v>
      </c>
      <c r="L51" s="70">
        <f t="shared" si="10"/>
        <v>-1280</v>
      </c>
      <c r="M51" s="70">
        <f t="shared" si="11"/>
        <v>-126</v>
      </c>
      <c r="N51" s="1142">
        <f t="shared" si="12"/>
        <v>4</v>
      </c>
      <c r="O51" s="1144">
        <f t="shared" si="8"/>
        <v>-65.544647031323038</v>
      </c>
    </row>
    <row r="52" spans="1:15" s="337" customFormat="1" ht="23.25" customHeight="1">
      <c r="A52" s="1444" t="s">
        <v>1552</v>
      </c>
      <c r="B52" s="1544">
        <f>+[8]A07!$B58</f>
        <v>4986</v>
      </c>
      <c r="C52" s="1138">
        <f t="shared" si="1"/>
        <v>1807</v>
      </c>
      <c r="D52" s="1544">
        <f>+[8]A07!X58+[8]A07!AB58</f>
        <v>335</v>
      </c>
      <c r="E52" s="1544">
        <f>+[8]A07!Y58+[8]A07!AC58</f>
        <v>1472</v>
      </c>
      <c r="F52" s="1544">
        <f>+[8]A07!Z58+[8]A07!AD58</f>
        <v>0</v>
      </c>
      <c r="G52" s="1383">
        <f t="shared" si="2"/>
        <v>1760</v>
      </c>
      <c r="H52" s="1443">
        <v>374</v>
      </c>
      <c r="I52" s="1443">
        <v>1380</v>
      </c>
      <c r="J52" s="1384">
        <v>6</v>
      </c>
      <c r="K52" s="1140">
        <f t="shared" si="9"/>
        <v>47</v>
      </c>
      <c r="L52" s="70">
        <f t="shared" si="10"/>
        <v>-39</v>
      </c>
      <c r="M52" s="70">
        <f t="shared" si="11"/>
        <v>92</v>
      </c>
      <c r="N52" s="1142">
        <f t="shared" si="12"/>
        <v>-6</v>
      </c>
      <c r="O52" s="1144">
        <f t="shared" si="8"/>
        <v>2.6704545454545454</v>
      </c>
    </row>
    <row r="53" spans="1:15" s="337" customFormat="1" ht="23.25" customHeight="1">
      <c r="A53" s="1444" t="s">
        <v>1553</v>
      </c>
      <c r="B53" s="1544">
        <f>+[8]A07!$B59</f>
        <v>4329</v>
      </c>
      <c r="C53" s="1138">
        <f t="shared" si="1"/>
        <v>2173</v>
      </c>
      <c r="D53" s="1544">
        <f>+[8]A07!X59+[8]A07!AB59</f>
        <v>799</v>
      </c>
      <c r="E53" s="1544">
        <f>+[8]A07!Y59+[8]A07!AC59</f>
        <v>1368</v>
      </c>
      <c r="F53" s="1544">
        <f>+[8]A07!Z59+[8]A07!AD59</f>
        <v>6</v>
      </c>
      <c r="G53" s="1383">
        <f t="shared" si="2"/>
        <v>3416</v>
      </c>
      <c r="H53" s="1443">
        <v>1803</v>
      </c>
      <c r="I53" s="1443">
        <v>1613</v>
      </c>
      <c r="J53" s="1384">
        <v>0</v>
      </c>
      <c r="K53" s="1140">
        <f t="shared" si="9"/>
        <v>-1243</v>
      </c>
      <c r="L53" s="70">
        <f t="shared" si="10"/>
        <v>-1004</v>
      </c>
      <c r="M53" s="70">
        <f t="shared" si="11"/>
        <v>-245</v>
      </c>
      <c r="N53" s="1142">
        <f t="shared" si="12"/>
        <v>6</v>
      </c>
      <c r="O53" s="1144">
        <f t="shared" si="8"/>
        <v>-36.387587822014048</v>
      </c>
    </row>
    <row r="54" spans="1:15" s="337" customFormat="1" ht="23.25" customHeight="1">
      <c r="A54" s="1444" t="s">
        <v>1554</v>
      </c>
      <c r="B54" s="1544">
        <f>+[8]A07!$B60</f>
        <v>353</v>
      </c>
      <c r="C54" s="1138">
        <f t="shared" si="1"/>
        <v>0</v>
      </c>
      <c r="D54" s="1544">
        <f>+[8]A07!X60+[8]A07!AB60</f>
        <v>0</v>
      </c>
      <c r="E54" s="1544">
        <f>+[8]A07!Y60+[8]A07!AC60</f>
        <v>0</v>
      </c>
      <c r="F54" s="1544">
        <f>+[8]A07!Z60+[8]A07!AD60</f>
        <v>0</v>
      </c>
      <c r="G54" s="1383">
        <f t="shared" si="2"/>
        <v>0</v>
      </c>
      <c r="H54" s="1443">
        <v>0</v>
      </c>
      <c r="I54" s="1443">
        <v>0</v>
      </c>
      <c r="J54" s="1384">
        <v>0</v>
      </c>
      <c r="K54" s="1140">
        <f t="shared" si="9"/>
        <v>0</v>
      </c>
      <c r="L54" s="70">
        <f t="shared" si="10"/>
        <v>0</v>
      </c>
      <c r="M54" s="70">
        <f t="shared" si="11"/>
        <v>0</v>
      </c>
      <c r="N54" s="1142">
        <f t="shared" si="12"/>
        <v>0</v>
      </c>
      <c r="O54" s="1144"/>
    </row>
    <row r="55" spans="1:15" s="337" customFormat="1" ht="23.25" customHeight="1">
      <c r="A55" s="1444" t="s">
        <v>1677</v>
      </c>
      <c r="B55" s="1544">
        <f>+[8]A07!$B61</f>
        <v>6633</v>
      </c>
      <c r="C55" s="1138">
        <f t="shared" si="1"/>
        <v>1717</v>
      </c>
      <c r="D55" s="1544">
        <f>+[8]A07!X61+[8]A07!AB61</f>
        <v>496</v>
      </c>
      <c r="E55" s="1544">
        <f>+[8]A07!Y61+[8]A07!AC61</f>
        <v>1221</v>
      </c>
      <c r="F55" s="1544">
        <f>+[8]A07!Z61+[8]A07!AD61</f>
        <v>0</v>
      </c>
      <c r="G55" s="1383">
        <f t="shared" si="2"/>
        <v>3794</v>
      </c>
      <c r="H55" s="1443">
        <v>1797</v>
      </c>
      <c r="I55" s="1443">
        <v>1997</v>
      </c>
      <c r="J55" s="1384">
        <v>0</v>
      </c>
      <c r="K55" s="1140">
        <f t="shared" si="9"/>
        <v>-2077</v>
      </c>
      <c r="L55" s="70">
        <f t="shared" si="10"/>
        <v>-1301</v>
      </c>
      <c r="M55" s="70">
        <f t="shared" si="11"/>
        <v>-776</v>
      </c>
      <c r="N55" s="1142">
        <f t="shared" si="12"/>
        <v>0</v>
      </c>
      <c r="O55" s="1144">
        <f t="shared" si="8"/>
        <v>-54.744333157617284</v>
      </c>
    </row>
    <row r="56" spans="1:15" s="337" customFormat="1" ht="23.25" customHeight="1">
      <c r="A56" s="1444" t="s">
        <v>1555</v>
      </c>
      <c r="B56" s="1544">
        <f>+[8]A07!$B62</f>
        <v>0</v>
      </c>
      <c r="C56" s="1138">
        <f t="shared" si="1"/>
        <v>0</v>
      </c>
      <c r="D56" s="1544">
        <f>+[8]A07!X62+[8]A07!AB62</f>
        <v>0</v>
      </c>
      <c r="E56" s="1544">
        <f>+[8]A07!Y62+[8]A07!AC62</f>
        <v>0</v>
      </c>
      <c r="F56" s="1544">
        <f>+[8]A07!Z62+[8]A07!AD62</f>
        <v>0</v>
      </c>
      <c r="G56" s="1383">
        <f t="shared" si="2"/>
        <v>0</v>
      </c>
      <c r="H56" s="1443">
        <v>0</v>
      </c>
      <c r="I56" s="1443">
        <v>0</v>
      </c>
      <c r="J56" s="1384">
        <v>0</v>
      </c>
      <c r="K56" s="1140">
        <f t="shared" si="9"/>
        <v>0</v>
      </c>
      <c r="L56" s="70">
        <f t="shared" si="10"/>
        <v>0</v>
      </c>
      <c r="M56" s="70">
        <f t="shared" si="11"/>
        <v>0</v>
      </c>
      <c r="N56" s="1142">
        <f t="shared" si="12"/>
        <v>0</v>
      </c>
      <c r="O56" s="1144"/>
    </row>
    <row r="57" spans="1:15" s="337" customFormat="1" ht="23.25" customHeight="1">
      <c r="A57" s="1444" t="s">
        <v>1678</v>
      </c>
      <c r="B57" s="1544">
        <f>+[8]A07!$B63</f>
        <v>1809</v>
      </c>
      <c r="C57" s="1138">
        <f t="shared" si="1"/>
        <v>230</v>
      </c>
      <c r="D57" s="1544">
        <f>+[8]A07!X63+[8]A07!AB63</f>
        <v>118</v>
      </c>
      <c r="E57" s="1544">
        <f>+[8]A07!Y63+[8]A07!AC63</f>
        <v>112</v>
      </c>
      <c r="F57" s="1544">
        <f>+[8]A07!Z63+[8]A07!AD63</f>
        <v>0</v>
      </c>
      <c r="G57" s="1383">
        <f t="shared" si="2"/>
        <v>585</v>
      </c>
      <c r="H57" s="1443">
        <v>341</v>
      </c>
      <c r="I57" s="1443">
        <v>244</v>
      </c>
      <c r="J57" s="1384">
        <v>0</v>
      </c>
      <c r="K57" s="1140">
        <f t="shared" si="9"/>
        <v>-355</v>
      </c>
      <c r="L57" s="70">
        <f t="shared" si="10"/>
        <v>-223</v>
      </c>
      <c r="M57" s="70">
        <f t="shared" si="11"/>
        <v>-132</v>
      </c>
      <c r="N57" s="1142">
        <f t="shared" si="12"/>
        <v>0</v>
      </c>
      <c r="O57" s="1144">
        <f t="shared" si="8"/>
        <v>-60.683760683760681</v>
      </c>
    </row>
    <row r="58" spans="1:15" s="337" customFormat="1" ht="23.25" customHeight="1">
      <c r="A58" s="1444" t="s">
        <v>1556</v>
      </c>
      <c r="B58" s="1544">
        <f>+[8]A07!$B64</f>
        <v>0</v>
      </c>
      <c r="C58" s="1138">
        <f t="shared" si="1"/>
        <v>0</v>
      </c>
      <c r="D58" s="1544">
        <f>+[8]A07!X64+[8]A07!AB64</f>
        <v>0</v>
      </c>
      <c r="E58" s="1544">
        <f>+[8]A07!Y64+[8]A07!AC64</f>
        <v>0</v>
      </c>
      <c r="F58" s="1544">
        <f>+[8]A07!Z64+[8]A07!AD64</f>
        <v>0</v>
      </c>
      <c r="G58" s="1383">
        <f t="shared" si="2"/>
        <v>0</v>
      </c>
      <c r="H58" s="1443">
        <v>0</v>
      </c>
      <c r="I58" s="1443">
        <v>0</v>
      </c>
      <c r="J58" s="1384">
        <v>0</v>
      </c>
      <c r="K58" s="1140">
        <f t="shared" si="9"/>
        <v>0</v>
      </c>
      <c r="L58" s="70">
        <f t="shared" si="10"/>
        <v>0</v>
      </c>
      <c r="M58" s="70">
        <f t="shared" si="11"/>
        <v>0</v>
      </c>
      <c r="N58" s="1142">
        <f t="shared" si="12"/>
        <v>0</v>
      </c>
      <c r="O58" s="1144"/>
    </row>
    <row r="59" spans="1:15" s="337" customFormat="1" ht="23.25" customHeight="1">
      <c r="A59" s="1444" t="s">
        <v>1557</v>
      </c>
      <c r="B59" s="1544">
        <f>+[8]A07!$B65</f>
        <v>0</v>
      </c>
      <c r="C59" s="1138">
        <f t="shared" si="1"/>
        <v>0</v>
      </c>
      <c r="D59" s="1544">
        <f>+[8]A07!X65+[8]A07!AB65</f>
        <v>0</v>
      </c>
      <c r="E59" s="1544">
        <f>+[8]A07!Y65+[8]A07!AC65</f>
        <v>0</v>
      </c>
      <c r="F59" s="1544">
        <f>+[8]A07!Z65+[8]A07!AD65</f>
        <v>0</v>
      </c>
      <c r="G59" s="1383">
        <f t="shared" ref="G59:G61" si="13">SUM(H59:J59)</f>
        <v>0</v>
      </c>
      <c r="H59" s="1544">
        <v>0</v>
      </c>
      <c r="I59" s="1544">
        <v>0</v>
      </c>
      <c r="J59" s="1384">
        <v>0</v>
      </c>
      <c r="K59" s="1140">
        <f t="shared" ref="K59:K61" si="14">SUM(L59:N59)</f>
        <v>0</v>
      </c>
      <c r="L59" s="70">
        <f t="shared" ref="L59:L61" si="15">+D59-H59</f>
        <v>0</v>
      </c>
      <c r="M59" s="70">
        <f t="shared" ref="M59:M61" si="16">+E59-I59</f>
        <v>0</v>
      </c>
      <c r="N59" s="1142">
        <f t="shared" ref="N59:N61" si="17">+F59-J59</f>
        <v>0</v>
      </c>
      <c r="O59" s="1144"/>
    </row>
    <row r="60" spans="1:15" s="337" customFormat="1" ht="23.25" customHeight="1">
      <c r="A60" s="1444" t="s">
        <v>1679</v>
      </c>
      <c r="B60" s="1544">
        <f>+[8]A07!$B66</f>
        <v>0</v>
      </c>
      <c r="C60" s="1138">
        <f t="shared" si="1"/>
        <v>0</v>
      </c>
      <c r="D60" s="1544">
        <f>+[8]A07!X66+[8]A07!AB66</f>
        <v>0</v>
      </c>
      <c r="E60" s="1544">
        <f>+[8]A07!Y66+[8]A07!AC66</f>
        <v>0</v>
      </c>
      <c r="F60" s="1544">
        <f>+[8]A07!Z66+[8]A07!AD66</f>
        <v>0</v>
      </c>
      <c r="G60" s="1383">
        <f t="shared" si="13"/>
        <v>0</v>
      </c>
      <c r="H60" s="1544">
        <v>0</v>
      </c>
      <c r="I60" s="1544">
        <v>0</v>
      </c>
      <c r="J60" s="1384">
        <v>0</v>
      </c>
      <c r="K60" s="1140">
        <f t="shared" si="14"/>
        <v>0</v>
      </c>
      <c r="L60" s="70">
        <f t="shared" si="15"/>
        <v>0</v>
      </c>
      <c r="M60" s="70">
        <f t="shared" si="16"/>
        <v>0</v>
      </c>
      <c r="N60" s="1142">
        <f t="shared" si="17"/>
        <v>0</v>
      </c>
      <c r="O60" s="1144"/>
    </row>
    <row r="61" spans="1:15" s="337" customFormat="1" ht="23.25" customHeight="1">
      <c r="A61" s="1444" t="s">
        <v>1558</v>
      </c>
      <c r="B61" s="1544">
        <f>+[8]A07!$B67</f>
        <v>0</v>
      </c>
      <c r="C61" s="1138">
        <f t="shared" si="1"/>
        <v>0</v>
      </c>
      <c r="D61" s="1544">
        <f>+[8]A07!X67+[8]A07!AB67</f>
        <v>0</v>
      </c>
      <c r="E61" s="1544">
        <f>+[8]A07!Y67+[8]A07!AC67</f>
        <v>0</v>
      </c>
      <c r="F61" s="1544">
        <f>+[8]A07!Z67+[8]A07!AD67</f>
        <v>0</v>
      </c>
      <c r="G61" s="1383">
        <f t="shared" si="13"/>
        <v>0</v>
      </c>
      <c r="H61" s="1544">
        <v>0</v>
      </c>
      <c r="I61" s="1544">
        <v>0</v>
      </c>
      <c r="J61" s="1384">
        <v>0</v>
      </c>
      <c r="K61" s="1140">
        <f t="shared" si="14"/>
        <v>0</v>
      </c>
      <c r="L61" s="70">
        <f t="shared" si="15"/>
        <v>0</v>
      </c>
      <c r="M61" s="70">
        <f t="shared" si="16"/>
        <v>0</v>
      </c>
      <c r="N61" s="1142">
        <f t="shared" si="17"/>
        <v>0</v>
      </c>
      <c r="O61" s="1144"/>
    </row>
    <row r="62" spans="1:15" s="337" customFormat="1" ht="23.25" customHeight="1">
      <c r="A62" s="1444" t="s">
        <v>1559</v>
      </c>
      <c r="B62" s="1544">
        <f>+[8]A07!$B68</f>
        <v>0</v>
      </c>
      <c r="C62" s="1138">
        <f t="shared" si="1"/>
        <v>0</v>
      </c>
      <c r="D62" s="1544">
        <f>+[8]A07!X68+[8]A07!AB68</f>
        <v>0</v>
      </c>
      <c r="E62" s="1544">
        <f>+[8]A07!Y68+[8]A07!AC68</f>
        <v>0</v>
      </c>
      <c r="F62" s="1544">
        <f>+[8]A07!Z68+[8]A07!AD68</f>
        <v>0</v>
      </c>
      <c r="G62" s="1383">
        <f t="shared" si="2"/>
        <v>0</v>
      </c>
      <c r="H62" s="1443">
        <v>0</v>
      </c>
      <c r="I62" s="1443">
        <v>0</v>
      </c>
      <c r="J62" s="1384">
        <v>0</v>
      </c>
      <c r="K62" s="1140">
        <f t="shared" si="9"/>
        <v>0</v>
      </c>
      <c r="L62" s="70">
        <f t="shared" si="10"/>
        <v>0</v>
      </c>
      <c r="M62" s="70">
        <f t="shared" si="11"/>
        <v>0</v>
      </c>
      <c r="N62" s="1142">
        <f t="shared" si="12"/>
        <v>0</v>
      </c>
      <c r="O62" s="1144"/>
    </row>
    <row r="63" spans="1:15" s="337" customFormat="1" ht="23.25" customHeight="1">
      <c r="A63" s="1444" t="s">
        <v>1680</v>
      </c>
      <c r="B63" s="1544">
        <f>+[8]A07!$B69</f>
        <v>0</v>
      </c>
      <c r="C63" s="1138">
        <f t="shared" si="1"/>
        <v>0</v>
      </c>
      <c r="D63" s="1544">
        <f>+[8]A07!X69+[8]A07!AB69</f>
        <v>0</v>
      </c>
      <c r="E63" s="1544">
        <f>+[8]A07!Y69+[8]A07!AC69</f>
        <v>0</v>
      </c>
      <c r="F63" s="1544">
        <f>+[8]A07!Z69+[8]A07!AD69</f>
        <v>0</v>
      </c>
      <c r="G63" s="1383">
        <f t="shared" si="2"/>
        <v>0</v>
      </c>
      <c r="H63" s="1443">
        <v>0</v>
      </c>
      <c r="I63" s="1443">
        <v>0</v>
      </c>
      <c r="J63" s="1384">
        <v>0</v>
      </c>
      <c r="K63" s="1140">
        <f t="shared" si="9"/>
        <v>0</v>
      </c>
      <c r="L63" s="70">
        <f t="shared" si="10"/>
        <v>0</v>
      </c>
      <c r="M63" s="70">
        <f t="shared" si="11"/>
        <v>0</v>
      </c>
      <c r="N63" s="1142">
        <f t="shared" si="12"/>
        <v>0</v>
      </c>
      <c r="O63" s="1144"/>
    </row>
    <row r="64" spans="1:15" s="337" customFormat="1" ht="23.25" customHeight="1">
      <c r="A64" s="1444" t="s">
        <v>1681</v>
      </c>
      <c r="B64" s="1544">
        <f>+[8]A07!$B70</f>
        <v>0</v>
      </c>
      <c r="C64" s="1138">
        <f t="shared" si="1"/>
        <v>0</v>
      </c>
      <c r="D64" s="1544">
        <f>+[8]A07!X70+[8]A07!AB70</f>
        <v>0</v>
      </c>
      <c r="E64" s="1544">
        <f>+[8]A07!Y70+[8]A07!AC70</f>
        <v>0</v>
      </c>
      <c r="F64" s="1544">
        <f>+[8]A07!Z70+[8]A07!AD70</f>
        <v>0</v>
      </c>
      <c r="G64" s="1383">
        <f t="shared" si="2"/>
        <v>0</v>
      </c>
      <c r="H64" s="1443">
        <v>0</v>
      </c>
      <c r="I64" s="1443">
        <v>0</v>
      </c>
      <c r="J64" s="1384">
        <v>0</v>
      </c>
      <c r="K64" s="1140">
        <f t="shared" si="9"/>
        <v>0</v>
      </c>
      <c r="L64" s="70">
        <f t="shared" si="10"/>
        <v>0</v>
      </c>
      <c r="M64" s="70">
        <f t="shared" si="11"/>
        <v>0</v>
      </c>
      <c r="N64" s="1142">
        <f t="shared" si="12"/>
        <v>0</v>
      </c>
      <c r="O64" s="1144"/>
    </row>
    <row r="65" spans="1:15" ht="23.25" customHeight="1" thickBot="1">
      <c r="A65" s="560" t="s">
        <v>517</v>
      </c>
      <c r="B65" s="1138">
        <f>SUM(B5:B64)</f>
        <v>78685</v>
      </c>
      <c r="C65" s="1138">
        <f>SUM(C5:C64)</f>
        <v>17900</v>
      </c>
      <c r="D65" s="1138">
        <f>SUM(D5:D64)</f>
        <v>8196</v>
      </c>
      <c r="E65" s="1138">
        <f>SUM(E5:E64)</f>
        <v>9372</v>
      </c>
      <c r="F65" s="1380">
        <f>SUM(F5:F64)</f>
        <v>332</v>
      </c>
      <c r="G65" s="1385">
        <f t="shared" si="2"/>
        <v>33121</v>
      </c>
      <c r="H65" s="1386">
        <f t="shared" ref="H65:N65" si="18">SUM(H5:H64)</f>
        <v>18266</v>
      </c>
      <c r="I65" s="1386">
        <f t="shared" si="18"/>
        <v>14556</v>
      </c>
      <c r="J65" s="1387">
        <f t="shared" si="18"/>
        <v>299</v>
      </c>
      <c r="K65" s="1140">
        <f t="shared" si="18"/>
        <v>-15221</v>
      </c>
      <c r="L65" s="1136">
        <f t="shared" si="18"/>
        <v>-10070</v>
      </c>
      <c r="M65" s="1136">
        <f t="shared" si="18"/>
        <v>-5184</v>
      </c>
      <c r="N65" s="1137">
        <f t="shared" si="18"/>
        <v>33</v>
      </c>
      <c r="O65" s="1145">
        <f t="shared" si="8"/>
        <v>-45.955738051387335</v>
      </c>
    </row>
    <row r="66" spans="1:15">
      <c r="A66" s="561"/>
    </row>
    <row r="67" spans="1:15">
      <c r="A67" s="561"/>
      <c r="B67" s="963"/>
    </row>
    <row r="68" spans="1:15">
      <c r="A68" s="561"/>
    </row>
    <row r="69" spans="1:15">
      <c r="A69" s="561"/>
    </row>
    <row r="70" spans="1:15">
      <c r="A70" s="561"/>
    </row>
  </sheetData>
  <mergeCells count="5">
    <mergeCell ref="C3:F3"/>
    <mergeCell ref="G3:J3"/>
    <mergeCell ref="K3:N3"/>
    <mergeCell ref="O3:O4"/>
    <mergeCell ref="A1:O1"/>
  </mergeCells>
  <pageMargins left="0.85" right="0.19685039370078741" top="0.63" bottom="0.78740157480314965" header="0" footer="0"/>
  <pageSetup paperSize="5" scale="8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4" workbookViewId="0">
      <selection activeCell="E22" sqref="E22"/>
    </sheetView>
  </sheetViews>
  <sheetFormatPr baseColWidth="10" defaultRowHeight="13.2"/>
  <cols>
    <col min="1" max="1" width="21" style="409" customWidth="1"/>
    <col min="2" max="2" width="16.77734375" style="554" customWidth="1"/>
    <col min="3" max="3" width="15" style="554" customWidth="1"/>
    <col min="4" max="4" width="13.77734375" style="554" customWidth="1"/>
    <col min="5" max="5" width="14.44140625" style="554" customWidth="1"/>
    <col min="6" max="6" width="13" customWidth="1"/>
    <col min="7" max="7" width="13.21875" customWidth="1"/>
  </cols>
  <sheetData>
    <row r="1" spans="1:8" ht="30" customHeight="1">
      <c r="A1" s="1665" t="s">
        <v>1688</v>
      </c>
      <c r="B1" s="1569"/>
      <c r="C1" s="1569"/>
      <c r="D1" s="1569"/>
      <c r="E1" s="1569"/>
      <c r="F1" s="1569"/>
      <c r="G1" s="1569"/>
    </row>
    <row r="2" spans="1:8">
      <c r="A2"/>
      <c r="B2"/>
      <c r="C2"/>
      <c r="D2"/>
      <c r="E2"/>
    </row>
    <row r="3" spans="1:8" ht="13.8" thickBot="1">
      <c r="A3"/>
      <c r="B3"/>
      <c r="C3"/>
      <c r="D3"/>
      <c r="E3"/>
    </row>
    <row r="4" spans="1:8" ht="20.25" customHeight="1" thickBot="1">
      <c r="A4" s="984"/>
      <c r="B4" s="1666" t="s">
        <v>924</v>
      </c>
      <c r="C4" s="1666"/>
      <c r="D4" s="1667"/>
      <c r="E4" s="1668" t="s">
        <v>1165</v>
      </c>
      <c r="F4" s="1666"/>
      <c r="G4" s="1667"/>
    </row>
    <row r="5" spans="1:8" s="337" customFormat="1" ht="24" customHeight="1" thickBot="1">
      <c r="A5" s="986" t="s">
        <v>835</v>
      </c>
      <c r="B5" s="985" t="s">
        <v>1163</v>
      </c>
      <c r="C5" s="982" t="s">
        <v>1166</v>
      </c>
      <c r="D5" s="983" t="s">
        <v>1164</v>
      </c>
      <c r="E5" s="981" t="s">
        <v>1163</v>
      </c>
      <c r="F5" s="982" t="s">
        <v>1167</v>
      </c>
      <c r="G5" s="983" t="s">
        <v>1164</v>
      </c>
      <c r="H5" s="556"/>
    </row>
    <row r="6" spans="1:8" s="337" customFormat="1" ht="23.25" customHeight="1">
      <c r="A6" s="465" t="s">
        <v>802</v>
      </c>
      <c r="B6" s="988">
        <f>+'55'!E65+'55'!F65</f>
        <v>1243</v>
      </c>
      <c r="C6" s="989">
        <f>+'61'!H9</f>
        <v>22654</v>
      </c>
      <c r="D6" s="990">
        <f>(1-B6/C6)*100</f>
        <v>94.513110267502427</v>
      </c>
      <c r="E6" s="976">
        <f>+'55'!F$81</f>
        <v>250</v>
      </c>
      <c r="F6" s="989">
        <f>+[9]A09!$D$12+[9]A09!$D$14+[10]A09!$D$12+[10]A09!$D$14+[11]A09!$D$12+[11]A09!$D$14</f>
        <v>3450</v>
      </c>
      <c r="G6" s="990">
        <f>(1-E6/F6)*100</f>
        <v>92.753623188405797</v>
      </c>
      <c r="H6" s="987"/>
    </row>
    <row r="7" spans="1:8" s="337" customFormat="1" ht="23.25" customHeight="1">
      <c r="A7" s="465" t="s">
        <v>803</v>
      </c>
      <c r="B7" s="976">
        <f>+'55'!G65+'55'!H65</f>
        <v>2184</v>
      </c>
      <c r="C7" s="325">
        <f>+'61'!H10</f>
        <v>13731</v>
      </c>
      <c r="D7" s="977">
        <f>(1-B7/C7)*100</f>
        <v>84.094384968319858</v>
      </c>
      <c r="E7" s="976">
        <f>+'55'!H$81</f>
        <v>462</v>
      </c>
      <c r="F7" s="325">
        <f>+[12]A09!$D$12+[12]A09!$D$14</f>
        <v>4779</v>
      </c>
      <c r="G7" s="977">
        <f>(1-E7/F7)*100</f>
        <v>90.332705586942879</v>
      </c>
    </row>
    <row r="8" spans="1:8" s="337" customFormat="1" ht="23.25" customHeight="1">
      <c r="A8" s="465" t="s">
        <v>805</v>
      </c>
      <c r="B8" s="976">
        <f>+'55'!M65+'55'!N65</f>
        <v>857</v>
      </c>
      <c r="C8" s="325">
        <f>+'61'!H13</f>
        <v>19949</v>
      </c>
      <c r="D8" s="977">
        <f t="shared" ref="D8:D19" si="0">(1-B8/C8)*100</f>
        <v>95.704045315554666</v>
      </c>
      <c r="E8" s="976">
        <f>+'55'!N$81</f>
        <v>159</v>
      </c>
      <c r="F8" s="325">
        <f>+[13]A09!$D$12+[13]A09!$D$14+[14]A09!$D$12+[14]A09!$D$14+[15]A09!$D$12+[15]A09!$D$14</f>
        <v>3483</v>
      </c>
      <c r="G8" s="977">
        <f t="shared" ref="G8:G19" si="1">(1-E8/F8)*100</f>
        <v>95.434969853574501</v>
      </c>
    </row>
    <row r="9" spans="1:8" s="337" customFormat="1" ht="23.25" customHeight="1">
      <c r="A9" s="465" t="s">
        <v>807</v>
      </c>
      <c r="B9" s="976">
        <f>+'55'!I65+'55'!J65</f>
        <v>686</v>
      </c>
      <c r="C9" s="325">
        <f>+'61'!H14</f>
        <v>12156</v>
      </c>
      <c r="D9" s="977">
        <f t="shared" si="0"/>
        <v>94.356696281671603</v>
      </c>
      <c r="E9" s="976">
        <f>+'55'!J$81</f>
        <v>160</v>
      </c>
      <c r="F9" s="325">
        <f>+[16]A09!$D$12+[16]A09!$D$14+[17]A09!$D$12+[17]A09!$D$14</f>
        <v>2414</v>
      </c>
      <c r="G9" s="977">
        <f t="shared" si="1"/>
        <v>93.37199668599834</v>
      </c>
    </row>
    <row r="10" spans="1:8" s="337" customFormat="1" ht="23.25" customHeight="1">
      <c r="A10" s="465" t="s">
        <v>808</v>
      </c>
      <c r="B10" s="976">
        <f>+'55'!K65+'55'!L65</f>
        <v>756</v>
      </c>
      <c r="C10" s="325">
        <f>+'61'!H15</f>
        <v>13223</v>
      </c>
      <c r="D10" s="977">
        <f t="shared" si="0"/>
        <v>94.282689253573309</v>
      </c>
      <c r="E10" s="976">
        <f>+'55'!L$81</f>
        <v>229</v>
      </c>
      <c r="F10" s="325">
        <f>+[18]A09!$D$12+[18]A09!$D$14</f>
        <v>3161</v>
      </c>
      <c r="G10" s="977">
        <f t="shared" si="1"/>
        <v>92.75545713381841</v>
      </c>
    </row>
    <row r="11" spans="1:8" s="337" customFormat="1" ht="23.25" customHeight="1">
      <c r="A11" s="465" t="s">
        <v>810</v>
      </c>
      <c r="B11" s="976">
        <f>+'55'!Q65+'55'!R65</f>
        <v>2211</v>
      </c>
      <c r="C11" s="325">
        <f>+'61'!H17</f>
        <v>11842</v>
      </c>
      <c r="D11" s="977">
        <f t="shared" si="0"/>
        <v>81.329167370376638</v>
      </c>
      <c r="E11" s="976">
        <f>+'55'!R$81</f>
        <v>107</v>
      </c>
      <c r="F11" s="325">
        <f>+[19]A09!$D$12+[19]A09!$D$14</f>
        <v>2846</v>
      </c>
      <c r="G11" s="977">
        <f t="shared" si="1"/>
        <v>96.240337315530567</v>
      </c>
    </row>
    <row r="12" spans="1:8" s="337" customFormat="1" ht="23.25" customHeight="1">
      <c r="A12" s="465" t="s">
        <v>811</v>
      </c>
      <c r="B12" s="976">
        <f>+'55'!S65+'55'!T65</f>
        <v>2551</v>
      </c>
      <c r="C12" s="325">
        <f>+'61'!H18</f>
        <v>24948</v>
      </c>
      <c r="D12" s="977">
        <f t="shared" si="0"/>
        <v>89.774731441398103</v>
      </c>
      <c r="E12" s="976">
        <f>+'55'!T$81</f>
        <v>416</v>
      </c>
      <c r="F12" s="325">
        <f>+[20]A09!$D$12+[20]A09!$D$14+[21]A09!$D$12+[21]A09!$D$14</f>
        <v>3076</v>
      </c>
      <c r="G12" s="977">
        <f t="shared" si="1"/>
        <v>86.475942782834849</v>
      </c>
    </row>
    <row r="13" spans="1:8" s="337" customFormat="1" ht="23.25" customHeight="1">
      <c r="A13" s="465" t="s">
        <v>812</v>
      </c>
      <c r="B13" s="976">
        <f>+'55'!O65+'55'!P65</f>
        <v>489</v>
      </c>
      <c r="C13" s="325">
        <f>+'61'!H20</f>
        <v>4397</v>
      </c>
      <c r="D13" s="977">
        <f t="shared" si="0"/>
        <v>88.878780987036606</v>
      </c>
      <c r="E13" s="976">
        <f>+'55'!P$81</f>
        <v>49</v>
      </c>
      <c r="F13" s="325">
        <f>+[22]A09!$D$12+[22]A09!$D$14</f>
        <v>1127</v>
      </c>
      <c r="G13" s="977">
        <f t="shared" si="1"/>
        <v>95.652173913043484</v>
      </c>
    </row>
    <row r="14" spans="1:8" s="337" customFormat="1" ht="23.25" customHeight="1">
      <c r="A14" s="465" t="s">
        <v>813</v>
      </c>
      <c r="B14" s="976">
        <f>+'55'!AA65+'55'!AB65</f>
        <v>1251</v>
      </c>
      <c r="C14" s="325">
        <f>+'61'!H22</f>
        <v>18060</v>
      </c>
      <c r="D14" s="977">
        <f t="shared" si="0"/>
        <v>93.073089700996675</v>
      </c>
      <c r="E14" s="976">
        <f>+'55'!AB$81</f>
        <v>290</v>
      </c>
      <c r="F14" s="325">
        <f>+[23]A09!$D$12+[23]A09!$D$14+[24]A09!$D$12+[24]A09!$D$14</f>
        <v>3043</v>
      </c>
      <c r="G14" s="977">
        <f t="shared" si="1"/>
        <v>90.469930989155429</v>
      </c>
    </row>
    <row r="15" spans="1:8" s="337" customFormat="1" ht="23.25" customHeight="1">
      <c r="A15" s="465" t="s">
        <v>814</v>
      </c>
      <c r="B15" s="976">
        <f>+'55'!AC65+'55'!AD65</f>
        <v>963</v>
      </c>
      <c r="C15" s="325">
        <f>+'61'!H26</f>
        <v>12828</v>
      </c>
      <c r="D15" s="977">
        <f t="shared" si="0"/>
        <v>92.492984097287192</v>
      </c>
      <c r="E15" s="976">
        <f>+'55'!AD$81</f>
        <v>202</v>
      </c>
      <c r="F15" s="325">
        <f>+[25]A09!$D$12+[25]A09!$D$14+[26]A09!$D$12+[26]A09!$D$14+[27]A09!$D$12+[27]A09!$D$14</f>
        <v>2448</v>
      </c>
      <c r="G15" s="977">
        <f t="shared" si="1"/>
        <v>91.748366013071887</v>
      </c>
    </row>
    <row r="16" spans="1:8" s="337" customFormat="1" ht="23.25" customHeight="1">
      <c r="A16" s="465" t="s">
        <v>816</v>
      </c>
      <c r="B16" s="976">
        <f>+'55'!Y65+'55'!Z65</f>
        <v>508</v>
      </c>
      <c r="C16" s="325">
        <f>+'61'!H27</f>
        <v>11913</v>
      </c>
      <c r="D16" s="977">
        <f t="shared" si="0"/>
        <v>95.735750860404607</v>
      </c>
      <c r="E16" s="976">
        <f>+'55'!Z$81</f>
        <v>171</v>
      </c>
      <c r="F16" s="325">
        <f>+[28]A09!$D$12+[28]A09!$D$14</f>
        <v>1999</v>
      </c>
      <c r="G16" s="977">
        <f t="shared" si="1"/>
        <v>91.44572286143071</v>
      </c>
    </row>
    <row r="17" spans="1:7" s="337" customFormat="1" ht="23.25" customHeight="1">
      <c r="A17" s="465" t="s">
        <v>1162</v>
      </c>
      <c r="B17" s="976">
        <f>+'55'!W65+'55'!X65</f>
        <v>1711</v>
      </c>
      <c r="C17" s="325">
        <f>+'61'!H28</f>
        <v>15531</v>
      </c>
      <c r="D17" s="977">
        <f t="shared" si="0"/>
        <v>88.983323675230181</v>
      </c>
      <c r="E17" s="976">
        <f>+'55'!X$81</f>
        <v>268</v>
      </c>
      <c r="F17" s="325">
        <f>+[29]A09!$D$12+[29]A09!$D$14</f>
        <v>3938</v>
      </c>
      <c r="G17" s="977">
        <f t="shared" si="1"/>
        <v>93.19451498222449</v>
      </c>
    </row>
    <row r="18" spans="1:7" s="337" customFormat="1" ht="23.25" customHeight="1">
      <c r="A18" s="465" t="s">
        <v>818</v>
      </c>
      <c r="B18" s="976">
        <f>+'55'!U65+'55'!V65</f>
        <v>1229</v>
      </c>
      <c r="C18" s="325">
        <f>+'61'!H30</f>
        <v>21409</v>
      </c>
      <c r="D18" s="977">
        <f t="shared" si="0"/>
        <v>94.259423606894302</v>
      </c>
      <c r="E18" s="976">
        <f>+'55'!V$81</f>
        <v>207</v>
      </c>
      <c r="F18" s="325">
        <f>+[30]A09!$D$12+[30]A09!$D$14+[31]A09!$D$12+[31]A09!$D$14</f>
        <v>4049</v>
      </c>
      <c r="G18" s="977">
        <f t="shared" si="1"/>
        <v>94.887626574462843</v>
      </c>
    </row>
    <row r="19" spans="1:7" s="337" customFormat="1" ht="23.25" customHeight="1" thickBot="1">
      <c r="A19" s="975" t="s">
        <v>517</v>
      </c>
      <c r="B19" s="978">
        <f>SUM(B6:B18)</f>
        <v>16639</v>
      </c>
      <c r="C19" s="979">
        <f>SUM(C6:C18)</f>
        <v>202641</v>
      </c>
      <c r="D19" s="980">
        <f t="shared" si="0"/>
        <v>91.788927216111247</v>
      </c>
      <c r="E19" s="978">
        <f>SUM(E6:E18)</f>
        <v>2970</v>
      </c>
      <c r="F19" s="979">
        <f>SUM(F6:F18)</f>
        <v>39813</v>
      </c>
      <c r="G19" s="980">
        <f t="shared" si="1"/>
        <v>92.540125084771304</v>
      </c>
    </row>
    <row r="20" spans="1:7" s="337" customFormat="1" ht="23.25" customHeight="1">
      <c r="A20" s="993" t="s">
        <v>1168</v>
      </c>
      <c r="B20" s="325"/>
      <c r="C20" s="325"/>
      <c r="D20" s="992"/>
      <c r="E20" s="325"/>
      <c r="F20" s="325"/>
      <c r="G20" s="992"/>
    </row>
    <row r="21" spans="1:7" s="337" customFormat="1" ht="23.25" customHeight="1">
      <c r="A21" s="991"/>
      <c r="B21" s="325"/>
      <c r="C21" s="325"/>
      <c r="D21" s="992"/>
      <c r="E21" s="325"/>
      <c r="F21" s="325"/>
      <c r="G21" s="992"/>
    </row>
    <row r="22" spans="1:7" s="337" customFormat="1" ht="23.25" customHeight="1">
      <c r="A22"/>
      <c r="B22"/>
      <c r="C22" s="115"/>
      <c r="D22"/>
      <c r="E22"/>
      <c r="F22"/>
    </row>
    <row r="23" spans="1:7" s="337" customFormat="1" ht="23.25" customHeight="1">
      <c r="A23"/>
      <c r="B23"/>
      <c r="C23"/>
      <c r="D23"/>
      <c r="E23"/>
      <c r="F23"/>
    </row>
    <row r="24" spans="1:7" s="337" customFormat="1" ht="23.25" customHeight="1">
      <c r="A24"/>
      <c r="B24"/>
      <c r="C24"/>
      <c r="D24"/>
      <c r="E24"/>
      <c r="F24"/>
    </row>
    <row r="25" spans="1:7" s="337" customFormat="1" ht="23.25" customHeight="1">
      <c r="A25"/>
      <c r="B25"/>
      <c r="C25"/>
      <c r="D25"/>
      <c r="E25"/>
      <c r="F25"/>
    </row>
    <row r="26" spans="1:7" s="337" customFormat="1" ht="23.25" customHeight="1">
      <c r="A26"/>
      <c r="B26"/>
      <c r="C26"/>
      <c r="D26"/>
      <c r="E26"/>
      <c r="F26"/>
    </row>
    <row r="27" spans="1:7" s="337" customFormat="1" ht="23.25" customHeight="1">
      <c r="A27"/>
      <c r="B27"/>
      <c r="C27"/>
      <c r="D27"/>
      <c r="E27"/>
      <c r="F27"/>
    </row>
    <row r="28" spans="1:7" s="337" customFormat="1" ht="23.25" customHeight="1">
      <c r="A28"/>
      <c r="B28"/>
      <c r="C28"/>
      <c r="D28"/>
      <c r="E28"/>
      <c r="F28"/>
    </row>
    <row r="29" spans="1:7" s="337" customFormat="1" ht="23.25" customHeight="1">
      <c r="A29"/>
      <c r="B29"/>
      <c r="C29"/>
      <c r="D29"/>
      <c r="E29"/>
      <c r="F29"/>
    </row>
    <row r="30" spans="1:7" s="337" customFormat="1" ht="23.25" customHeight="1">
      <c r="A30"/>
      <c r="B30"/>
      <c r="C30"/>
      <c r="D30"/>
      <c r="E30"/>
      <c r="F30"/>
    </row>
    <row r="31" spans="1:7" s="337" customFormat="1" ht="23.25" customHeight="1">
      <c r="A31"/>
      <c r="B31"/>
      <c r="C31"/>
      <c r="D31"/>
      <c r="E31"/>
      <c r="F31"/>
    </row>
    <row r="32" spans="1:7" s="337" customFormat="1" ht="23.25" customHeight="1">
      <c r="A32"/>
      <c r="B32"/>
      <c r="C32"/>
      <c r="D32"/>
      <c r="E32"/>
      <c r="F32"/>
    </row>
    <row r="33" spans="1:6" s="337" customFormat="1" ht="23.25" customHeight="1">
      <c r="A33"/>
      <c r="B33"/>
      <c r="C33"/>
      <c r="D33"/>
      <c r="E33"/>
      <c r="F33"/>
    </row>
    <row r="34" spans="1:6" s="337" customFormat="1" ht="23.25" customHeight="1">
      <c r="A34"/>
      <c r="B34"/>
      <c r="C34"/>
      <c r="D34"/>
      <c r="E34"/>
      <c r="F34"/>
    </row>
    <row r="35" spans="1:6" s="337" customFormat="1" ht="23.25" customHeight="1">
      <c r="A35"/>
      <c r="B35"/>
      <c r="C35"/>
      <c r="D35"/>
      <c r="E35"/>
      <c r="F35"/>
    </row>
    <row r="36" spans="1:6" s="337" customFormat="1" ht="23.25" customHeight="1">
      <c r="A36"/>
      <c r="B36"/>
      <c r="C36"/>
      <c r="D36"/>
      <c r="E36"/>
      <c r="F36"/>
    </row>
    <row r="37" spans="1:6" s="337" customFormat="1" ht="23.25" customHeight="1">
      <c r="A37"/>
      <c r="B37"/>
      <c r="C37"/>
      <c r="D37"/>
      <c r="E37"/>
      <c r="F37"/>
    </row>
    <row r="38" spans="1:6" s="337" customFormat="1" ht="23.25" customHeight="1">
      <c r="A38"/>
      <c r="B38"/>
      <c r="C38"/>
      <c r="D38"/>
      <c r="E38"/>
      <c r="F38"/>
    </row>
    <row r="39" spans="1:6" ht="23.25" customHeight="1">
      <c r="A39"/>
      <c r="B39"/>
      <c r="C39"/>
      <c r="D39"/>
      <c r="E39"/>
    </row>
    <row r="40" spans="1:6">
      <c r="A40"/>
      <c r="B40"/>
      <c r="C40"/>
      <c r="D40"/>
      <c r="E40"/>
    </row>
    <row r="41" spans="1:6">
      <c r="A41"/>
      <c r="B41"/>
      <c r="C41"/>
      <c r="D41"/>
      <c r="E41"/>
    </row>
    <row r="42" spans="1:6">
      <c r="A42"/>
      <c r="B42"/>
      <c r="C42"/>
      <c r="D42"/>
      <c r="E42"/>
    </row>
    <row r="43" spans="1:6">
      <c r="A43"/>
      <c r="B43"/>
      <c r="C43"/>
      <c r="D43"/>
      <c r="E43"/>
    </row>
    <row r="44" spans="1:6">
      <c r="A44"/>
      <c r="B44"/>
      <c r="C44"/>
      <c r="D44"/>
      <c r="E44"/>
    </row>
    <row r="45" spans="1:6">
      <c r="A45"/>
      <c r="C45"/>
      <c r="D45"/>
      <c r="E45"/>
    </row>
    <row r="46" spans="1:6">
      <c r="C46"/>
    </row>
  </sheetData>
  <mergeCells count="3">
    <mergeCell ref="A1:G1"/>
    <mergeCell ref="B4:D4"/>
    <mergeCell ref="E4:G4"/>
  </mergeCells>
  <pageMargins left="0.78740157480314965" right="0.78740157480314965" top="1.2204724409448819" bottom="0.78740157480314965" header="0" footer="0"/>
  <pageSetup paperSize="5" scale="80" orientation="portrait" horizontalDpi="300" verticalDpi="300" r:id="rId1"/>
  <headerFooter alignWithMargins="0"/>
  <ignoredErrors>
    <ignoredError sqref="D19" formula="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
  <sheetViews>
    <sheetView zoomScale="75" workbookViewId="0">
      <selection activeCell="A2" sqref="A2:J2"/>
    </sheetView>
  </sheetViews>
  <sheetFormatPr baseColWidth="10" defaultRowHeight="13.2"/>
  <cols>
    <col min="1" max="1" width="69.5546875" customWidth="1"/>
    <col min="2" max="2" width="17.21875" customWidth="1"/>
    <col min="4" max="4" width="14.21875" customWidth="1"/>
    <col min="5" max="5" width="13.5546875" customWidth="1"/>
    <col min="7" max="7" width="14.21875" customWidth="1"/>
    <col min="8" max="8" width="12.21875" customWidth="1"/>
    <col min="9" max="9" width="13" customWidth="1"/>
    <col min="10" max="10" width="13.21875" customWidth="1"/>
  </cols>
  <sheetData>
    <row r="1" spans="1:13" ht="15.6">
      <c r="A1" s="1569" t="s">
        <v>1684</v>
      </c>
      <c r="B1" s="1569"/>
      <c r="C1" s="1569"/>
      <c r="D1" s="1569"/>
      <c r="E1" s="1569"/>
      <c r="F1" s="1569"/>
      <c r="G1" s="1569"/>
      <c r="H1" s="1569"/>
      <c r="I1" s="1569"/>
      <c r="J1" s="1569"/>
    </row>
    <row r="2" spans="1:13" ht="15.6">
      <c r="A2" s="1569" t="s">
        <v>1023</v>
      </c>
      <c r="B2" s="1569"/>
      <c r="C2" s="1569"/>
      <c r="D2" s="1569"/>
      <c r="E2" s="1569"/>
      <c r="F2" s="1569"/>
      <c r="G2" s="1569"/>
      <c r="H2" s="1569"/>
      <c r="I2" s="1569"/>
      <c r="J2" s="1569"/>
    </row>
    <row r="3" spans="1:13">
      <c r="A3" s="562"/>
      <c r="B3" s="562"/>
      <c r="C3" s="562"/>
      <c r="D3" s="562"/>
      <c r="E3" s="562"/>
      <c r="F3" s="562"/>
      <c r="G3" s="562"/>
      <c r="H3" s="562"/>
    </row>
    <row r="4" spans="1:13" hidden="1">
      <c r="A4" s="82"/>
      <c r="B4" s="82"/>
      <c r="C4" s="82"/>
      <c r="D4" s="1669" t="s">
        <v>835</v>
      </c>
      <c r="E4" s="1670"/>
      <c r="F4" s="1670"/>
      <c r="G4" s="1670"/>
      <c r="H4" s="1670"/>
    </row>
    <row r="5" spans="1:13">
      <c r="A5" s="178"/>
      <c r="B5" s="178"/>
      <c r="C5" s="1671" t="s">
        <v>1024</v>
      </c>
      <c r="D5" s="1672"/>
      <c r="E5" s="1672"/>
      <c r="F5" s="1672"/>
      <c r="G5" s="1672"/>
      <c r="H5" s="1672"/>
      <c r="I5" s="1672"/>
      <c r="J5" s="1673"/>
    </row>
    <row r="6" spans="1:13" ht="31.5" customHeight="1">
      <c r="A6" s="563" t="s">
        <v>1025</v>
      </c>
      <c r="B6" s="564" t="s">
        <v>1026</v>
      </c>
      <c r="C6" s="565" t="s">
        <v>517</v>
      </c>
      <c r="D6" s="1441" t="s">
        <v>1027</v>
      </c>
      <c r="E6" s="1441" t="s">
        <v>1028</v>
      </c>
      <c r="F6" s="1441" t="s">
        <v>1029</v>
      </c>
      <c r="G6" s="1441" t="s">
        <v>1030</v>
      </c>
      <c r="H6" s="1441" t="s">
        <v>1031</v>
      </c>
      <c r="I6" s="1441" t="s">
        <v>1516</v>
      </c>
      <c r="J6" s="1441" t="s">
        <v>1517</v>
      </c>
    </row>
    <row r="7" spans="1:13" ht="15.6">
      <c r="A7" s="566"/>
      <c r="B7" s="567">
        <f t="shared" ref="B7:J7" si="0">SUM(B8:B91)</f>
        <v>0</v>
      </c>
      <c r="C7" s="568">
        <f t="shared" si="0"/>
        <v>0</v>
      </c>
      <c r="D7" s="568">
        <f t="shared" si="0"/>
        <v>0</v>
      </c>
      <c r="E7" s="568">
        <f t="shared" si="0"/>
        <v>0</v>
      </c>
      <c r="F7" s="568">
        <f t="shared" si="0"/>
        <v>0</v>
      </c>
      <c r="G7" s="568">
        <f t="shared" si="0"/>
        <v>0</v>
      </c>
      <c r="H7" s="568">
        <f t="shared" si="0"/>
        <v>0</v>
      </c>
      <c r="I7" s="568">
        <f t="shared" si="0"/>
        <v>0</v>
      </c>
      <c r="J7" s="568">
        <f t="shared" si="0"/>
        <v>0</v>
      </c>
      <c r="M7" s="115"/>
    </row>
    <row r="8" spans="1:13" s="6" customFormat="1" ht="23.25" customHeight="1">
      <c r="A8" s="569" t="s">
        <v>1032</v>
      </c>
      <c r="B8" s="570"/>
      <c r="C8" s="571">
        <f t="shared" ref="C8:C39" si="1">SUM(D8:H8)</f>
        <v>0</v>
      </c>
      <c r="D8" s="572"/>
      <c r="E8" s="572"/>
      <c r="F8" s="572"/>
      <c r="G8" s="572"/>
      <c r="H8" s="572"/>
      <c r="I8" s="62"/>
      <c r="J8" s="62"/>
    </row>
    <row r="9" spans="1:13" s="6" customFormat="1" ht="23.25" customHeight="1">
      <c r="A9" s="573" t="s">
        <v>1033</v>
      </c>
      <c r="B9" s="574"/>
      <c r="C9" s="575">
        <f t="shared" si="1"/>
        <v>0</v>
      </c>
      <c r="D9" s="576"/>
      <c r="E9" s="576"/>
      <c r="F9" s="576"/>
      <c r="G9" s="576"/>
      <c r="H9" s="576"/>
      <c r="I9" s="42"/>
      <c r="J9" s="42"/>
    </row>
    <row r="10" spans="1:13" s="6" customFormat="1" ht="23.25" customHeight="1">
      <c r="A10" s="573" t="s">
        <v>1034</v>
      </c>
      <c r="B10" s="574"/>
      <c r="C10" s="575">
        <f t="shared" si="1"/>
        <v>0</v>
      </c>
      <c r="D10" s="576"/>
      <c r="E10" s="576"/>
      <c r="F10" s="576"/>
      <c r="G10" s="576"/>
      <c r="H10" s="576"/>
      <c r="I10" s="42"/>
      <c r="J10" s="42"/>
    </row>
    <row r="11" spans="1:13" s="6" customFormat="1" ht="23.25" customHeight="1">
      <c r="A11" s="573" t="s">
        <v>1035</v>
      </c>
      <c r="B11" s="574"/>
      <c r="C11" s="575">
        <f t="shared" si="1"/>
        <v>0</v>
      </c>
      <c r="D11" s="576"/>
      <c r="E11" s="576"/>
      <c r="F11" s="576"/>
      <c r="G11" s="576"/>
      <c r="H11" s="576"/>
      <c r="I11" s="42"/>
      <c r="J11" s="42"/>
    </row>
    <row r="12" spans="1:13" s="6" customFormat="1" ht="23.25" customHeight="1">
      <c r="A12" s="573" t="s">
        <v>1036</v>
      </c>
      <c r="B12" s="574"/>
      <c r="C12" s="575">
        <f t="shared" si="1"/>
        <v>0</v>
      </c>
      <c r="D12" s="576"/>
      <c r="E12" s="576"/>
      <c r="F12" s="576"/>
      <c r="G12" s="576"/>
      <c r="H12" s="576"/>
      <c r="I12" s="42"/>
      <c r="J12" s="42"/>
    </row>
    <row r="13" spans="1:13" s="6" customFormat="1" ht="22.5" customHeight="1">
      <c r="A13" s="573" t="s">
        <v>1037</v>
      </c>
      <c r="B13" s="574"/>
      <c r="C13" s="575">
        <f t="shared" si="1"/>
        <v>0</v>
      </c>
      <c r="D13" s="576"/>
      <c r="E13" s="576"/>
      <c r="F13" s="576"/>
      <c r="G13" s="576"/>
      <c r="H13" s="576"/>
      <c r="I13" s="42"/>
      <c r="J13" s="42"/>
    </row>
    <row r="14" spans="1:13" s="6" customFormat="1" ht="22.5" customHeight="1">
      <c r="A14" s="573" t="s">
        <v>1038</v>
      </c>
      <c r="B14" s="574"/>
      <c r="C14" s="575">
        <f t="shared" si="1"/>
        <v>0</v>
      </c>
      <c r="D14" s="576"/>
      <c r="E14" s="576"/>
      <c r="F14" s="576"/>
      <c r="G14" s="576"/>
      <c r="H14" s="576"/>
      <c r="I14" s="42"/>
      <c r="J14" s="42"/>
    </row>
    <row r="15" spans="1:13" s="6" customFormat="1" ht="22.5" customHeight="1">
      <c r="A15" s="573" t="s">
        <v>1039</v>
      </c>
      <c r="B15" s="574"/>
      <c r="C15" s="575">
        <f t="shared" si="1"/>
        <v>0</v>
      </c>
      <c r="D15" s="576"/>
      <c r="E15" s="576"/>
      <c r="F15" s="576"/>
      <c r="G15" s="576"/>
      <c r="H15" s="576"/>
      <c r="I15" s="42"/>
      <c r="J15" s="42"/>
    </row>
    <row r="16" spans="1:13" s="6" customFormat="1" ht="22.5" customHeight="1">
      <c r="A16" s="573" t="s">
        <v>1040</v>
      </c>
      <c r="B16" s="574"/>
      <c r="C16" s="575">
        <f t="shared" si="1"/>
        <v>0</v>
      </c>
      <c r="D16" s="576"/>
      <c r="E16" s="576"/>
      <c r="F16" s="576"/>
      <c r="G16" s="576"/>
      <c r="H16" s="576"/>
      <c r="I16" s="42"/>
      <c r="J16" s="42"/>
    </row>
    <row r="17" spans="1:10" s="6" customFormat="1" ht="22.5" customHeight="1">
      <c r="A17" s="573" t="s">
        <v>1041</v>
      </c>
      <c r="B17" s="574"/>
      <c r="C17" s="575">
        <f t="shared" si="1"/>
        <v>0</v>
      </c>
      <c r="D17" s="576"/>
      <c r="E17" s="576"/>
      <c r="F17" s="576"/>
      <c r="G17" s="576"/>
      <c r="H17" s="576"/>
      <c r="I17" s="42"/>
      <c r="J17" s="42"/>
    </row>
    <row r="18" spans="1:10" s="6" customFormat="1" ht="22.5" customHeight="1">
      <c r="A18" s="573" t="s">
        <v>1042</v>
      </c>
      <c r="B18" s="574"/>
      <c r="C18" s="575">
        <f t="shared" si="1"/>
        <v>0</v>
      </c>
      <c r="D18" s="576"/>
      <c r="E18" s="576"/>
      <c r="F18" s="576"/>
      <c r="G18" s="576"/>
      <c r="H18" s="576"/>
      <c r="I18" s="42"/>
      <c r="J18" s="42"/>
    </row>
    <row r="19" spans="1:10" s="6" customFormat="1" ht="22.5" customHeight="1">
      <c r="A19" s="573" t="s">
        <v>1043</v>
      </c>
      <c r="B19" s="574"/>
      <c r="C19" s="575">
        <f t="shared" si="1"/>
        <v>0</v>
      </c>
      <c r="D19" s="576"/>
      <c r="E19" s="576"/>
      <c r="F19" s="576"/>
      <c r="G19" s="576"/>
      <c r="H19" s="576"/>
      <c r="I19" s="42"/>
      <c r="J19" s="42"/>
    </row>
    <row r="20" spans="1:10" s="6" customFormat="1" ht="22.5" customHeight="1">
      <c r="A20" s="573" t="s">
        <v>1044</v>
      </c>
      <c r="B20" s="574"/>
      <c r="C20" s="575">
        <f t="shared" si="1"/>
        <v>0</v>
      </c>
      <c r="D20" s="576"/>
      <c r="E20" s="576"/>
      <c r="F20" s="576"/>
      <c r="G20" s="576"/>
      <c r="H20" s="576"/>
      <c r="I20" s="42"/>
      <c r="J20" s="42"/>
    </row>
    <row r="21" spans="1:10" s="6" customFormat="1" ht="22.5" customHeight="1">
      <c r="A21" s="573" t="s">
        <v>1045</v>
      </c>
      <c r="B21" s="574"/>
      <c r="C21" s="575">
        <f t="shared" si="1"/>
        <v>0</v>
      </c>
      <c r="D21" s="576"/>
      <c r="E21" s="576"/>
      <c r="F21" s="576"/>
      <c r="G21" s="576"/>
      <c r="H21" s="576"/>
      <c r="I21" s="42"/>
      <c r="J21" s="42"/>
    </row>
    <row r="22" spans="1:10" s="6" customFormat="1" ht="22.5" customHeight="1">
      <c r="A22" s="573" t="s">
        <v>1046</v>
      </c>
      <c r="B22" s="574"/>
      <c r="C22" s="575">
        <f>SUM(D22:J22)</f>
        <v>0</v>
      </c>
      <c r="D22" s="576"/>
      <c r="E22" s="576"/>
      <c r="F22" s="576"/>
      <c r="G22" s="576"/>
      <c r="H22" s="576"/>
      <c r="I22" s="576"/>
      <c r="J22" s="576"/>
    </row>
    <row r="23" spans="1:10" s="6" customFormat="1" ht="25.5" customHeight="1">
      <c r="A23" s="573" t="s">
        <v>1047</v>
      </c>
      <c r="B23" s="574"/>
      <c r="C23" s="575">
        <f t="shared" si="1"/>
        <v>0</v>
      </c>
      <c r="D23" s="576"/>
      <c r="E23" s="576"/>
      <c r="F23" s="576"/>
      <c r="G23" s="576"/>
      <c r="H23" s="576"/>
      <c r="I23" s="42"/>
      <c r="J23" s="42"/>
    </row>
    <row r="24" spans="1:10" s="6" customFormat="1" ht="25.5" customHeight="1">
      <c r="A24" s="573" t="s">
        <v>1048</v>
      </c>
      <c r="B24" s="574"/>
      <c r="C24" s="575">
        <f t="shared" si="1"/>
        <v>0</v>
      </c>
      <c r="D24" s="576"/>
      <c r="E24" s="576"/>
      <c r="F24" s="576"/>
      <c r="G24" s="576"/>
      <c r="H24" s="576"/>
      <c r="I24" s="42"/>
      <c r="J24" s="42"/>
    </row>
    <row r="25" spans="1:10" s="6" customFormat="1" ht="25.5" customHeight="1">
      <c r="A25" s="573" t="s">
        <v>1049</v>
      </c>
      <c r="B25" s="574"/>
      <c r="C25" s="575">
        <f t="shared" si="1"/>
        <v>0</v>
      </c>
      <c r="D25" s="576"/>
      <c r="E25" s="576"/>
      <c r="F25" s="576"/>
      <c r="G25" s="576"/>
      <c r="H25" s="576"/>
      <c r="I25" s="42"/>
      <c r="J25" s="42"/>
    </row>
    <row r="26" spans="1:10" s="6" customFormat="1" ht="25.5" customHeight="1">
      <c r="A26" s="573" t="s">
        <v>1050</v>
      </c>
      <c r="B26" s="574"/>
      <c r="C26" s="575">
        <f t="shared" si="1"/>
        <v>0</v>
      </c>
      <c r="D26" s="576"/>
      <c r="E26" s="576"/>
      <c r="F26" s="576"/>
      <c r="G26" s="576"/>
      <c r="H26" s="576"/>
      <c r="I26" s="42"/>
      <c r="J26" s="42"/>
    </row>
    <row r="27" spans="1:10" s="6" customFormat="1" ht="25.5" customHeight="1">
      <c r="A27" s="573" t="s">
        <v>1051</v>
      </c>
      <c r="B27" s="574"/>
      <c r="C27" s="575">
        <f t="shared" si="1"/>
        <v>0</v>
      </c>
      <c r="D27" s="576"/>
      <c r="E27" s="576"/>
      <c r="F27" s="576"/>
      <c r="G27" s="576"/>
      <c r="H27" s="576"/>
      <c r="I27" s="42"/>
      <c r="J27" s="42"/>
    </row>
    <row r="28" spans="1:10" s="6" customFormat="1" ht="25.5" customHeight="1">
      <c r="A28" s="573" t="s">
        <v>1052</v>
      </c>
      <c r="B28" s="574"/>
      <c r="C28" s="575">
        <f t="shared" si="1"/>
        <v>0</v>
      </c>
      <c r="D28" s="576"/>
      <c r="E28" s="576"/>
      <c r="F28" s="576"/>
      <c r="G28" s="576"/>
      <c r="H28" s="576"/>
      <c r="I28" s="42"/>
      <c r="J28" s="42"/>
    </row>
    <row r="29" spans="1:10" s="6" customFormat="1" ht="25.5" customHeight="1">
      <c r="A29" s="573" t="s">
        <v>1053</v>
      </c>
      <c r="B29" s="574"/>
      <c r="C29" s="575">
        <f t="shared" si="1"/>
        <v>0</v>
      </c>
      <c r="D29" s="576"/>
      <c r="E29" s="576"/>
      <c r="F29" s="576"/>
      <c r="G29" s="576"/>
      <c r="H29" s="576"/>
      <c r="I29" s="42"/>
      <c r="J29" s="42"/>
    </row>
    <row r="30" spans="1:10" s="6" customFormat="1" ht="25.5" customHeight="1">
      <c r="A30" s="573" t="s">
        <v>1054</v>
      </c>
      <c r="B30" s="574"/>
      <c r="C30" s="575">
        <f t="shared" si="1"/>
        <v>0</v>
      </c>
      <c r="D30" s="576"/>
      <c r="E30" s="576"/>
      <c r="F30" s="576"/>
      <c r="G30" s="576"/>
      <c r="H30" s="576"/>
      <c r="I30" s="42"/>
      <c r="J30" s="42"/>
    </row>
    <row r="31" spans="1:10" s="6" customFormat="1" ht="25.5" customHeight="1">
      <c r="A31" s="573" t="s">
        <v>1055</v>
      </c>
      <c r="B31" s="574"/>
      <c r="C31" s="575">
        <f t="shared" si="1"/>
        <v>0</v>
      </c>
      <c r="D31" s="576"/>
      <c r="E31" s="576"/>
      <c r="F31" s="576"/>
      <c r="G31" s="576"/>
      <c r="H31" s="576"/>
      <c r="I31" s="42"/>
      <c r="J31" s="42"/>
    </row>
    <row r="32" spans="1:10" s="6" customFormat="1" ht="25.5" customHeight="1">
      <c r="A32" s="573" t="s">
        <v>1056</v>
      </c>
      <c r="B32" s="574"/>
      <c r="C32" s="575">
        <f t="shared" si="1"/>
        <v>0</v>
      </c>
      <c r="D32" s="576"/>
      <c r="E32" s="576"/>
      <c r="F32" s="576"/>
      <c r="G32" s="576"/>
      <c r="H32" s="576"/>
      <c r="I32" s="42"/>
      <c r="J32" s="42"/>
    </row>
    <row r="33" spans="1:10" s="6" customFormat="1" ht="25.5" customHeight="1">
      <c r="A33" s="573" t="s">
        <v>1057</v>
      </c>
      <c r="B33" s="574"/>
      <c r="C33" s="575">
        <f t="shared" si="1"/>
        <v>0</v>
      </c>
      <c r="D33" s="576"/>
      <c r="E33" s="576"/>
      <c r="F33" s="576"/>
      <c r="G33" s="576"/>
      <c r="H33" s="576"/>
      <c r="I33" s="42"/>
      <c r="J33" s="42"/>
    </row>
    <row r="34" spans="1:10" s="6" customFormat="1" ht="25.5" customHeight="1">
      <c r="A34" s="573" t="s">
        <v>1058</v>
      </c>
      <c r="B34" s="574"/>
      <c r="C34" s="575">
        <f t="shared" si="1"/>
        <v>0</v>
      </c>
      <c r="D34" s="576"/>
      <c r="E34" s="576"/>
      <c r="F34" s="576"/>
      <c r="G34" s="576"/>
      <c r="H34" s="576"/>
      <c r="I34" s="42"/>
      <c r="J34" s="42"/>
    </row>
    <row r="35" spans="1:10" s="6" customFormat="1" ht="25.5" customHeight="1">
      <c r="A35" s="573" t="s">
        <v>1059</v>
      </c>
      <c r="B35" s="574"/>
      <c r="C35" s="575">
        <f t="shared" si="1"/>
        <v>0</v>
      </c>
      <c r="D35" s="576"/>
      <c r="E35" s="576"/>
      <c r="F35" s="576"/>
      <c r="G35" s="576"/>
      <c r="H35" s="576"/>
      <c r="I35" s="42"/>
      <c r="J35" s="42"/>
    </row>
    <row r="36" spans="1:10" s="6" customFormat="1" ht="25.5" customHeight="1">
      <c r="A36" s="573" t="s">
        <v>1060</v>
      </c>
      <c r="B36" s="574"/>
      <c r="C36" s="575">
        <f t="shared" si="1"/>
        <v>0</v>
      </c>
      <c r="D36" s="576"/>
      <c r="E36" s="576"/>
      <c r="F36" s="576"/>
      <c r="G36" s="576"/>
      <c r="H36" s="576"/>
      <c r="I36" s="42"/>
      <c r="J36" s="42"/>
    </row>
    <row r="37" spans="1:10" s="6" customFormat="1" ht="25.5" customHeight="1">
      <c r="A37" s="573" t="s">
        <v>1061</v>
      </c>
      <c r="B37" s="574"/>
      <c r="C37" s="575">
        <f t="shared" si="1"/>
        <v>0</v>
      </c>
      <c r="D37" s="576"/>
      <c r="E37" s="576"/>
      <c r="F37" s="576"/>
      <c r="G37" s="576"/>
      <c r="H37" s="576"/>
      <c r="I37" s="42"/>
      <c r="J37" s="42"/>
    </row>
    <row r="38" spans="1:10" s="6" customFormat="1" ht="25.5" customHeight="1">
      <c r="A38" s="573" t="s">
        <v>1062</v>
      </c>
      <c r="B38" s="574"/>
      <c r="C38" s="575">
        <f t="shared" si="1"/>
        <v>0</v>
      </c>
      <c r="D38" s="576"/>
      <c r="E38" s="576"/>
      <c r="F38" s="576"/>
      <c r="G38" s="576"/>
      <c r="H38" s="576"/>
      <c r="I38" s="42"/>
      <c r="J38" s="42"/>
    </row>
    <row r="39" spans="1:10" s="6" customFormat="1" ht="25.5" customHeight="1">
      <c r="A39" s="573" t="s">
        <v>1063</v>
      </c>
      <c r="B39" s="574"/>
      <c r="C39" s="575">
        <f t="shared" si="1"/>
        <v>0</v>
      </c>
      <c r="D39" s="576"/>
      <c r="E39" s="576"/>
      <c r="F39" s="576"/>
      <c r="G39" s="576"/>
      <c r="H39" s="576"/>
      <c r="I39" s="42"/>
      <c r="J39" s="42"/>
    </row>
    <row r="40" spans="1:10" s="6" customFormat="1" ht="25.5" customHeight="1">
      <c r="A40" s="573" t="s">
        <v>1064</v>
      </c>
      <c r="B40" s="574"/>
      <c r="C40" s="575">
        <f t="shared" ref="C40:C68" si="2">SUM(D40:H40)</f>
        <v>0</v>
      </c>
      <c r="D40" s="576"/>
      <c r="E40" s="576"/>
      <c r="F40" s="576"/>
      <c r="G40" s="576"/>
      <c r="H40" s="576"/>
      <c r="I40" s="42"/>
      <c r="J40" s="42"/>
    </row>
    <row r="41" spans="1:10" s="6" customFormat="1" ht="25.5" customHeight="1">
      <c r="A41" s="573" t="s">
        <v>1065</v>
      </c>
      <c r="B41" s="574"/>
      <c r="C41" s="575">
        <f t="shared" si="2"/>
        <v>0</v>
      </c>
      <c r="D41" s="576"/>
      <c r="E41" s="576"/>
      <c r="F41" s="576"/>
      <c r="G41" s="576"/>
      <c r="H41" s="576"/>
      <c r="I41" s="42"/>
      <c r="J41" s="42"/>
    </row>
    <row r="42" spans="1:10" s="6" customFormat="1" ht="25.5" customHeight="1">
      <c r="A42" s="573" t="s">
        <v>1066</v>
      </c>
      <c r="B42" s="574"/>
      <c r="C42" s="575">
        <f t="shared" si="2"/>
        <v>0</v>
      </c>
      <c r="D42" s="576"/>
      <c r="E42" s="576"/>
      <c r="F42" s="576"/>
      <c r="G42" s="576"/>
      <c r="H42" s="576"/>
      <c r="I42" s="42"/>
      <c r="J42" s="42"/>
    </row>
    <row r="43" spans="1:10" s="6" customFormat="1" ht="25.5" customHeight="1">
      <c r="A43" s="573" t="s">
        <v>1067</v>
      </c>
      <c r="B43" s="574"/>
      <c r="C43" s="575">
        <f t="shared" si="2"/>
        <v>0</v>
      </c>
      <c r="D43" s="576"/>
      <c r="E43" s="576"/>
      <c r="F43" s="576"/>
      <c r="G43" s="576"/>
      <c r="H43" s="576"/>
      <c r="I43" s="42"/>
      <c r="J43" s="42"/>
    </row>
    <row r="44" spans="1:10" s="6" customFormat="1" ht="25.5" customHeight="1">
      <c r="A44" s="573" t="s">
        <v>1068</v>
      </c>
      <c r="B44" s="574"/>
      <c r="C44" s="575">
        <f>SUM(D44:J44)</f>
        <v>0</v>
      </c>
      <c r="D44" s="576"/>
      <c r="E44" s="576"/>
      <c r="F44" s="576"/>
      <c r="G44" s="576"/>
      <c r="H44" s="576"/>
      <c r="I44" s="576"/>
      <c r="J44" s="576"/>
    </row>
    <row r="45" spans="1:10" s="6" customFormat="1" ht="25.5" customHeight="1">
      <c r="A45" s="573" t="s">
        <v>1069</v>
      </c>
      <c r="B45" s="574"/>
      <c r="C45" s="575">
        <f t="shared" si="2"/>
        <v>0</v>
      </c>
      <c r="D45" s="576"/>
      <c r="E45" s="576"/>
      <c r="F45" s="576"/>
      <c r="G45" s="576"/>
      <c r="H45" s="576"/>
      <c r="I45" s="42"/>
      <c r="J45" s="42"/>
    </row>
    <row r="46" spans="1:10" s="6" customFormat="1" ht="25.5" customHeight="1">
      <c r="A46" s="573" t="s">
        <v>1070</v>
      </c>
      <c r="B46" s="574"/>
      <c r="C46" s="575">
        <f t="shared" si="2"/>
        <v>0</v>
      </c>
      <c r="D46" s="576"/>
      <c r="E46" s="576"/>
      <c r="F46" s="576"/>
      <c r="G46" s="576"/>
      <c r="H46" s="576"/>
      <c r="I46" s="42"/>
      <c r="J46" s="42"/>
    </row>
    <row r="47" spans="1:10" s="6" customFormat="1" ht="25.5" customHeight="1">
      <c r="A47" s="573" t="s">
        <v>1071</v>
      </c>
      <c r="B47" s="574"/>
      <c r="C47" s="575">
        <f t="shared" si="2"/>
        <v>0</v>
      </c>
      <c r="D47" s="576"/>
      <c r="E47" s="576"/>
      <c r="F47" s="576"/>
      <c r="G47" s="576"/>
      <c r="H47" s="576"/>
      <c r="I47" s="42"/>
      <c r="J47" s="42"/>
    </row>
    <row r="48" spans="1:10" s="6" customFormat="1" ht="25.5" customHeight="1">
      <c r="A48" s="573" t="s">
        <v>1072</v>
      </c>
      <c r="B48" s="574"/>
      <c r="C48" s="575">
        <f t="shared" si="2"/>
        <v>0</v>
      </c>
      <c r="D48" s="576"/>
      <c r="E48" s="576"/>
      <c r="F48" s="576"/>
      <c r="G48" s="576"/>
      <c r="H48" s="576"/>
      <c r="I48" s="42"/>
      <c r="J48" s="42"/>
    </row>
    <row r="49" spans="1:10" s="6" customFormat="1" ht="25.5" customHeight="1">
      <c r="A49" s="1058" t="s">
        <v>1073</v>
      </c>
      <c r="B49" s="574"/>
      <c r="C49" s="575">
        <f t="shared" si="2"/>
        <v>0</v>
      </c>
      <c r="D49" s="576"/>
      <c r="E49" s="576"/>
      <c r="F49" s="576"/>
      <c r="G49" s="576"/>
      <c r="H49" s="576"/>
      <c r="I49" s="42"/>
      <c r="J49" s="42"/>
    </row>
    <row r="50" spans="1:10" s="6" customFormat="1" ht="25.5" customHeight="1">
      <c r="A50" s="1060" t="s">
        <v>1074</v>
      </c>
      <c r="B50" s="1057"/>
      <c r="C50" s="575">
        <f t="shared" si="2"/>
        <v>0</v>
      </c>
      <c r="D50" s="576"/>
      <c r="E50" s="576"/>
      <c r="F50" s="576"/>
      <c r="G50" s="576"/>
      <c r="H50" s="576"/>
      <c r="I50" s="42"/>
      <c r="J50" s="42"/>
    </row>
    <row r="51" spans="1:10" s="6" customFormat="1" ht="25.5" customHeight="1">
      <c r="A51" s="1059" t="s">
        <v>1075</v>
      </c>
      <c r="B51" s="574"/>
      <c r="C51" s="575">
        <f t="shared" si="2"/>
        <v>0</v>
      </c>
      <c r="D51" s="576"/>
      <c r="E51" s="576"/>
      <c r="F51" s="576"/>
      <c r="G51" s="576"/>
      <c r="H51" s="576"/>
      <c r="I51" s="42"/>
      <c r="J51" s="42"/>
    </row>
    <row r="52" spans="1:10" s="6" customFormat="1" ht="25.5" customHeight="1">
      <c r="A52" s="578" t="s">
        <v>1076</v>
      </c>
      <c r="B52" s="574"/>
      <c r="C52" s="575">
        <f t="shared" si="2"/>
        <v>0</v>
      </c>
      <c r="D52" s="576"/>
      <c r="E52" s="576"/>
      <c r="F52" s="576"/>
      <c r="G52" s="576"/>
      <c r="H52" s="576"/>
      <c r="I52" s="42"/>
      <c r="J52" s="42"/>
    </row>
    <row r="53" spans="1:10" s="6" customFormat="1" ht="25.5" customHeight="1">
      <c r="A53" s="578" t="s">
        <v>1077</v>
      </c>
      <c r="B53" s="574"/>
      <c r="C53" s="575">
        <f t="shared" si="2"/>
        <v>0</v>
      </c>
      <c r="D53" s="576"/>
      <c r="E53" s="576"/>
      <c r="F53" s="576"/>
      <c r="G53" s="576"/>
      <c r="H53" s="576"/>
      <c r="I53" s="42"/>
      <c r="J53" s="42"/>
    </row>
    <row r="54" spans="1:10" s="6" customFormat="1" ht="25.5" customHeight="1">
      <c r="A54" s="573" t="s">
        <v>1078</v>
      </c>
      <c r="B54" s="574"/>
      <c r="C54" s="575">
        <f t="shared" si="2"/>
        <v>0</v>
      </c>
      <c r="D54" s="576"/>
      <c r="E54" s="576"/>
      <c r="F54" s="576"/>
      <c r="G54" s="576"/>
      <c r="H54" s="576"/>
      <c r="I54" s="42"/>
      <c r="J54" s="42"/>
    </row>
    <row r="55" spans="1:10" s="6" customFormat="1" ht="25.5" customHeight="1">
      <c r="A55" s="573" t="s">
        <v>1079</v>
      </c>
      <c r="B55" s="574"/>
      <c r="C55" s="575">
        <f t="shared" si="2"/>
        <v>0</v>
      </c>
      <c r="D55" s="576"/>
      <c r="E55" s="576"/>
      <c r="F55" s="576"/>
      <c r="G55" s="576"/>
      <c r="H55" s="576"/>
      <c r="I55" s="42"/>
      <c r="J55" s="42"/>
    </row>
    <row r="56" spans="1:10" s="6" customFormat="1" ht="25.5" customHeight="1">
      <c r="A56" s="573" t="s">
        <v>1080</v>
      </c>
      <c r="B56" s="574"/>
      <c r="C56" s="575">
        <f t="shared" si="2"/>
        <v>0</v>
      </c>
      <c r="D56" s="576"/>
      <c r="E56" s="576"/>
      <c r="F56" s="576"/>
      <c r="G56" s="576"/>
      <c r="H56" s="576"/>
      <c r="I56" s="42"/>
      <c r="J56" s="42"/>
    </row>
    <row r="57" spans="1:10" s="6" customFormat="1" ht="25.5" customHeight="1">
      <c r="A57" s="573" t="s">
        <v>1081</v>
      </c>
      <c r="B57" s="574"/>
      <c r="C57" s="575">
        <f t="shared" si="2"/>
        <v>0</v>
      </c>
      <c r="D57" s="576"/>
      <c r="E57" s="576"/>
      <c r="F57" s="576"/>
      <c r="G57" s="576"/>
      <c r="H57" s="576"/>
      <c r="I57" s="42"/>
      <c r="J57" s="42"/>
    </row>
    <row r="58" spans="1:10" s="6" customFormat="1" ht="25.5" customHeight="1">
      <c r="A58" s="573" t="s">
        <v>1082</v>
      </c>
      <c r="B58" s="574"/>
      <c r="C58" s="575">
        <f t="shared" si="2"/>
        <v>0</v>
      </c>
      <c r="D58" s="576"/>
      <c r="E58" s="576"/>
      <c r="F58" s="576"/>
      <c r="G58" s="576"/>
      <c r="H58" s="576"/>
      <c r="I58" s="42"/>
      <c r="J58" s="42"/>
    </row>
    <row r="59" spans="1:10" s="6" customFormat="1" ht="25.5" customHeight="1">
      <c r="A59" s="573" t="s">
        <v>1083</v>
      </c>
      <c r="B59" s="574"/>
      <c r="C59" s="575">
        <f t="shared" si="2"/>
        <v>0</v>
      </c>
      <c r="D59" s="576"/>
      <c r="E59" s="576"/>
      <c r="F59" s="576"/>
      <c r="G59" s="576"/>
      <c r="H59" s="576"/>
      <c r="I59" s="42"/>
      <c r="J59" s="42"/>
    </row>
    <row r="60" spans="1:10" s="6" customFormat="1" ht="25.5" customHeight="1">
      <c r="A60" s="578" t="s">
        <v>1084</v>
      </c>
      <c r="B60" s="574"/>
      <c r="C60" s="575">
        <f t="shared" si="2"/>
        <v>0</v>
      </c>
      <c r="D60" s="576"/>
      <c r="E60" s="576"/>
      <c r="F60" s="576"/>
      <c r="G60" s="576"/>
      <c r="H60" s="576"/>
      <c r="I60" s="42"/>
      <c r="J60" s="42"/>
    </row>
    <row r="61" spans="1:10" s="6" customFormat="1" ht="25.5" customHeight="1">
      <c r="A61" s="573" t="s">
        <v>1085</v>
      </c>
      <c r="B61" s="574"/>
      <c r="C61" s="575">
        <f t="shared" si="2"/>
        <v>0</v>
      </c>
      <c r="D61" s="576"/>
      <c r="E61" s="576"/>
      <c r="F61" s="576"/>
      <c r="G61" s="576"/>
      <c r="H61" s="576"/>
      <c r="I61" s="42"/>
      <c r="J61" s="42"/>
    </row>
    <row r="62" spans="1:10" s="6" customFormat="1" ht="25.5" customHeight="1">
      <c r="A62" s="573" t="s">
        <v>1086</v>
      </c>
      <c r="B62" s="574"/>
      <c r="C62" s="575">
        <f t="shared" si="2"/>
        <v>0</v>
      </c>
      <c r="D62" s="576"/>
      <c r="E62" s="576"/>
      <c r="F62" s="576"/>
      <c r="G62" s="576"/>
      <c r="H62" s="576"/>
      <c r="I62" s="42"/>
      <c r="J62" s="42"/>
    </row>
    <row r="63" spans="1:10" s="6" customFormat="1" ht="25.5" customHeight="1">
      <c r="A63" s="573" t="s">
        <v>1087</v>
      </c>
      <c r="B63" s="574"/>
      <c r="C63" s="575">
        <f t="shared" si="2"/>
        <v>0</v>
      </c>
      <c r="D63" s="576"/>
      <c r="E63" s="576"/>
      <c r="F63" s="576"/>
      <c r="G63" s="576"/>
      <c r="H63" s="576"/>
      <c r="I63" s="42"/>
      <c r="J63" s="42"/>
    </row>
    <row r="64" spans="1:10" s="6" customFormat="1" ht="25.5" customHeight="1">
      <c r="A64" s="578" t="s">
        <v>1088</v>
      </c>
      <c r="B64" s="574"/>
      <c r="C64" s="575">
        <f t="shared" si="2"/>
        <v>0</v>
      </c>
      <c r="D64" s="576"/>
      <c r="E64" s="576"/>
      <c r="F64" s="576"/>
      <c r="G64" s="576"/>
      <c r="H64" s="576"/>
      <c r="I64" s="42"/>
      <c r="J64" s="42"/>
    </row>
    <row r="65" spans="1:10" s="6" customFormat="1" ht="25.5" customHeight="1">
      <c r="A65" s="573" t="s">
        <v>1089</v>
      </c>
      <c r="B65" s="574"/>
      <c r="C65" s="575">
        <f t="shared" si="2"/>
        <v>0</v>
      </c>
      <c r="D65" s="576"/>
      <c r="E65" s="576"/>
      <c r="F65" s="576"/>
      <c r="G65" s="576"/>
      <c r="H65" s="576"/>
      <c r="I65" s="42"/>
      <c r="J65" s="42"/>
    </row>
    <row r="66" spans="1:10" s="6" customFormat="1" ht="25.5" customHeight="1">
      <c r="A66" s="573" t="s">
        <v>1090</v>
      </c>
      <c r="B66" s="574"/>
      <c r="C66" s="575">
        <f t="shared" si="2"/>
        <v>0</v>
      </c>
      <c r="D66" s="576"/>
      <c r="E66" s="576"/>
      <c r="F66" s="576"/>
      <c r="G66" s="576"/>
      <c r="H66" s="576"/>
      <c r="I66" s="42"/>
      <c r="J66" s="42"/>
    </row>
    <row r="67" spans="1:10" s="6" customFormat="1" ht="24.75" customHeight="1">
      <c r="A67" s="580" t="s">
        <v>1091</v>
      </c>
      <c r="B67" s="574"/>
      <c r="C67" s="576">
        <f t="shared" si="2"/>
        <v>0</v>
      </c>
      <c r="D67" s="579"/>
      <c r="E67" s="579"/>
      <c r="F67" s="579"/>
      <c r="G67" s="579"/>
      <c r="H67" s="579"/>
      <c r="I67" s="42"/>
      <c r="J67" s="42"/>
    </row>
    <row r="68" spans="1:10" ht="24.75" customHeight="1">
      <c r="A68" s="580" t="s">
        <v>708</v>
      </c>
      <c r="B68" s="574"/>
      <c r="C68" s="576">
        <f t="shared" si="2"/>
        <v>0</v>
      </c>
      <c r="D68" s="579"/>
      <c r="E68" s="579"/>
      <c r="F68" s="576"/>
      <c r="G68" s="577"/>
      <c r="H68" s="576"/>
      <c r="I68" s="191"/>
      <c r="J68" s="191"/>
    </row>
    <row r="69" spans="1:10" ht="24.75" customHeight="1">
      <c r="A69" s="580" t="s">
        <v>709</v>
      </c>
      <c r="B69" s="574"/>
      <c r="C69" s="576">
        <f t="shared" ref="C69:C90" si="3">SUM(D69:H69)</f>
        <v>0</v>
      </c>
      <c r="D69" s="579"/>
      <c r="E69" s="579"/>
      <c r="F69" s="576"/>
      <c r="G69" s="576"/>
      <c r="H69" s="576"/>
      <c r="I69" s="42"/>
      <c r="J69" s="42"/>
    </row>
    <row r="70" spans="1:10" ht="24.75" customHeight="1">
      <c r="A70" s="580" t="s">
        <v>702</v>
      </c>
      <c r="B70" s="574"/>
      <c r="C70" s="576">
        <f t="shared" si="3"/>
        <v>0</v>
      </c>
      <c r="D70" s="579"/>
      <c r="E70" s="579"/>
      <c r="F70" s="576"/>
      <c r="G70" s="576"/>
      <c r="H70" s="576"/>
      <c r="I70" s="191"/>
      <c r="J70" s="191"/>
    </row>
    <row r="71" spans="1:10" ht="24.75" customHeight="1">
      <c r="A71" s="580" t="s">
        <v>703</v>
      </c>
      <c r="B71" s="574"/>
      <c r="C71" s="576">
        <f t="shared" si="3"/>
        <v>0</v>
      </c>
      <c r="D71" s="579"/>
      <c r="E71" s="579"/>
      <c r="F71" s="576"/>
      <c r="G71" s="576"/>
      <c r="H71" s="576"/>
      <c r="I71" s="191"/>
      <c r="J71" s="191"/>
    </row>
    <row r="72" spans="1:10" ht="24.75" customHeight="1">
      <c r="A72" s="580" t="s">
        <v>704</v>
      </c>
      <c r="B72" s="574"/>
      <c r="C72" s="576">
        <f t="shared" si="3"/>
        <v>0</v>
      </c>
      <c r="D72" s="579"/>
      <c r="E72" s="579"/>
      <c r="F72" s="576"/>
      <c r="G72" s="576"/>
      <c r="H72" s="576"/>
      <c r="I72" s="191"/>
      <c r="J72" s="191"/>
    </row>
    <row r="73" spans="1:10" ht="24.75" customHeight="1">
      <c r="A73" s="580" t="s">
        <v>705</v>
      </c>
      <c r="B73" s="574"/>
      <c r="C73" s="576">
        <f t="shared" si="3"/>
        <v>0</v>
      </c>
      <c r="D73" s="579"/>
      <c r="E73" s="579"/>
      <c r="F73" s="576"/>
      <c r="G73" s="576"/>
      <c r="H73" s="576"/>
      <c r="I73" s="191"/>
      <c r="J73" s="191"/>
    </row>
    <row r="74" spans="1:10" ht="24.75" customHeight="1">
      <c r="A74" s="580" t="s">
        <v>706</v>
      </c>
      <c r="B74" s="574"/>
      <c r="C74" s="576">
        <f t="shared" si="3"/>
        <v>0</v>
      </c>
      <c r="D74" s="579"/>
      <c r="E74" s="579"/>
      <c r="F74" s="576"/>
      <c r="G74" s="576"/>
      <c r="H74" s="576"/>
      <c r="I74" s="191"/>
      <c r="J74" s="191"/>
    </row>
    <row r="75" spans="1:10" ht="24.75" customHeight="1">
      <c r="A75" s="580" t="s">
        <v>707</v>
      </c>
      <c r="B75" s="574"/>
      <c r="C75" s="576">
        <f t="shared" si="3"/>
        <v>0</v>
      </c>
      <c r="D75" s="579"/>
      <c r="E75" s="579"/>
      <c r="F75" s="576"/>
      <c r="G75" s="576"/>
      <c r="H75" s="576"/>
      <c r="I75" s="191"/>
      <c r="J75" s="191"/>
    </row>
    <row r="76" spans="1:10" ht="24.75" customHeight="1">
      <c r="A76" s="580" t="s">
        <v>698</v>
      </c>
      <c r="B76" s="574"/>
      <c r="C76" s="576">
        <f t="shared" si="3"/>
        <v>0</v>
      </c>
      <c r="D76" s="579"/>
      <c r="E76" s="579"/>
      <c r="F76" s="576"/>
      <c r="G76" s="576"/>
      <c r="H76" s="576"/>
      <c r="I76" s="191"/>
      <c r="J76" s="191"/>
    </row>
    <row r="77" spans="1:10" ht="24.75" customHeight="1">
      <c r="A77" s="580" t="s">
        <v>699</v>
      </c>
      <c r="B77" s="574"/>
      <c r="C77" s="576">
        <f t="shared" si="3"/>
        <v>0</v>
      </c>
      <c r="D77" s="579"/>
      <c r="E77" s="579"/>
      <c r="F77" s="576"/>
      <c r="G77" s="576"/>
      <c r="H77" s="576"/>
      <c r="I77" s="42"/>
      <c r="J77" s="42"/>
    </row>
    <row r="78" spans="1:10" ht="25.5" customHeight="1">
      <c r="A78" s="580" t="s">
        <v>700</v>
      </c>
      <c r="B78" s="574"/>
      <c r="C78" s="576">
        <f t="shared" si="3"/>
        <v>0</v>
      </c>
      <c r="D78" s="579"/>
      <c r="E78" s="579"/>
      <c r="F78" s="576"/>
      <c r="G78" s="576"/>
      <c r="H78" s="576"/>
      <c r="I78" s="191"/>
      <c r="J78" s="191"/>
    </row>
    <row r="79" spans="1:10" ht="25.5" customHeight="1">
      <c r="A79" s="580" t="s">
        <v>701</v>
      </c>
      <c r="B79" s="574"/>
      <c r="C79" s="576">
        <f t="shared" si="3"/>
        <v>0</v>
      </c>
      <c r="D79" s="579"/>
      <c r="E79" s="579"/>
      <c r="F79" s="576"/>
      <c r="G79" s="576"/>
      <c r="H79" s="576"/>
      <c r="I79" s="191"/>
      <c r="J79" s="191"/>
    </row>
    <row r="80" spans="1:10" ht="25.5" customHeight="1">
      <c r="A80" s="1015" t="s">
        <v>1206</v>
      </c>
      <c r="B80" s="574"/>
      <c r="C80" s="576">
        <f t="shared" si="3"/>
        <v>0</v>
      </c>
      <c r="D80" s="579"/>
      <c r="E80" s="579"/>
      <c r="F80" s="576"/>
      <c r="G80" s="576"/>
      <c r="H80" s="576"/>
      <c r="I80" s="191"/>
      <c r="J80" s="191"/>
    </row>
    <row r="81" spans="1:10" ht="25.5" customHeight="1">
      <c r="A81" s="1015" t="s">
        <v>1207</v>
      </c>
      <c r="B81" s="574"/>
      <c r="C81" s="576">
        <f t="shared" si="3"/>
        <v>0</v>
      </c>
      <c r="D81" s="579"/>
      <c r="E81" s="579"/>
      <c r="F81" s="576"/>
      <c r="G81" s="576"/>
      <c r="H81" s="576"/>
      <c r="I81" s="191"/>
      <c r="J81" s="191"/>
    </row>
    <row r="82" spans="1:10" ht="25.5" customHeight="1">
      <c r="A82" s="1015" t="s">
        <v>1400</v>
      </c>
      <c r="B82" s="574"/>
      <c r="C82" s="576">
        <f t="shared" si="3"/>
        <v>0</v>
      </c>
      <c r="D82" s="579"/>
      <c r="E82" s="579"/>
      <c r="F82" s="576"/>
      <c r="G82" s="576"/>
      <c r="H82" s="576"/>
      <c r="I82" s="191"/>
      <c r="J82" s="191"/>
    </row>
    <row r="83" spans="1:10" ht="25.5" customHeight="1">
      <c r="A83" s="1015" t="s">
        <v>1208</v>
      </c>
      <c r="B83" s="574"/>
      <c r="C83" s="576">
        <f t="shared" si="3"/>
        <v>0</v>
      </c>
      <c r="D83" s="579"/>
      <c r="E83" s="579"/>
      <c r="F83" s="576"/>
      <c r="G83" s="576"/>
      <c r="H83" s="576"/>
      <c r="I83" s="191"/>
      <c r="J83" s="191"/>
    </row>
    <row r="84" spans="1:10" ht="34.5" customHeight="1">
      <c r="A84" s="1015" t="s">
        <v>1396</v>
      </c>
      <c r="B84" s="574"/>
      <c r="C84" s="576">
        <f t="shared" si="3"/>
        <v>0</v>
      </c>
      <c r="D84" s="579"/>
      <c r="E84" s="579"/>
      <c r="F84" s="576"/>
      <c r="G84" s="576"/>
      <c r="H84" s="576"/>
      <c r="I84" s="191"/>
      <c r="J84" s="191"/>
    </row>
    <row r="85" spans="1:10" ht="26.25" customHeight="1">
      <c r="A85" s="1015" t="s">
        <v>1209</v>
      </c>
      <c r="B85" s="574"/>
      <c r="C85" s="576">
        <f>SUM(D85:J85)</f>
        <v>0</v>
      </c>
      <c r="D85" s="579"/>
      <c r="E85" s="579"/>
      <c r="F85" s="576"/>
      <c r="G85" s="576"/>
      <c r="H85" s="576"/>
      <c r="I85" s="576"/>
      <c r="J85" s="576"/>
    </row>
    <row r="86" spans="1:10" ht="26.25" customHeight="1">
      <c r="A86" s="1015" t="s">
        <v>1210</v>
      </c>
      <c r="B86" s="574"/>
      <c r="C86" s="576">
        <f t="shared" si="3"/>
        <v>0</v>
      </c>
      <c r="D86" s="579"/>
      <c r="E86" s="579"/>
      <c r="F86" s="576"/>
      <c r="G86" s="576"/>
      <c r="H86" s="576"/>
      <c r="I86" s="191"/>
      <c r="J86" s="191"/>
    </row>
    <row r="87" spans="1:10" ht="36" customHeight="1">
      <c r="A87" s="1015" t="s">
        <v>1398</v>
      </c>
      <c r="B87" s="574"/>
      <c r="C87" s="576">
        <f t="shared" si="3"/>
        <v>0</v>
      </c>
      <c r="D87" s="579"/>
      <c r="E87" s="579"/>
      <c r="F87" s="576"/>
      <c r="G87" s="576"/>
      <c r="H87" s="576"/>
      <c r="I87" s="191"/>
      <c r="J87" s="191"/>
    </row>
    <row r="88" spans="1:10" ht="29.25" customHeight="1">
      <c r="A88" s="1015" t="s">
        <v>1399</v>
      </c>
      <c r="B88" s="574"/>
      <c r="C88" s="576">
        <f t="shared" si="3"/>
        <v>0</v>
      </c>
      <c r="D88" s="579"/>
      <c r="E88" s="579"/>
      <c r="F88" s="576"/>
      <c r="G88" s="576"/>
      <c r="H88" s="576"/>
      <c r="I88" s="191"/>
      <c r="J88" s="191"/>
    </row>
    <row r="89" spans="1:10" ht="38.25" customHeight="1">
      <c r="A89" s="1015" t="s">
        <v>1397</v>
      </c>
      <c r="B89" s="574"/>
      <c r="C89" s="576">
        <f t="shared" si="3"/>
        <v>0</v>
      </c>
      <c r="D89" s="579"/>
      <c r="E89" s="579"/>
      <c r="F89" s="576"/>
      <c r="G89" s="576"/>
      <c r="H89" s="576"/>
      <c r="I89" s="191"/>
      <c r="J89" s="191"/>
    </row>
    <row r="90" spans="1:10" ht="38.25" customHeight="1">
      <c r="A90" s="1015" t="s">
        <v>1401</v>
      </c>
      <c r="B90" s="574"/>
      <c r="C90" s="576">
        <f t="shared" si="3"/>
        <v>0</v>
      </c>
      <c r="D90" s="579"/>
      <c r="E90" s="579"/>
      <c r="F90" s="576"/>
      <c r="G90" s="576"/>
      <c r="H90" s="576"/>
      <c r="I90" s="191"/>
      <c r="J90" s="191"/>
    </row>
    <row r="91" spans="1:10" ht="38.25" customHeight="1">
      <c r="A91" s="1376" t="s">
        <v>1490</v>
      </c>
      <c r="B91" s="1377"/>
      <c r="C91" s="581">
        <f t="shared" ref="C91" si="4">SUM(D91:H91)</f>
        <v>0</v>
      </c>
      <c r="D91" s="581"/>
      <c r="E91" s="581"/>
      <c r="F91" s="1375"/>
      <c r="G91" s="581"/>
      <c r="H91" s="581"/>
      <c r="I91" s="147"/>
      <c r="J91" s="147"/>
    </row>
    <row r="92" spans="1:10" ht="21" customHeight="1">
      <c r="A92" s="2" t="s">
        <v>1402</v>
      </c>
    </row>
  </sheetData>
  <mergeCells count="4">
    <mergeCell ref="D4:H4"/>
    <mergeCell ref="C5:J5"/>
    <mergeCell ref="A1:J1"/>
    <mergeCell ref="A2:J2"/>
  </mergeCells>
  <phoneticPr fontId="19" type="noConversion"/>
  <pageMargins left="0.98425196850393704" right="0.59055118110236227" top="0.39370078740157483" bottom="0.59055118110236227" header="0" footer="0"/>
  <pageSetup paperSize="5" scale="5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topLeftCell="A22" workbookViewId="0">
      <selection activeCell="D6" sqref="D6"/>
    </sheetView>
  </sheetViews>
  <sheetFormatPr baseColWidth="10" defaultRowHeight="13.2"/>
  <cols>
    <col min="1" max="1" width="14.77734375" customWidth="1"/>
    <col min="2" max="2" width="3.77734375" customWidth="1"/>
    <col min="3" max="3" width="5.21875" customWidth="1"/>
    <col min="4" max="4" width="13" customWidth="1"/>
    <col min="5" max="5" width="8.77734375" customWidth="1"/>
    <col min="6" max="6" width="14" customWidth="1"/>
    <col min="7" max="7" width="5.44140625" customWidth="1"/>
    <col min="8" max="8" width="2.44140625" customWidth="1"/>
    <col min="9" max="9" width="3.5546875" style="1278" customWidth="1"/>
    <col min="10" max="10" width="13.77734375" customWidth="1"/>
    <col min="11" max="11" width="5.44140625" customWidth="1"/>
    <col min="12" max="12" width="19.77734375" customWidth="1"/>
    <col min="13" max="13" width="6.21875" customWidth="1"/>
    <col min="14" max="14" width="2.77734375" customWidth="1"/>
    <col min="15" max="15" width="10.77734375" customWidth="1"/>
    <col min="16" max="16" width="3.44140625" customWidth="1"/>
    <col min="17" max="17" width="2.77734375" customWidth="1"/>
    <col min="18" max="18" width="6.77734375" customWidth="1"/>
    <col min="19" max="19" width="10.77734375" customWidth="1"/>
    <col min="20" max="20" width="3.5546875" customWidth="1"/>
    <col min="21" max="21" width="3.21875" customWidth="1"/>
    <col min="22" max="22" width="3.77734375" customWidth="1"/>
    <col min="23" max="23" width="3.21875" customWidth="1"/>
    <col min="24" max="24" width="17.21875" customWidth="1"/>
  </cols>
  <sheetData>
    <row r="1" spans="1:24" ht="18" customHeight="1">
      <c r="A1" s="1562" t="s">
        <v>400</v>
      </c>
      <c r="B1" s="1562"/>
      <c r="C1" s="1562"/>
      <c r="D1" s="1562"/>
      <c r="E1" s="1562"/>
      <c r="F1" s="1562"/>
      <c r="G1" s="1562"/>
      <c r="H1" s="1562"/>
      <c r="I1" s="1562"/>
      <c r="J1" s="1562"/>
      <c r="K1" s="1562"/>
      <c r="L1" s="1562"/>
      <c r="M1" s="1562"/>
      <c r="N1" s="1562"/>
      <c r="O1" s="1562"/>
      <c r="P1" s="1562"/>
      <c r="Q1" s="1562"/>
      <c r="R1" s="1562"/>
      <c r="S1" s="1562"/>
      <c r="T1" s="1562"/>
      <c r="U1" s="1562"/>
      <c r="V1" s="1562"/>
      <c r="W1" s="1562"/>
      <c r="X1" s="5"/>
    </row>
    <row r="2" spans="1:24" ht="19.5" customHeight="1">
      <c r="A2" s="1562" t="s">
        <v>401</v>
      </c>
      <c r="B2" s="1562"/>
      <c r="C2" s="1562"/>
      <c r="D2" s="1562"/>
      <c r="E2" s="1562"/>
      <c r="F2" s="1562"/>
      <c r="G2" s="1562"/>
      <c r="H2" s="1562"/>
      <c r="I2" s="1562"/>
      <c r="J2" s="1562"/>
      <c r="K2" s="1562"/>
      <c r="L2" s="1562"/>
      <c r="M2" s="1562"/>
      <c r="N2" s="1562"/>
      <c r="O2" s="1562"/>
      <c r="P2" s="1562"/>
      <c r="Q2" s="1562"/>
      <c r="R2" s="1562"/>
      <c r="S2" s="1562"/>
      <c r="T2" s="1562"/>
      <c r="U2" s="1562"/>
      <c r="V2" s="1562"/>
      <c r="W2" s="1562"/>
      <c r="X2" s="5"/>
    </row>
    <row r="3" spans="1:24">
      <c r="A3" s="6"/>
      <c r="B3" s="6"/>
      <c r="C3" s="6"/>
      <c r="D3" s="6"/>
      <c r="E3" s="6"/>
      <c r="F3" s="6"/>
      <c r="G3" s="6"/>
      <c r="H3" s="6"/>
      <c r="I3" s="669"/>
      <c r="J3" s="6"/>
      <c r="K3" s="6"/>
      <c r="L3" s="6"/>
      <c r="M3" s="6"/>
      <c r="N3" s="6"/>
      <c r="O3" s="6"/>
      <c r="P3" s="6"/>
      <c r="Q3" s="6"/>
      <c r="R3" s="6"/>
      <c r="S3" s="6"/>
      <c r="T3" s="6"/>
      <c r="U3" s="6"/>
      <c r="V3" s="6"/>
      <c r="W3" s="6"/>
      <c r="X3" s="6"/>
    </row>
    <row r="4" spans="1:24">
      <c r="A4" s="6"/>
      <c r="B4" s="6"/>
      <c r="C4" s="6"/>
      <c r="D4" s="6"/>
      <c r="E4" s="6"/>
      <c r="F4" s="6"/>
      <c r="G4" s="6"/>
      <c r="H4" s="6"/>
      <c r="I4" s="669"/>
      <c r="J4" s="6"/>
      <c r="K4" s="6"/>
      <c r="L4" s="6"/>
      <c r="M4" s="6"/>
      <c r="N4" s="6"/>
      <c r="O4" s="6"/>
      <c r="P4" s="6"/>
      <c r="Q4" s="6"/>
      <c r="R4" s="6"/>
      <c r="S4" s="6"/>
      <c r="T4" s="6"/>
      <c r="U4" s="6"/>
      <c r="V4" s="6"/>
      <c r="W4" s="6"/>
      <c r="X4" s="6"/>
    </row>
    <row r="5" spans="1:24">
      <c r="A5" s="6"/>
      <c r="B5" s="6"/>
      <c r="C5" s="6"/>
      <c r="D5" s="6"/>
      <c r="E5" s="6"/>
      <c r="F5" s="6"/>
      <c r="G5" s="6"/>
      <c r="H5" s="6"/>
      <c r="I5" s="669"/>
      <c r="J5" s="6"/>
      <c r="K5" s="6"/>
      <c r="L5" s="6"/>
      <c r="M5" s="6"/>
      <c r="N5" s="6"/>
      <c r="O5" s="6"/>
      <c r="P5" s="6"/>
      <c r="Q5" s="6"/>
      <c r="R5" s="6"/>
      <c r="S5" s="6"/>
      <c r="T5" s="6"/>
      <c r="U5" s="6"/>
      <c r="V5" s="6"/>
      <c r="W5" s="6"/>
      <c r="X5" s="6"/>
    </row>
    <row r="6" spans="1:24">
      <c r="A6" s="6"/>
      <c r="B6" s="6"/>
      <c r="C6" s="6"/>
      <c r="D6" s="6"/>
      <c r="E6" s="6"/>
      <c r="F6" s="6"/>
      <c r="G6" s="6"/>
      <c r="H6" s="6"/>
      <c r="I6" s="669"/>
      <c r="J6" s="6"/>
      <c r="K6" s="6"/>
      <c r="L6" s="6"/>
      <c r="M6" s="6"/>
      <c r="N6" s="6"/>
      <c r="O6" s="6"/>
      <c r="P6" s="6"/>
      <c r="Q6" s="6"/>
      <c r="R6" s="6"/>
      <c r="S6" s="6"/>
      <c r="T6" s="6"/>
      <c r="U6" s="6"/>
      <c r="V6" s="6"/>
      <c r="W6" s="6"/>
      <c r="X6" s="6"/>
    </row>
    <row r="7" spans="1:24">
      <c r="A7" s="17" t="s">
        <v>402</v>
      </c>
      <c r="B7" s="18"/>
      <c r="C7" s="18"/>
      <c r="D7" s="17" t="s">
        <v>658</v>
      </c>
      <c r="E7" s="18"/>
      <c r="F7" s="17" t="s">
        <v>164</v>
      </c>
      <c r="G7" s="18"/>
      <c r="H7" s="18"/>
      <c r="I7" s="1279"/>
      <c r="J7" s="17" t="s">
        <v>1452</v>
      </c>
      <c r="K7" s="18"/>
      <c r="L7" s="17" t="s">
        <v>165</v>
      </c>
      <c r="M7" s="18"/>
      <c r="N7" s="18"/>
      <c r="O7" s="17" t="s">
        <v>403</v>
      </c>
      <c r="P7" s="18"/>
      <c r="Q7" s="18"/>
      <c r="R7" s="18"/>
      <c r="S7" s="17" t="s">
        <v>404</v>
      </c>
      <c r="T7" s="18"/>
      <c r="U7" s="18"/>
      <c r="V7" s="18"/>
      <c r="W7" s="18"/>
      <c r="X7" s="17" t="s">
        <v>405</v>
      </c>
    </row>
    <row r="8" spans="1:24">
      <c r="A8" s="6"/>
      <c r="B8" s="6"/>
      <c r="C8" s="6"/>
      <c r="D8" s="6"/>
      <c r="E8" s="6"/>
      <c r="F8" s="8"/>
      <c r="G8" s="6"/>
      <c r="H8" s="6"/>
      <c r="I8" s="669"/>
      <c r="J8" s="6"/>
      <c r="K8" s="6"/>
      <c r="L8" s="6"/>
      <c r="M8" s="6"/>
      <c r="N8" s="6"/>
      <c r="O8" s="6"/>
      <c r="P8" s="6"/>
      <c r="Q8" s="6"/>
      <c r="R8" s="6"/>
      <c r="S8" s="6"/>
      <c r="T8" s="6"/>
      <c r="U8" s="6"/>
      <c r="V8" s="6"/>
      <c r="W8" s="6"/>
      <c r="X8" s="6"/>
    </row>
    <row r="9" spans="1:24">
      <c r="A9" s="20" t="s">
        <v>406</v>
      </c>
      <c r="B9" s="1046">
        <v>10</v>
      </c>
      <c r="C9" s="6"/>
      <c r="D9" s="30"/>
      <c r="E9" s="5"/>
      <c r="F9" s="20"/>
      <c r="G9" s="6"/>
      <c r="H9" s="10"/>
      <c r="I9" s="1280"/>
      <c r="J9" s="10"/>
      <c r="K9" s="6"/>
      <c r="L9" s="20"/>
      <c r="M9" s="6"/>
      <c r="N9" s="6"/>
      <c r="O9" s="15"/>
      <c r="P9" s="6"/>
      <c r="Q9" s="6"/>
      <c r="R9" s="6"/>
      <c r="S9" s="15"/>
      <c r="T9" s="6"/>
      <c r="U9" s="6"/>
      <c r="V9" s="6"/>
      <c r="W9" s="6"/>
      <c r="X9" s="6"/>
    </row>
    <row r="10" spans="1:24">
      <c r="A10" s="20" t="s">
        <v>407</v>
      </c>
      <c r="B10" s="1046">
        <v>8</v>
      </c>
      <c r="C10" s="6"/>
      <c r="D10" s="25"/>
      <c r="E10" s="6"/>
      <c r="F10" s="20" t="s">
        <v>393</v>
      </c>
      <c r="G10" s="9"/>
      <c r="H10" s="25">
        <v>0</v>
      </c>
      <c r="I10" s="1046"/>
      <c r="J10" s="25"/>
      <c r="K10" s="6"/>
      <c r="L10" s="20"/>
      <c r="M10" s="6"/>
      <c r="N10" s="6"/>
      <c r="O10" s="21" t="s">
        <v>393</v>
      </c>
      <c r="P10" s="9"/>
      <c r="Q10" s="25">
        <v>15</v>
      </c>
      <c r="R10" s="6"/>
      <c r="S10" s="15"/>
      <c r="T10" s="6"/>
      <c r="U10" s="6"/>
      <c r="V10" s="6"/>
      <c r="W10" s="6"/>
      <c r="X10" s="6"/>
    </row>
    <row r="11" spans="1:24">
      <c r="A11" s="20" t="s">
        <v>408</v>
      </c>
      <c r="B11" s="1046">
        <v>10</v>
      </c>
      <c r="C11" s="6"/>
      <c r="D11" s="30"/>
      <c r="E11" s="5"/>
      <c r="F11" s="20"/>
      <c r="G11" s="6"/>
      <c r="H11" s="28"/>
      <c r="I11" s="1046"/>
      <c r="J11" s="28"/>
      <c r="K11" s="6"/>
      <c r="L11" s="20"/>
      <c r="M11" s="6"/>
      <c r="N11" s="6"/>
      <c r="O11" s="15"/>
      <c r="P11" s="6"/>
      <c r="Q11" s="26"/>
      <c r="R11" s="6"/>
      <c r="S11" s="15"/>
      <c r="T11" s="6"/>
      <c r="U11" s="6"/>
      <c r="V11" s="6"/>
      <c r="W11" s="6"/>
      <c r="X11" s="6"/>
    </row>
    <row r="12" spans="1:24">
      <c r="A12" s="20" t="s">
        <v>409</v>
      </c>
      <c r="B12" s="1046">
        <v>12</v>
      </c>
      <c r="C12" s="6"/>
      <c r="D12" s="30"/>
      <c r="E12" s="5"/>
      <c r="F12" s="20"/>
      <c r="G12" s="6"/>
      <c r="H12" s="28"/>
      <c r="I12" s="1046"/>
      <c r="J12" s="28"/>
      <c r="K12" s="6"/>
      <c r="L12" s="20"/>
      <c r="M12" s="6"/>
      <c r="N12" s="6"/>
      <c r="O12" s="15"/>
      <c r="P12" s="6"/>
      <c r="Q12" s="26"/>
      <c r="R12" s="6"/>
      <c r="S12" s="22" t="s">
        <v>394</v>
      </c>
      <c r="T12" s="6"/>
      <c r="U12" s="25">
        <v>143</v>
      </c>
      <c r="V12" s="6"/>
      <c r="W12" s="6"/>
      <c r="X12" s="6"/>
    </row>
    <row r="13" spans="1:24">
      <c r="A13" s="20"/>
      <c r="B13" s="28"/>
      <c r="C13" s="6"/>
      <c r="D13" s="20" t="s">
        <v>1439</v>
      </c>
      <c r="E13" s="30">
        <v>7</v>
      </c>
      <c r="F13" s="20"/>
      <c r="G13" s="6"/>
      <c r="H13" s="28"/>
      <c r="I13" s="1046"/>
      <c r="J13" s="28"/>
      <c r="K13" s="6"/>
      <c r="L13" s="20"/>
      <c r="M13" s="6"/>
      <c r="N13" s="6"/>
      <c r="O13" s="15"/>
      <c r="P13" s="6"/>
      <c r="Q13" s="26"/>
      <c r="R13" s="6"/>
      <c r="S13" s="15"/>
      <c r="T13" s="6"/>
      <c r="U13" s="26"/>
      <c r="V13" s="6"/>
      <c r="W13" s="6"/>
      <c r="X13" s="6"/>
    </row>
    <row r="14" spans="1:24">
      <c r="A14" s="20"/>
      <c r="B14" s="28"/>
      <c r="C14" s="6"/>
      <c r="D14" s="28"/>
      <c r="E14" s="6"/>
      <c r="F14" s="20"/>
      <c r="G14" s="6"/>
      <c r="H14" s="28"/>
      <c r="I14" s="1046"/>
      <c r="J14" s="28"/>
      <c r="K14" s="6"/>
      <c r="L14" s="20"/>
      <c r="M14" s="6"/>
      <c r="N14" s="6"/>
      <c r="O14" s="15"/>
      <c r="P14" s="6"/>
      <c r="Q14" s="26"/>
      <c r="R14" s="6"/>
      <c r="S14" s="15"/>
      <c r="T14" s="6"/>
      <c r="U14" s="26"/>
      <c r="V14" s="6"/>
      <c r="W14" s="6"/>
      <c r="X14" s="6"/>
    </row>
    <row r="15" spans="1:24">
      <c r="A15" s="20" t="s">
        <v>410</v>
      </c>
      <c r="B15" s="1046">
        <v>10</v>
      </c>
      <c r="C15" s="9"/>
      <c r="D15" s="30"/>
      <c r="E15" s="6"/>
      <c r="F15" s="20" t="s">
        <v>411</v>
      </c>
      <c r="G15" s="9"/>
      <c r="H15" s="25">
        <v>8</v>
      </c>
      <c r="I15" s="1046"/>
      <c r="J15" s="25"/>
      <c r="K15" s="6"/>
      <c r="L15" s="20"/>
      <c r="M15" s="6"/>
      <c r="N15" s="6"/>
      <c r="O15" s="15"/>
      <c r="P15" s="6"/>
      <c r="Q15" s="26"/>
      <c r="R15" s="6"/>
      <c r="S15" s="23">
        <v>16</v>
      </c>
      <c r="T15" s="6"/>
      <c r="U15" s="26"/>
      <c r="V15" s="6"/>
      <c r="W15" s="6"/>
      <c r="X15" s="6"/>
    </row>
    <row r="16" spans="1:24">
      <c r="A16" s="20"/>
      <c r="B16" s="30"/>
      <c r="C16" s="9"/>
      <c r="D16" s="20" t="s">
        <v>412</v>
      </c>
      <c r="E16" s="30">
        <v>12</v>
      </c>
      <c r="F16" s="20"/>
      <c r="G16" s="9"/>
      <c r="H16" s="25"/>
      <c r="I16" s="1046"/>
      <c r="J16" s="25"/>
      <c r="K16" s="6"/>
      <c r="L16" s="20"/>
      <c r="M16" s="6"/>
      <c r="N16" s="6"/>
      <c r="O16" s="15"/>
      <c r="P16" s="6"/>
      <c r="Q16" s="26"/>
      <c r="R16" s="6"/>
      <c r="S16" s="24"/>
      <c r="T16" s="6"/>
      <c r="U16" s="26"/>
      <c r="V16" s="6"/>
      <c r="W16" s="6"/>
      <c r="X16" s="6"/>
    </row>
    <row r="17" spans="1:24">
      <c r="A17" s="20"/>
      <c r="B17" s="28"/>
      <c r="C17" s="6"/>
      <c r="D17" s="28"/>
      <c r="E17" s="6"/>
      <c r="F17" s="20" t="s">
        <v>413</v>
      </c>
      <c r="G17" s="9"/>
      <c r="H17" s="25">
        <v>6</v>
      </c>
      <c r="I17" s="1046"/>
      <c r="J17" s="25"/>
      <c r="K17" s="6"/>
      <c r="L17" s="20"/>
      <c r="M17" s="6"/>
      <c r="N17" s="6"/>
      <c r="O17" s="15"/>
      <c r="P17" s="6"/>
      <c r="Q17" s="26"/>
      <c r="R17" s="6"/>
      <c r="S17" s="15"/>
      <c r="T17" s="6"/>
      <c r="U17" s="26"/>
      <c r="V17" s="6"/>
      <c r="W17" s="6"/>
      <c r="X17" s="6"/>
    </row>
    <row r="18" spans="1:24">
      <c r="A18" s="20"/>
      <c r="B18" s="28"/>
      <c r="C18" s="6"/>
      <c r="D18" s="28"/>
      <c r="E18" s="6"/>
      <c r="F18" s="16"/>
      <c r="H18" s="29"/>
      <c r="I18" s="1281"/>
      <c r="J18" s="20" t="s">
        <v>652</v>
      </c>
      <c r="K18" s="6"/>
      <c r="L18" s="20" t="s">
        <v>1275</v>
      </c>
      <c r="M18" s="7"/>
      <c r="N18" s="25">
        <v>1</v>
      </c>
      <c r="O18" s="15"/>
      <c r="P18" s="6"/>
      <c r="Q18" s="26"/>
      <c r="R18" s="6"/>
      <c r="S18" s="20" t="s">
        <v>414</v>
      </c>
      <c r="T18" s="6"/>
      <c r="U18" s="25">
        <v>127</v>
      </c>
      <c r="V18" s="6"/>
      <c r="W18" s="6"/>
      <c r="X18" s="19" t="s">
        <v>415</v>
      </c>
    </row>
    <row r="19" spans="1:24">
      <c r="A19" s="20"/>
      <c r="B19" s="28"/>
      <c r="C19" s="6"/>
      <c r="D19" s="22" t="s">
        <v>409</v>
      </c>
      <c r="E19" s="30">
        <v>10</v>
      </c>
      <c r="F19" s="231"/>
      <c r="H19" s="29"/>
      <c r="I19" s="1281"/>
      <c r="J19" s="29"/>
      <c r="K19" s="6"/>
      <c r="L19" s="20"/>
      <c r="M19" s="7"/>
      <c r="N19" s="25"/>
      <c r="O19" s="15"/>
      <c r="P19" s="6"/>
      <c r="Q19" s="26"/>
      <c r="R19" s="6"/>
      <c r="S19" s="20"/>
      <c r="T19" s="6"/>
      <c r="U19" s="25"/>
      <c r="V19" s="6"/>
      <c r="W19" s="6"/>
      <c r="X19" s="19"/>
    </row>
    <row r="20" spans="1:24">
      <c r="A20" s="20"/>
      <c r="B20" s="28"/>
      <c r="C20" s="6"/>
      <c r="D20" s="28"/>
      <c r="E20" s="6"/>
      <c r="F20" s="20"/>
      <c r="G20" s="6"/>
      <c r="H20" s="28"/>
      <c r="I20" s="1046"/>
      <c r="J20" s="28"/>
      <c r="K20" s="6"/>
      <c r="L20" s="20" t="s">
        <v>1276</v>
      </c>
      <c r="M20" s="6"/>
      <c r="N20" s="25">
        <v>2</v>
      </c>
      <c r="O20" s="15"/>
      <c r="P20" s="6"/>
      <c r="Q20" s="26"/>
      <c r="R20" s="6"/>
      <c r="S20" s="15"/>
      <c r="T20" s="6"/>
      <c r="U20" s="28"/>
      <c r="V20" s="6"/>
      <c r="W20" s="6"/>
      <c r="X20" s="6"/>
    </row>
    <row r="21" spans="1:24">
      <c r="A21" s="20"/>
      <c r="B21" s="28"/>
      <c r="C21" s="6"/>
      <c r="D21" s="28"/>
      <c r="E21" s="6"/>
      <c r="F21" s="20" t="s">
        <v>416</v>
      </c>
      <c r="G21" s="9"/>
      <c r="H21" s="30">
        <v>12</v>
      </c>
      <c r="I21" s="1046"/>
      <c r="J21" s="30"/>
      <c r="K21" s="6"/>
      <c r="L21" s="20"/>
      <c r="M21" s="6"/>
      <c r="N21" s="27"/>
      <c r="O21" s="15"/>
      <c r="P21" s="6"/>
      <c r="Q21" s="26"/>
      <c r="R21" s="6"/>
      <c r="S21" s="15"/>
      <c r="T21" s="6"/>
      <c r="U21" s="28"/>
      <c r="V21" s="6"/>
      <c r="W21" s="6"/>
      <c r="X21" s="6"/>
    </row>
    <row r="22" spans="1:24">
      <c r="A22" s="20"/>
      <c r="B22" s="28"/>
      <c r="C22" s="6"/>
      <c r="D22" s="28"/>
      <c r="E22" s="6"/>
      <c r="F22" s="20"/>
      <c r="G22" s="6"/>
      <c r="H22" s="27"/>
      <c r="I22" s="1282"/>
      <c r="J22" s="27"/>
      <c r="K22" s="6"/>
      <c r="L22" s="20"/>
      <c r="M22" s="6"/>
      <c r="N22" s="27"/>
      <c r="O22" s="15"/>
      <c r="P22" s="6"/>
      <c r="Q22" s="26"/>
      <c r="R22" s="6"/>
      <c r="S22" s="15"/>
      <c r="T22" s="6"/>
      <c r="U22" s="28"/>
      <c r="V22" s="6"/>
      <c r="W22" s="6"/>
      <c r="X22" s="6"/>
    </row>
    <row r="23" spans="1:24">
      <c r="A23" s="20"/>
      <c r="B23" s="28"/>
      <c r="C23" s="6"/>
      <c r="D23" s="28"/>
      <c r="E23" s="6"/>
      <c r="F23" s="20"/>
      <c r="G23" s="6"/>
      <c r="H23" s="28"/>
      <c r="I23" s="1046"/>
      <c r="J23" s="28"/>
      <c r="K23" s="6"/>
      <c r="L23" s="20"/>
      <c r="M23" s="6"/>
      <c r="N23" s="27"/>
      <c r="O23" s="15"/>
      <c r="P23" s="6"/>
      <c r="Q23" s="26"/>
      <c r="R23" s="6"/>
      <c r="S23" s="15"/>
      <c r="T23" s="6"/>
      <c r="U23" s="28"/>
      <c r="V23" s="6"/>
      <c r="W23" s="6"/>
      <c r="X23" s="6"/>
    </row>
    <row r="24" spans="1:24">
      <c r="A24" s="20"/>
      <c r="B24" s="30"/>
      <c r="C24" s="6"/>
      <c r="D24" s="20" t="s">
        <v>417</v>
      </c>
      <c r="E24" s="30">
        <v>13</v>
      </c>
      <c r="F24" s="20" t="s">
        <v>418</v>
      </c>
      <c r="G24" s="9"/>
      <c r="H24" s="25">
        <v>8</v>
      </c>
      <c r="I24" s="1046"/>
      <c r="J24" s="25"/>
      <c r="K24" s="9"/>
      <c r="L24" s="20" t="s">
        <v>419</v>
      </c>
      <c r="M24" s="9"/>
      <c r="N24" s="25">
        <v>0</v>
      </c>
      <c r="O24" s="20" t="s">
        <v>419</v>
      </c>
      <c r="P24" s="9"/>
      <c r="Q24" s="25">
        <v>30</v>
      </c>
      <c r="R24" s="6"/>
      <c r="S24" s="15"/>
      <c r="T24" s="6"/>
      <c r="U24" s="25">
        <v>100</v>
      </c>
      <c r="V24" s="6"/>
      <c r="W24" s="6"/>
      <c r="X24" s="6"/>
    </row>
    <row r="25" spans="1:24">
      <c r="A25" s="20"/>
      <c r="B25" s="28"/>
      <c r="C25" s="6"/>
      <c r="D25" s="28"/>
      <c r="E25" s="6"/>
      <c r="F25" s="20"/>
      <c r="G25" s="6"/>
      <c r="H25" s="28"/>
      <c r="I25" s="1046"/>
      <c r="J25" s="28"/>
      <c r="K25" s="6"/>
      <c r="L25" s="20"/>
      <c r="M25" s="6"/>
      <c r="N25" s="28"/>
      <c r="O25" s="6"/>
      <c r="P25" s="6"/>
      <c r="Q25" s="6"/>
      <c r="R25" s="6"/>
      <c r="S25" s="15"/>
      <c r="T25" s="6"/>
      <c r="U25" s="10"/>
      <c r="V25" s="6"/>
      <c r="W25" s="6"/>
      <c r="X25" s="6"/>
    </row>
    <row r="26" spans="1:24">
      <c r="A26" s="20"/>
      <c r="B26" s="28"/>
      <c r="C26" s="6"/>
      <c r="D26" s="28"/>
      <c r="E26" s="6"/>
      <c r="F26" s="20"/>
      <c r="G26" s="6"/>
      <c r="H26" s="28"/>
      <c r="I26" s="1046"/>
      <c r="J26" s="28"/>
      <c r="K26" s="6"/>
      <c r="L26" s="20"/>
      <c r="M26" s="6"/>
      <c r="N26" s="28"/>
      <c r="O26" s="6"/>
      <c r="P26" s="6"/>
      <c r="Q26" s="6"/>
      <c r="R26" s="6"/>
      <c r="S26" s="15"/>
      <c r="T26" s="6"/>
      <c r="U26" s="6"/>
      <c r="V26" s="6"/>
      <c r="W26" s="6"/>
      <c r="X26" s="6"/>
    </row>
    <row r="27" spans="1:24">
      <c r="A27" s="20" t="s">
        <v>420</v>
      </c>
      <c r="B27" s="1046">
        <v>30</v>
      </c>
      <c r="C27" s="6"/>
      <c r="D27" s="30"/>
      <c r="E27" s="6"/>
      <c r="F27" s="20"/>
      <c r="G27" s="6"/>
      <c r="H27" s="28"/>
      <c r="I27" s="1046"/>
      <c r="J27" s="28"/>
      <c r="K27" s="6"/>
      <c r="L27" s="20" t="s">
        <v>1278</v>
      </c>
      <c r="M27" s="7"/>
      <c r="N27" s="25">
        <v>1</v>
      </c>
      <c r="O27" s="6"/>
      <c r="P27" s="6"/>
      <c r="Q27" s="6"/>
      <c r="R27" s="6"/>
      <c r="S27" s="15"/>
      <c r="T27" s="6"/>
      <c r="U27" s="6"/>
      <c r="V27" s="6"/>
      <c r="W27" s="6"/>
      <c r="X27" s="6"/>
    </row>
    <row r="28" spans="1:24">
      <c r="A28" s="20"/>
      <c r="B28" s="28"/>
      <c r="C28" s="6"/>
      <c r="D28" s="20" t="s">
        <v>424</v>
      </c>
      <c r="E28" s="25">
        <v>1</v>
      </c>
      <c r="F28" s="15"/>
      <c r="G28" s="6"/>
      <c r="H28" s="28"/>
      <c r="I28" s="1046"/>
      <c r="J28" s="28"/>
      <c r="K28" s="6"/>
      <c r="L28" s="20"/>
      <c r="M28" s="6"/>
      <c r="N28" s="28"/>
      <c r="O28" s="6"/>
      <c r="P28" s="6"/>
      <c r="Q28" s="6"/>
      <c r="R28" s="6"/>
      <c r="S28" s="15"/>
      <c r="T28" s="6"/>
      <c r="U28" s="6"/>
      <c r="V28" s="6"/>
      <c r="W28" s="6"/>
      <c r="X28" s="6"/>
    </row>
    <row r="29" spans="1:24">
      <c r="A29" s="20"/>
      <c r="B29" s="28"/>
      <c r="C29" s="6"/>
      <c r="D29" s="28"/>
      <c r="E29" s="6"/>
      <c r="F29" s="15"/>
      <c r="G29" s="6"/>
      <c r="H29" s="28"/>
      <c r="I29" s="1046"/>
      <c r="J29" s="20" t="s">
        <v>424</v>
      </c>
      <c r="K29" s="6"/>
      <c r="L29" s="20"/>
      <c r="M29" s="6"/>
      <c r="N29" s="28"/>
      <c r="O29" s="6"/>
      <c r="P29" s="6"/>
      <c r="Q29" s="6"/>
      <c r="R29" s="6"/>
      <c r="S29" s="15"/>
      <c r="T29" s="6"/>
      <c r="U29" s="6"/>
      <c r="V29" s="6"/>
      <c r="W29" s="6"/>
      <c r="X29" s="6"/>
    </row>
    <row r="30" spans="1:24">
      <c r="A30" s="20"/>
      <c r="B30" s="28"/>
      <c r="C30" s="6"/>
      <c r="D30" s="28"/>
      <c r="E30" s="6"/>
      <c r="F30" s="15"/>
      <c r="G30" s="6"/>
      <c r="H30" s="28"/>
      <c r="I30" s="1046"/>
      <c r="J30" s="28"/>
      <c r="K30" s="6"/>
      <c r="L30" s="20" t="s">
        <v>1277</v>
      </c>
      <c r="M30" s="7"/>
      <c r="N30" s="25">
        <v>0</v>
      </c>
      <c r="O30" s="6"/>
      <c r="P30" s="6"/>
      <c r="Q30" s="6"/>
      <c r="R30" s="6"/>
      <c r="S30" s="15"/>
      <c r="T30" s="6"/>
      <c r="U30" s="6"/>
      <c r="V30" s="6"/>
      <c r="W30" s="6"/>
      <c r="X30" s="6"/>
    </row>
    <row r="31" spans="1:24">
      <c r="A31" s="20"/>
      <c r="B31" s="28"/>
      <c r="C31" s="6"/>
      <c r="D31" s="28"/>
      <c r="E31" s="6"/>
      <c r="F31" s="15"/>
      <c r="G31" s="6"/>
      <c r="H31" s="28"/>
      <c r="I31" s="1046"/>
      <c r="J31" s="28"/>
      <c r="K31" s="6"/>
      <c r="M31" s="6"/>
      <c r="N31" s="28"/>
      <c r="O31" s="6"/>
      <c r="P31" s="6"/>
      <c r="Q31" s="6"/>
      <c r="R31" s="6"/>
      <c r="S31" s="15"/>
      <c r="T31" s="6"/>
      <c r="U31" s="6"/>
      <c r="V31" s="6"/>
      <c r="W31" s="6"/>
      <c r="X31" s="6"/>
    </row>
    <row r="32" spans="1:24">
      <c r="A32" s="20" t="s">
        <v>421</v>
      </c>
      <c r="B32" s="25">
        <v>3</v>
      </c>
      <c r="C32" s="6"/>
      <c r="D32" s="25"/>
      <c r="E32" s="6"/>
      <c r="F32" s="20" t="s">
        <v>422</v>
      </c>
      <c r="G32" s="9"/>
      <c r="H32" s="25">
        <v>4</v>
      </c>
      <c r="I32" s="1046"/>
      <c r="J32" s="25"/>
      <c r="K32" s="8"/>
      <c r="M32" s="6"/>
      <c r="N32" s="28"/>
      <c r="O32" s="6"/>
      <c r="P32" s="6"/>
      <c r="Q32" s="6"/>
      <c r="S32" s="16"/>
      <c r="W32" s="6"/>
      <c r="X32" s="6"/>
    </row>
    <row r="33" spans="1:24">
      <c r="A33" s="15"/>
      <c r="B33" s="28"/>
      <c r="C33" s="6"/>
      <c r="D33" s="28"/>
      <c r="E33" s="6"/>
      <c r="F33" s="15"/>
      <c r="G33" s="6"/>
      <c r="H33" s="28"/>
      <c r="I33" s="1046"/>
      <c r="J33" s="28"/>
      <c r="K33" s="6"/>
      <c r="M33" s="6"/>
      <c r="N33" s="28"/>
      <c r="O33" s="6"/>
      <c r="P33" s="6"/>
      <c r="Q33" s="6"/>
      <c r="R33" s="6"/>
      <c r="S33" s="15"/>
      <c r="T33" s="6"/>
      <c r="U33" s="6"/>
      <c r="V33" s="6"/>
      <c r="W33" s="6"/>
      <c r="X33" s="6"/>
    </row>
    <row r="34" spans="1:24">
      <c r="A34" s="15"/>
      <c r="B34" s="28"/>
      <c r="C34" s="6"/>
      <c r="D34" s="28"/>
      <c r="E34" s="6"/>
      <c r="F34" s="15"/>
      <c r="G34" s="6"/>
      <c r="H34" s="28"/>
      <c r="I34" s="1046"/>
      <c r="J34" s="28"/>
      <c r="K34" s="6"/>
      <c r="M34" s="6"/>
      <c r="N34" s="28"/>
      <c r="O34" s="6"/>
      <c r="P34" s="6"/>
      <c r="Q34" s="6"/>
      <c r="R34" s="6"/>
      <c r="S34" s="15"/>
      <c r="T34" s="6"/>
      <c r="U34" s="6"/>
      <c r="V34" s="6"/>
      <c r="W34" s="6"/>
      <c r="X34" s="6"/>
    </row>
    <row r="35" spans="1:24">
      <c r="A35" s="20"/>
      <c r="C35" s="6"/>
      <c r="D35" s="20" t="s">
        <v>423</v>
      </c>
      <c r="E35" s="25">
        <v>8</v>
      </c>
      <c r="F35" s="20"/>
      <c r="G35" s="8"/>
      <c r="H35" s="28"/>
      <c r="I35" s="1046"/>
      <c r="J35" s="28"/>
      <c r="K35" s="6"/>
      <c r="R35" s="6"/>
      <c r="S35" s="20" t="s">
        <v>424</v>
      </c>
      <c r="T35" s="6"/>
      <c r="U35" s="25">
        <v>145</v>
      </c>
      <c r="V35" s="6"/>
      <c r="W35" s="6"/>
      <c r="X35" s="6"/>
    </row>
    <row r="36" spans="1:24">
      <c r="A36" s="20" t="s">
        <v>425</v>
      </c>
      <c r="B36" s="25">
        <v>4</v>
      </c>
      <c r="C36" s="6"/>
      <c r="D36" s="25"/>
      <c r="E36" s="8"/>
      <c r="F36" s="20" t="s">
        <v>426</v>
      </c>
      <c r="G36" s="9"/>
      <c r="H36" s="25">
        <v>5</v>
      </c>
      <c r="I36" s="1046"/>
      <c r="J36" s="25"/>
      <c r="K36" s="6"/>
      <c r="M36" s="6"/>
      <c r="O36" s="6"/>
      <c r="P36" s="6"/>
      <c r="Q36" s="6"/>
      <c r="R36" s="6"/>
      <c r="S36" s="6"/>
      <c r="T36" s="6"/>
      <c r="U36" s="6"/>
      <c r="V36" s="6"/>
      <c r="W36" s="6"/>
      <c r="X36" s="6"/>
    </row>
    <row r="37" spans="1:24">
      <c r="A37" s="20" t="s">
        <v>427</v>
      </c>
      <c r="B37" s="25">
        <v>15</v>
      </c>
      <c r="C37" s="6"/>
      <c r="D37" s="25"/>
      <c r="E37" s="8"/>
      <c r="F37" s="20"/>
      <c r="G37" s="8"/>
      <c r="H37" s="28"/>
      <c r="I37" s="1046"/>
      <c r="J37" s="28"/>
      <c r="K37" s="6"/>
      <c r="L37" s="6"/>
      <c r="M37" s="6"/>
      <c r="N37" s="6"/>
      <c r="O37" s="6"/>
      <c r="P37" s="6"/>
      <c r="Q37" s="6"/>
      <c r="R37" s="6"/>
      <c r="S37" s="6"/>
      <c r="T37" s="6"/>
      <c r="U37" s="6"/>
      <c r="V37" s="6"/>
      <c r="W37" s="6"/>
      <c r="X37" s="6"/>
    </row>
    <row r="38" spans="1:24">
      <c r="A38" s="20" t="s">
        <v>428</v>
      </c>
      <c r="B38" s="25">
        <v>29</v>
      </c>
      <c r="C38" s="6"/>
      <c r="D38" s="25"/>
      <c r="E38" s="8"/>
      <c r="F38" s="20"/>
      <c r="G38" s="8"/>
      <c r="H38" s="28"/>
      <c r="I38" s="1046"/>
      <c r="J38" s="28"/>
      <c r="K38" s="6"/>
      <c r="L38" s="6"/>
      <c r="M38" s="6"/>
      <c r="N38" s="6"/>
      <c r="O38" s="6"/>
      <c r="P38" s="6"/>
      <c r="Q38" s="6"/>
      <c r="R38" s="6"/>
      <c r="S38" s="6"/>
      <c r="T38" s="6"/>
      <c r="U38" s="6"/>
      <c r="V38" s="6"/>
      <c r="W38" s="6"/>
      <c r="X38" s="6"/>
    </row>
    <row r="39" spans="1:24">
      <c r="A39" s="8"/>
      <c r="B39" s="8"/>
      <c r="C39" s="8"/>
      <c r="D39" s="8"/>
      <c r="E39" s="8"/>
      <c r="F39" s="20" t="s">
        <v>429</v>
      </c>
      <c r="G39" s="9"/>
      <c r="H39" s="25">
        <v>9</v>
      </c>
      <c r="I39" s="1046"/>
      <c r="J39" s="25"/>
      <c r="K39" s="8"/>
      <c r="L39" s="6"/>
      <c r="M39" s="6"/>
      <c r="N39" s="6"/>
      <c r="O39" s="6"/>
      <c r="P39" s="6"/>
      <c r="Q39" s="6"/>
      <c r="R39" s="6"/>
      <c r="S39" s="6"/>
      <c r="T39" s="6"/>
      <c r="U39" s="6"/>
      <c r="V39" s="6"/>
      <c r="W39" s="6"/>
      <c r="X39" s="6"/>
    </row>
    <row r="43" spans="1:24">
      <c r="F43" s="1077"/>
    </row>
    <row r="44" spans="1:24">
      <c r="F44" s="1077"/>
    </row>
  </sheetData>
  <mergeCells count="2">
    <mergeCell ref="A1:W1"/>
    <mergeCell ref="A2:W2"/>
  </mergeCells>
  <phoneticPr fontId="0" type="noConversion"/>
  <pageMargins left="1.1811023622047245" right="0.78740157480314965" top="0.78740157480314965" bottom="0.98425196850393704" header="0.51181102362204722" footer="0.51181102362204722"/>
  <pageSetup paperSize="5" scale="90" fitToHeight="29"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C5" sqref="C5"/>
    </sheetView>
  </sheetViews>
  <sheetFormatPr baseColWidth="10" defaultRowHeight="13.2"/>
  <cols>
    <col min="1" max="1" width="20.21875" customWidth="1"/>
    <col min="5" max="7" width="12.77734375" customWidth="1"/>
    <col min="9" max="9" width="14.21875" customWidth="1"/>
  </cols>
  <sheetData>
    <row r="1" spans="1:14" ht="15.6">
      <c r="A1" s="1674" t="s">
        <v>1687</v>
      </c>
      <c r="B1" s="1674"/>
      <c r="C1" s="1674"/>
      <c r="D1" s="1674"/>
      <c r="E1" s="1674"/>
      <c r="F1" s="1674"/>
      <c r="G1" s="1674"/>
      <c r="H1" s="1674"/>
      <c r="I1" s="1674"/>
      <c r="J1" s="1674"/>
    </row>
    <row r="2" spans="1:14">
      <c r="A2" s="582"/>
      <c r="B2" s="582"/>
      <c r="C2" s="582"/>
      <c r="D2" s="582"/>
      <c r="E2" s="582"/>
      <c r="F2" s="582"/>
      <c r="G2" s="582"/>
      <c r="H2" s="582"/>
      <c r="I2" s="582"/>
      <c r="J2" s="582"/>
    </row>
    <row r="3" spans="1:14">
      <c r="A3" s="583"/>
      <c r="B3" s="584"/>
      <c r="C3" s="584"/>
      <c r="D3" s="584"/>
      <c r="E3" s="584"/>
      <c r="F3" s="584"/>
      <c r="G3" s="584"/>
      <c r="H3" s="584"/>
      <c r="I3" s="584"/>
      <c r="J3" s="584"/>
    </row>
    <row r="4" spans="1:14" ht="29.25" customHeight="1">
      <c r="A4" s="585" t="s">
        <v>1092</v>
      </c>
      <c r="B4" s="586" t="s">
        <v>1093</v>
      </c>
      <c r="C4" s="586" t="s">
        <v>1166</v>
      </c>
      <c r="D4" s="586" t="s">
        <v>1094</v>
      </c>
      <c r="E4" s="586" t="s">
        <v>1095</v>
      </c>
      <c r="F4" s="586" t="s">
        <v>1186</v>
      </c>
      <c r="G4" s="586" t="s">
        <v>1187</v>
      </c>
      <c r="H4" s="587" t="s">
        <v>517</v>
      </c>
      <c r="I4" s="1675" t="s">
        <v>1096</v>
      </c>
      <c r="J4" s="1676"/>
    </row>
    <row r="5" spans="1:14" ht="21.75" customHeight="1">
      <c r="A5" s="588" t="s">
        <v>1097</v>
      </c>
      <c r="B5" s="589">
        <f>+[5]A19b!$B$11</f>
        <v>358</v>
      </c>
      <c r="C5" s="589">
        <f>+[5]A19b!$B$25</f>
        <v>1444</v>
      </c>
      <c r="D5" s="589">
        <f>+[5]A19b!$B$26</f>
        <v>16</v>
      </c>
      <c r="E5" s="589">
        <f>+[5]A19b!$B$27</f>
        <v>230</v>
      </c>
      <c r="F5" s="589">
        <f>+[5]A19b!$B$28</f>
        <v>87</v>
      </c>
      <c r="G5" s="589">
        <f>+[5]A19b!$B$29</f>
        <v>97</v>
      </c>
      <c r="H5" s="589">
        <f>SUM(B5:G5)</f>
        <v>2232</v>
      </c>
      <c r="I5" s="589">
        <f>+[5]A19b!$E$11+[5]A19b!$F$11</f>
        <v>362</v>
      </c>
      <c r="J5" s="590">
        <f>+I5/B5*100</f>
        <v>101.1173184357542</v>
      </c>
    </row>
    <row r="6" spans="1:14" ht="21.75" customHeight="1">
      <c r="A6" s="588" t="s">
        <v>1098</v>
      </c>
      <c r="B6" s="589">
        <f>+[12]A19b!$B$11</f>
        <v>37</v>
      </c>
      <c r="C6" s="589">
        <f>+[12]A19b!$B$25</f>
        <v>21300</v>
      </c>
      <c r="D6" s="589">
        <f>+[12]A19b!$B$26</f>
        <v>3</v>
      </c>
      <c r="E6" s="589">
        <f>+[12]A19b!$B$27</f>
        <v>31</v>
      </c>
      <c r="F6" s="589">
        <f>+[12]A19b!$B$28</f>
        <v>279</v>
      </c>
      <c r="G6" s="589">
        <f>+[12]A19b!$B$29</f>
        <v>0</v>
      </c>
      <c r="H6" s="589">
        <f t="shared" ref="H6:H28" si="0">SUM(B6:G6)</f>
        <v>21650</v>
      </c>
      <c r="I6" s="589">
        <f>+[12]A19b!$E$11+[12]A19b!$F$11+[12]A19b!$G$11</f>
        <v>35</v>
      </c>
      <c r="J6" s="590">
        <f t="shared" ref="J6:J26" si="1">+I6/B6*100</f>
        <v>94.594594594594597</v>
      </c>
    </row>
    <row r="7" spans="1:14" ht="21.75" customHeight="1">
      <c r="A7" s="588" t="s">
        <v>1099</v>
      </c>
      <c r="B7" s="589">
        <f>+[9]A19b!$B$11</f>
        <v>58</v>
      </c>
      <c r="C7" s="589">
        <f>+[9]A19b!$B$25</f>
        <v>5794</v>
      </c>
      <c r="D7" s="589">
        <f>+[9]A19b!$B$26</f>
        <v>0</v>
      </c>
      <c r="E7" s="589">
        <f>+[9]A19b!$B$27</f>
        <v>23</v>
      </c>
      <c r="F7" s="589">
        <f>+[9]A19b!$B$28</f>
        <v>13</v>
      </c>
      <c r="G7" s="589">
        <f>+[9]A19b!$B$29</f>
        <v>0</v>
      </c>
      <c r="H7" s="589">
        <f t="shared" si="0"/>
        <v>5888</v>
      </c>
      <c r="I7" s="589">
        <f>+[9]A19b!$E$11+[9]A19b!$F$11</f>
        <v>56</v>
      </c>
      <c r="J7" s="590">
        <f t="shared" si="1"/>
        <v>96.551724137931032</v>
      </c>
    </row>
    <row r="8" spans="1:14" ht="21.75" customHeight="1">
      <c r="A8" s="588" t="s">
        <v>1587</v>
      </c>
      <c r="B8" s="589">
        <f>+[32]A19b!$B$11</f>
        <v>10</v>
      </c>
      <c r="C8" s="589">
        <f>+[32]A19b!$B$25</f>
        <v>8497</v>
      </c>
      <c r="D8" s="589">
        <f>+[32]A19b!$B$26</f>
        <v>0</v>
      </c>
      <c r="E8" s="589">
        <f>+[32]A19b!$B$27</f>
        <v>15</v>
      </c>
      <c r="F8" s="589">
        <f>+[32]A19b!$B$28</f>
        <v>315</v>
      </c>
      <c r="G8" s="589">
        <f>+[32]A19b!$B$29</f>
        <v>0</v>
      </c>
      <c r="H8" s="589">
        <f t="shared" si="0"/>
        <v>8837</v>
      </c>
      <c r="I8" s="589">
        <f>+[32]A19b!$E$11+[32]A19b!$F$11+[32]A19b!$G$11</f>
        <v>18</v>
      </c>
      <c r="J8" s="590">
        <f t="shared" ref="J8" si="2">+I8/B8*100</f>
        <v>180</v>
      </c>
    </row>
    <row r="9" spans="1:14" ht="21.75" customHeight="1">
      <c r="A9" s="588" t="s">
        <v>1484</v>
      </c>
      <c r="B9" s="589">
        <f>+[13]A19b!$B$11</f>
        <v>24</v>
      </c>
      <c r="C9" s="589">
        <f>+[13]A19b!$B$25</f>
        <v>556</v>
      </c>
      <c r="D9" s="589">
        <f>+[13]A19b!$B$26</f>
        <v>1</v>
      </c>
      <c r="E9" s="589">
        <f>+[13]A19b!$B$27</f>
        <v>34</v>
      </c>
      <c r="F9" s="589">
        <f>+[13]A19b!$B$28</f>
        <v>0</v>
      </c>
      <c r="G9" s="589">
        <f>+[13]A19b!$B$29</f>
        <v>0</v>
      </c>
      <c r="H9" s="589">
        <f t="shared" si="0"/>
        <v>615</v>
      </c>
      <c r="I9" s="589">
        <f>+[13]A19b!$E$11+[13]A19b!$F$11</f>
        <v>24</v>
      </c>
      <c r="J9" s="590">
        <f t="shared" si="1"/>
        <v>100</v>
      </c>
    </row>
    <row r="10" spans="1:14" ht="21.75" customHeight="1">
      <c r="A10" s="588" t="s">
        <v>1589</v>
      </c>
      <c r="B10" s="589">
        <f>+[14]A19b!$B$11</f>
        <v>0</v>
      </c>
      <c r="C10" s="589">
        <f>+[14]A19b!$B$25</f>
        <v>0</v>
      </c>
      <c r="D10" s="589">
        <f>+[14]A19b!$B$26</f>
        <v>0</v>
      </c>
      <c r="E10" s="589">
        <f>+[14]A19b!$B$27</f>
        <v>0</v>
      </c>
      <c r="F10" s="589">
        <f>+[14]A19b!$B$28</f>
        <v>0</v>
      </c>
      <c r="G10" s="589">
        <f>+[14]A19b!$B$29</f>
        <v>0</v>
      </c>
      <c r="H10" s="589">
        <f t="shared" ref="H10" si="3">SUM(B10:G10)</f>
        <v>0</v>
      </c>
      <c r="I10" s="589">
        <f>+[14]A19b!$E$11+[14]A19b!$F$11</f>
        <v>0</v>
      </c>
      <c r="J10" s="590" t="e">
        <f t="shared" ref="J10" si="4">+I10/B10*100</f>
        <v>#DIV/0!</v>
      </c>
    </row>
    <row r="11" spans="1:14" ht="21.75" customHeight="1">
      <c r="A11" s="588" t="s">
        <v>1485</v>
      </c>
      <c r="B11" s="589">
        <f>+[16]A19b!$B$11</f>
        <v>24</v>
      </c>
      <c r="C11" s="589">
        <f>+[16]A19b!$B$25</f>
        <v>750</v>
      </c>
      <c r="D11" s="589">
        <f>+[16]A19b!$B$26</f>
        <v>8</v>
      </c>
      <c r="E11" s="589">
        <f>+[16]A19b!$B$27</f>
        <v>11</v>
      </c>
      <c r="F11" s="589">
        <f>+[16]A19b!$B$28</f>
        <v>55</v>
      </c>
      <c r="G11" s="589">
        <f>+[16]A19b!$B$29</f>
        <v>0</v>
      </c>
      <c r="H11" s="589">
        <f t="shared" si="0"/>
        <v>848</v>
      </c>
      <c r="I11" s="589">
        <f>+[16]A19b!$E$11+[16]A19b!$F$11</f>
        <v>19</v>
      </c>
      <c r="J11" s="590">
        <f t="shared" si="1"/>
        <v>79.166666666666657</v>
      </c>
    </row>
    <row r="12" spans="1:14" ht="21.75" customHeight="1">
      <c r="A12" s="588" t="s">
        <v>1486</v>
      </c>
      <c r="B12" s="589">
        <f>+[18]A19b!$B$11</f>
        <v>6</v>
      </c>
      <c r="C12" s="589">
        <f>+[18]A19b!$B$25</f>
        <v>270</v>
      </c>
      <c r="D12" s="589">
        <f>+[18]A19b!$B$26</f>
        <v>1</v>
      </c>
      <c r="E12" s="589">
        <f>+[18]A19b!$B$27</f>
        <v>8</v>
      </c>
      <c r="F12" s="589">
        <f>+[18]A19b!$B$28</f>
        <v>3</v>
      </c>
      <c r="G12" s="589">
        <f>+[18]A19b!$B$29</f>
        <v>0</v>
      </c>
      <c r="H12" s="589">
        <f t="shared" si="0"/>
        <v>288</v>
      </c>
      <c r="I12" s="589">
        <f>+[18]A19b!$E$11+[18]A19b!$F$11</f>
        <v>6</v>
      </c>
      <c r="J12" s="590">
        <f t="shared" si="1"/>
        <v>100</v>
      </c>
    </row>
    <row r="13" spans="1:14" ht="21.75" customHeight="1">
      <c r="A13" s="588" t="s">
        <v>1100</v>
      </c>
      <c r="B13" s="589">
        <f>+[33]A19b!$B$11</f>
        <v>401</v>
      </c>
      <c r="C13" s="589">
        <f>+[33]A19b!$B$25</f>
        <v>9079</v>
      </c>
      <c r="D13" s="589">
        <f>+[33]A19b!$B$26</f>
        <v>11</v>
      </c>
      <c r="E13" s="589">
        <f>+[33]A19b!$B$27</f>
        <v>196</v>
      </c>
      <c r="F13" s="589">
        <f>+[33]A19b!$B$28</f>
        <v>262</v>
      </c>
      <c r="G13" s="589">
        <f>+[33]A19b!$B$29</f>
        <v>107</v>
      </c>
      <c r="H13" s="589">
        <f t="shared" si="0"/>
        <v>10056</v>
      </c>
      <c r="I13" s="589">
        <f>+[33]A19b!$E$11+[33]A19b!$F$11</f>
        <v>411</v>
      </c>
      <c r="J13" s="590">
        <f t="shared" si="1"/>
        <v>102.49376558603491</v>
      </c>
    </row>
    <row r="14" spans="1:14" ht="21.75" customHeight="1">
      <c r="A14" s="588" t="s">
        <v>1487</v>
      </c>
      <c r="B14" s="589">
        <f>+[19]A19b!$B$11</f>
        <v>36</v>
      </c>
      <c r="C14" s="589">
        <f>+[19]A19b!$B$25</f>
        <v>4762</v>
      </c>
      <c r="D14" s="589">
        <f>+[19]A19b!$B$26</f>
        <v>1</v>
      </c>
      <c r="E14" s="589">
        <f>+[19]A19b!$B$27</f>
        <v>59</v>
      </c>
      <c r="F14" s="589">
        <f>+[19]A19b!$B$28</f>
        <v>398</v>
      </c>
      <c r="G14" s="589">
        <f>+[19]A19b!$B$29</f>
        <v>0</v>
      </c>
      <c r="H14" s="589">
        <f t="shared" si="0"/>
        <v>5256</v>
      </c>
      <c r="I14" s="589">
        <f>+[19]A19b!$E$11+[19]A19b!$F$11</f>
        <v>40</v>
      </c>
      <c r="J14" s="590">
        <f t="shared" si="1"/>
        <v>111.11111111111111</v>
      </c>
      <c r="L14" s="115"/>
      <c r="N14" s="115"/>
    </row>
    <row r="15" spans="1:14" ht="21.75" customHeight="1">
      <c r="A15" s="588" t="s">
        <v>1488</v>
      </c>
      <c r="B15" s="589">
        <f>+[20]A19b!$B$11</f>
        <v>64</v>
      </c>
      <c r="C15" s="589">
        <f>+[20]A19b!$B$25</f>
        <v>1494</v>
      </c>
      <c r="D15" s="589">
        <f>+[20]A19b!$B$26</f>
        <v>3</v>
      </c>
      <c r="E15" s="589">
        <f>+[20]A19b!$B$27</f>
        <v>64</v>
      </c>
      <c r="F15" s="589">
        <f>+[20]A19b!$B$28</f>
        <v>58</v>
      </c>
      <c r="G15" s="589">
        <f>+[20]A19b!$B$29</f>
        <v>0</v>
      </c>
      <c r="H15" s="589">
        <f t="shared" si="0"/>
        <v>1683</v>
      </c>
      <c r="I15" s="589">
        <f>+[20]A19b!$E$11+[20]A19b!$F$11</f>
        <v>64</v>
      </c>
      <c r="J15" s="590">
        <f t="shared" si="1"/>
        <v>100</v>
      </c>
      <c r="L15" s="115"/>
      <c r="N15" s="115"/>
    </row>
    <row r="16" spans="1:14" ht="21.75" customHeight="1">
      <c r="A16" s="588" t="s">
        <v>362</v>
      </c>
      <c r="B16" s="589">
        <f>+[21]A19b!$B$11</f>
        <v>1</v>
      </c>
      <c r="C16" s="589">
        <f>+[21]A19b!$B$25</f>
        <v>235</v>
      </c>
      <c r="D16" s="589">
        <f>+[21]A19b!$B$26</f>
        <v>0</v>
      </c>
      <c r="E16" s="589">
        <f>+[21]A19b!$B$27</f>
        <v>8</v>
      </c>
      <c r="F16" s="589">
        <f>+[21]A19b!$B$28</f>
        <v>2</v>
      </c>
      <c r="G16" s="589">
        <f>+[21]A19b!$B$29</f>
        <v>0</v>
      </c>
      <c r="H16" s="589">
        <f t="shared" si="0"/>
        <v>246</v>
      </c>
      <c r="I16" s="589">
        <f>+[21]A19b!$E$11+[21]A19b!$F$11</f>
        <v>1</v>
      </c>
      <c r="J16" s="590">
        <f t="shared" si="1"/>
        <v>100</v>
      </c>
    </row>
    <row r="17" spans="1:10" ht="21.75" customHeight="1">
      <c r="A17" s="588" t="s">
        <v>1588</v>
      </c>
      <c r="B17" s="589">
        <f>+[34]A19b!$B$11</f>
        <v>9</v>
      </c>
      <c r="C17" s="589">
        <f>+[34]A19b!$B$25</f>
        <v>284</v>
      </c>
      <c r="D17" s="589">
        <f>+[34]A19b!$B$26</f>
        <v>2</v>
      </c>
      <c r="E17" s="589">
        <f>+[34]A19b!$B$27</f>
        <v>6</v>
      </c>
      <c r="F17" s="589">
        <f>+[34]A19b!$B$28</f>
        <v>191</v>
      </c>
      <c r="G17" s="589">
        <f>+[34]A19b!$B$29</f>
        <v>0</v>
      </c>
      <c r="H17" s="589">
        <f t="shared" si="0"/>
        <v>492</v>
      </c>
      <c r="I17" s="589">
        <f>+[34]A19b!$E$11+[34]A19b!$F$11</f>
        <v>10</v>
      </c>
      <c r="J17" s="590">
        <f t="shared" si="1"/>
        <v>111.11111111111111</v>
      </c>
    </row>
    <row r="18" spans="1:10" ht="21.75" customHeight="1">
      <c r="A18" s="588" t="s">
        <v>1489</v>
      </c>
      <c r="B18" s="589">
        <f>+[22]A19b!$B$11</f>
        <v>7</v>
      </c>
      <c r="C18" s="589">
        <f>+[22]A19b!$B$25</f>
        <v>79</v>
      </c>
      <c r="D18" s="589">
        <f>+[22]A19b!$B$26</f>
        <v>1</v>
      </c>
      <c r="E18" s="589">
        <f>+[22]A19b!$B$27</f>
        <v>10</v>
      </c>
      <c r="F18" s="589">
        <f>+[22]A19b!$B$28</f>
        <v>38</v>
      </c>
      <c r="G18" s="589">
        <f>+[22]A19b!$B$29</f>
        <v>0</v>
      </c>
      <c r="H18" s="589">
        <f t="shared" si="0"/>
        <v>135</v>
      </c>
      <c r="I18" s="589">
        <f>+[22]A19b!$E$11+[22]A19b!$F$11</f>
        <v>8</v>
      </c>
      <c r="J18" s="590">
        <f t="shared" si="1"/>
        <v>114.28571428571428</v>
      </c>
    </row>
    <row r="19" spans="1:10" ht="21.75" customHeight="1">
      <c r="A19" s="588" t="s">
        <v>1563</v>
      </c>
      <c r="B19" s="589">
        <f>+[35]A19b!$B$11</f>
        <v>0</v>
      </c>
      <c r="C19" s="589">
        <f>+[35]A19b!$B$25</f>
        <v>0</v>
      </c>
      <c r="D19" s="589">
        <f>+[35]A19b!$B$26</f>
        <v>0</v>
      </c>
      <c r="E19" s="589">
        <f>+[35]A19b!$B$27</f>
        <v>0</v>
      </c>
      <c r="F19" s="589">
        <f>+[35]A19b!$B$28</f>
        <v>0</v>
      </c>
      <c r="G19" s="589">
        <f>+[35]A19b!$B$29</f>
        <v>0</v>
      </c>
      <c r="H19" s="589">
        <f t="shared" si="0"/>
        <v>0</v>
      </c>
      <c r="I19" s="589">
        <f>+[35]A19b!$E$11+[35]A19b!$F$11</f>
        <v>0</v>
      </c>
      <c r="J19" s="590"/>
    </row>
    <row r="20" spans="1:10" ht="21.75" customHeight="1">
      <c r="A20" s="588" t="s">
        <v>1101</v>
      </c>
      <c r="B20" s="589">
        <f>+[36]A19b!$B$11</f>
        <v>20</v>
      </c>
      <c r="C20" s="589">
        <f>+[36]A19b!$B$25</f>
        <v>7557</v>
      </c>
      <c r="D20" s="589">
        <f>+[36]A19b!$B$26</f>
        <v>1</v>
      </c>
      <c r="E20" s="589">
        <f>+[36]A19b!$B$27</f>
        <v>21</v>
      </c>
      <c r="F20" s="589">
        <f>+[36]A19b!$B$28</f>
        <v>6</v>
      </c>
      <c r="G20" s="589">
        <f>+[36]A19b!$B$29</f>
        <v>0</v>
      </c>
      <c r="H20" s="589">
        <f t="shared" si="0"/>
        <v>7605</v>
      </c>
      <c r="I20" s="589">
        <f>+[36]A19b!$E$11+[36]A19b!$F$11</f>
        <v>19</v>
      </c>
      <c r="J20" s="590">
        <f t="shared" si="1"/>
        <v>95</v>
      </c>
    </row>
    <row r="21" spans="1:10" ht="21.75" customHeight="1">
      <c r="A21" s="588" t="s">
        <v>1480</v>
      </c>
      <c r="B21" s="589">
        <f>+[23]A19b!$B$11</f>
        <v>14</v>
      </c>
      <c r="C21" s="589">
        <f>+[23]A19b!$B$25</f>
        <v>2652</v>
      </c>
      <c r="D21" s="589">
        <f>+[23]A19b!$B$26</f>
        <v>2</v>
      </c>
      <c r="E21" s="589">
        <f>+[23]A19b!$B$27</f>
        <v>19</v>
      </c>
      <c r="F21" s="589">
        <f>+[23]A19b!$B$28</f>
        <v>1</v>
      </c>
      <c r="G21" s="589">
        <f>+[23]A19b!$B$29</f>
        <v>0</v>
      </c>
      <c r="H21" s="589">
        <f t="shared" si="0"/>
        <v>2688</v>
      </c>
      <c r="I21" s="589">
        <f>+[23]A19b!$E$11+[23]A19b!$F$11</f>
        <v>14</v>
      </c>
      <c r="J21" s="590">
        <f t="shared" si="1"/>
        <v>100</v>
      </c>
    </row>
    <row r="22" spans="1:10" ht="21.75" customHeight="1">
      <c r="A22" s="588" t="s">
        <v>1102</v>
      </c>
      <c r="B22" s="589">
        <f>+[37]A19b!$B$11</f>
        <v>25</v>
      </c>
      <c r="C22" s="589">
        <f>+[37]A19b!$B$25</f>
        <v>166</v>
      </c>
      <c r="D22" s="589">
        <f>+[37]A19b!$B$26</f>
        <v>0</v>
      </c>
      <c r="E22" s="589">
        <f>+[37]A19b!$B$27</f>
        <v>22</v>
      </c>
      <c r="F22" s="589">
        <f>+[37]A19b!$B$28</f>
        <v>39</v>
      </c>
      <c r="G22" s="589">
        <f>+[37]A19b!$B$29</f>
        <v>57</v>
      </c>
      <c r="H22" s="589">
        <f t="shared" si="0"/>
        <v>309</v>
      </c>
      <c r="I22" s="589">
        <f>+[37]A19b!$E$11+[37]A19b!$F$11</f>
        <v>25</v>
      </c>
      <c r="J22" s="590">
        <f t="shared" si="1"/>
        <v>100</v>
      </c>
    </row>
    <row r="23" spans="1:10" ht="21.75" customHeight="1">
      <c r="A23" s="588" t="s">
        <v>1479</v>
      </c>
      <c r="B23" s="589">
        <f>+[25]A19b!$B$11</f>
        <v>35</v>
      </c>
      <c r="C23" s="589">
        <f>+[25]A19b!$B$25</f>
        <v>221</v>
      </c>
      <c r="D23" s="589">
        <f>+[25]A19b!$B$26</f>
        <v>5</v>
      </c>
      <c r="E23" s="589">
        <f>+[25]A19b!$B$27</f>
        <v>26</v>
      </c>
      <c r="F23" s="589">
        <f>+[25]A19b!$B$28</f>
        <v>14</v>
      </c>
      <c r="G23" s="589">
        <f>+[25]A19b!$B$29</f>
        <v>0</v>
      </c>
      <c r="H23" s="589">
        <f t="shared" si="0"/>
        <v>301</v>
      </c>
      <c r="I23" s="589">
        <f>+[25]A19b!$E$11+[25]A19b!$F$11</f>
        <v>35</v>
      </c>
      <c r="J23" s="590">
        <f t="shared" si="1"/>
        <v>100</v>
      </c>
    </row>
    <row r="24" spans="1:10" ht="21.75" customHeight="1">
      <c r="A24" s="588" t="s">
        <v>1481</v>
      </c>
      <c r="B24" s="589">
        <f>+[28]A19b!$B$11</f>
        <v>20</v>
      </c>
      <c r="C24" s="589">
        <f>+[28]A19b!$B$25</f>
        <v>386</v>
      </c>
      <c r="D24" s="589">
        <f>+[28]A19b!$B$26</f>
        <v>2</v>
      </c>
      <c r="E24" s="589">
        <f>+[28]A19b!$B$27</f>
        <v>12</v>
      </c>
      <c r="F24" s="589">
        <f>+[28]A19b!$B$28</f>
        <v>3</v>
      </c>
      <c r="G24" s="589">
        <f>+[28]A19b!$B$29</f>
        <v>9</v>
      </c>
      <c r="H24" s="589">
        <f t="shared" si="0"/>
        <v>432</v>
      </c>
      <c r="I24" s="589">
        <f>+[28]A19b!$E$11+[28]A19b!$F$11</f>
        <v>20</v>
      </c>
      <c r="J24" s="590">
        <f t="shared" si="1"/>
        <v>100</v>
      </c>
    </row>
    <row r="25" spans="1:10" ht="21.75" customHeight="1">
      <c r="A25" s="588" t="s">
        <v>363</v>
      </c>
      <c r="B25" s="589">
        <f>+[38]A19b!$B$11</f>
        <v>33</v>
      </c>
      <c r="C25" s="589">
        <f>+[38]A19b!$B$25</f>
        <v>779</v>
      </c>
      <c r="D25" s="589">
        <f>+[38]A19b!$B$26</f>
        <v>1</v>
      </c>
      <c r="E25" s="589">
        <f>+[38]A19b!$B$27</f>
        <v>7</v>
      </c>
      <c r="F25" s="589">
        <f>+[38]A19b!$B$28</f>
        <v>75</v>
      </c>
      <c r="G25" s="589">
        <f>+[38]A19b!$B$29</f>
        <v>0</v>
      </c>
      <c r="H25" s="589">
        <f t="shared" si="0"/>
        <v>895</v>
      </c>
      <c r="I25" s="589">
        <f>+[38]A19b!$E$11+[38]A19b!$F$11+[38]A19b!$G$11</f>
        <v>33</v>
      </c>
      <c r="J25" s="590">
        <f t="shared" si="1"/>
        <v>100</v>
      </c>
    </row>
    <row r="26" spans="1:10" ht="21.75" customHeight="1">
      <c r="A26" s="588" t="s">
        <v>1482</v>
      </c>
      <c r="B26" s="589">
        <f>+[29]A19b!$B$11</f>
        <v>34</v>
      </c>
      <c r="C26" s="589">
        <f>+[29]A19b!$B$25</f>
        <v>2935</v>
      </c>
      <c r="D26" s="589">
        <f>+[29]A19b!$B$26</f>
        <v>5</v>
      </c>
      <c r="E26" s="589">
        <f>+[29]A19b!$B$27</f>
        <v>74</v>
      </c>
      <c r="F26" s="589">
        <f>+[29]A19b!$B$28</f>
        <v>88</v>
      </c>
      <c r="G26" s="589">
        <f>+[29]A19b!$B$29</f>
        <v>3</v>
      </c>
      <c r="H26" s="589">
        <f t="shared" si="0"/>
        <v>3139</v>
      </c>
      <c r="I26" s="589">
        <f>+[29]A19b!$E$11+[29]A19b!$F$11</f>
        <v>40</v>
      </c>
      <c r="J26" s="590">
        <f t="shared" si="1"/>
        <v>117.64705882352942</v>
      </c>
    </row>
    <row r="27" spans="1:10" ht="21.75" customHeight="1">
      <c r="A27" s="588" t="s">
        <v>1483</v>
      </c>
      <c r="B27" s="589">
        <f>+[30]A19b!$B$11</f>
        <v>40</v>
      </c>
      <c r="C27" s="589">
        <f>+[30]A19b!$B$25</f>
        <v>671</v>
      </c>
      <c r="D27" s="589">
        <f>+[30]A19b!$B$26</f>
        <v>1</v>
      </c>
      <c r="E27" s="589">
        <f>+[30]A19b!$B$27</f>
        <v>61</v>
      </c>
      <c r="F27" s="589">
        <f>+[30]A19b!$B$28</f>
        <v>18</v>
      </c>
      <c r="G27" s="589">
        <f>+[30]A19b!$B$29</f>
        <v>0</v>
      </c>
      <c r="H27" s="589">
        <f t="shared" si="0"/>
        <v>791</v>
      </c>
      <c r="I27" s="589">
        <f>+[30]A19b!$E$11+[30]A19b!$F$11</f>
        <v>45</v>
      </c>
      <c r="J27" s="590">
        <f t="shared" ref="J27" si="5">+I27/B27*100</f>
        <v>112.5</v>
      </c>
    </row>
    <row r="28" spans="1:10" ht="21.75" customHeight="1">
      <c r="A28" s="588" t="s">
        <v>1562</v>
      </c>
      <c r="B28" s="589">
        <f>+[31]A19b!$B$11</f>
        <v>2</v>
      </c>
      <c r="C28" s="589">
        <f>+[31]A19b!$B$25</f>
        <v>0</v>
      </c>
      <c r="D28" s="589">
        <f>+[31]A19b!$B$26</f>
        <v>0</v>
      </c>
      <c r="E28" s="589">
        <f>+[31]A19b!$B$27</f>
        <v>1</v>
      </c>
      <c r="F28" s="589">
        <f>+[31]A19b!$B$28</f>
        <v>0</v>
      </c>
      <c r="G28" s="589">
        <f>+[31]A19b!$B$29</f>
        <v>0</v>
      </c>
      <c r="H28" s="589">
        <f t="shared" si="0"/>
        <v>3</v>
      </c>
      <c r="I28" s="589">
        <f>+[31]A19b!$E$11+[31]A19b!$F$11</f>
        <v>2</v>
      </c>
      <c r="J28" s="590"/>
    </row>
    <row r="29" spans="1:10" ht="21.75" customHeight="1">
      <c r="A29" s="587" t="s">
        <v>517</v>
      </c>
      <c r="B29" s="589">
        <f t="shared" ref="B29:I29" si="6">SUM(B5:B28)</f>
        <v>1258</v>
      </c>
      <c r="C29" s="589">
        <f t="shared" si="6"/>
        <v>69911</v>
      </c>
      <c r="D29" s="589">
        <f t="shared" si="6"/>
        <v>64</v>
      </c>
      <c r="E29" s="589">
        <f t="shared" si="6"/>
        <v>938</v>
      </c>
      <c r="F29" s="589">
        <f t="shared" si="6"/>
        <v>1945</v>
      </c>
      <c r="G29" s="589">
        <f t="shared" si="6"/>
        <v>273</v>
      </c>
      <c r="H29" s="589">
        <f t="shared" si="6"/>
        <v>74389</v>
      </c>
      <c r="I29" s="589">
        <f t="shared" si="6"/>
        <v>1287</v>
      </c>
      <c r="J29" s="590">
        <f t="shared" ref="J29" si="7">+I29/B29*100</f>
        <v>102.30524642289349</v>
      </c>
    </row>
    <row r="30" spans="1:10">
      <c r="A30" s="1373"/>
      <c r="E30" s="965"/>
      <c r="F30" s="965"/>
      <c r="G30" s="965"/>
    </row>
    <row r="31" spans="1:10">
      <c r="B31" s="115"/>
      <c r="C31" s="1491"/>
      <c r="D31" s="115"/>
      <c r="E31" s="115"/>
      <c r="F31" s="115"/>
      <c r="G31" s="115"/>
      <c r="H31" s="115"/>
      <c r="I31" s="115"/>
      <c r="J31" s="115"/>
    </row>
    <row r="33" spans="1:9">
      <c r="A33" s="946"/>
      <c r="B33" s="115"/>
      <c r="C33" s="115"/>
      <c r="D33" s="115"/>
      <c r="E33" s="115"/>
      <c r="F33" s="115"/>
      <c r="G33" s="115"/>
      <c r="H33" s="115"/>
      <c r="I33" s="115"/>
    </row>
    <row r="35" spans="1:9">
      <c r="B35" s="115"/>
      <c r="F35" s="115"/>
      <c r="I35" s="115"/>
    </row>
  </sheetData>
  <mergeCells count="2">
    <mergeCell ref="A1:J1"/>
    <mergeCell ref="I4:J4"/>
  </mergeCells>
  <phoneticPr fontId="19" type="noConversion"/>
  <pageMargins left="1.9685039370078741" right="0.78740157480314965" top="0.43" bottom="0.48" header="0" footer="0"/>
  <pageSetup paperSize="5" orientation="landscape"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9"/>
  <sheetViews>
    <sheetView topLeftCell="D1" workbookViewId="0">
      <selection activeCell="R3" sqref="R3:R16"/>
    </sheetView>
  </sheetViews>
  <sheetFormatPr baseColWidth="10" defaultColWidth="11.44140625" defaultRowHeight="11.4"/>
  <cols>
    <col min="1" max="1" width="13" style="378" customWidth="1"/>
    <col min="2" max="2" width="17.5546875" style="378" customWidth="1"/>
    <col min="3" max="11" width="9.5546875" style="378" customWidth="1"/>
    <col min="12" max="12" width="11.44140625" style="378"/>
    <col min="13" max="13" width="9.44140625" style="378" customWidth="1"/>
    <col min="14" max="19" width="7.5546875" style="378" customWidth="1"/>
    <col min="20" max="16384" width="11.44140625" style="378"/>
  </cols>
  <sheetData>
    <row r="1" spans="1:19" ht="12">
      <c r="A1" s="1616" t="s">
        <v>1103</v>
      </c>
      <c r="B1" s="1616"/>
      <c r="C1" s="1616"/>
      <c r="D1" s="1616"/>
      <c r="E1" s="1616"/>
      <c r="F1" s="1616"/>
      <c r="G1" s="1616"/>
      <c r="H1" s="1616"/>
      <c r="I1" s="1162"/>
      <c r="J1" s="1162"/>
      <c r="K1" s="1162"/>
      <c r="M1" s="378" t="s">
        <v>1104</v>
      </c>
    </row>
    <row r="2" spans="1:19" ht="12">
      <c r="A2" s="591"/>
      <c r="B2" s="591"/>
      <c r="C2" s="591"/>
      <c r="D2" s="591"/>
      <c r="E2" s="591"/>
      <c r="F2" s="591"/>
      <c r="G2" s="591"/>
      <c r="H2" s="591"/>
      <c r="I2" s="591"/>
      <c r="J2" s="591"/>
      <c r="K2" s="591"/>
      <c r="N2" s="378">
        <v>2015</v>
      </c>
      <c r="O2" s="378">
        <v>2016</v>
      </c>
      <c r="P2" s="378">
        <v>2017</v>
      </c>
      <c r="Q2" s="378">
        <v>2018</v>
      </c>
      <c r="R2" s="378">
        <v>2019</v>
      </c>
      <c r="S2" s="378">
        <v>2020</v>
      </c>
    </row>
    <row r="3" spans="1:19" ht="12">
      <c r="A3" s="1616" t="s">
        <v>879</v>
      </c>
      <c r="B3" s="1616"/>
      <c r="C3" s="1616"/>
      <c r="D3" s="1616"/>
      <c r="E3" s="1616"/>
      <c r="F3" s="1616"/>
      <c r="G3" s="1616"/>
      <c r="H3" s="1616"/>
      <c r="I3" s="1162"/>
      <c r="J3" s="1162"/>
      <c r="K3" s="1162"/>
      <c r="M3" s="378" t="s">
        <v>1105</v>
      </c>
      <c r="N3" s="204">
        <v>273968</v>
      </c>
      <c r="O3" s="204">
        <v>276985</v>
      </c>
      <c r="P3" s="204">
        <v>279618</v>
      </c>
      <c r="Q3" s="204">
        <v>282248</v>
      </c>
      <c r="R3" s="378">
        <v>284925</v>
      </c>
      <c r="S3" s="378">
        <f>+S8+S16</f>
        <v>283366</v>
      </c>
    </row>
    <row r="4" spans="1:19">
      <c r="M4" s="378" t="s">
        <v>1106</v>
      </c>
      <c r="N4" s="378">
        <v>78473</v>
      </c>
      <c r="O4" s="378">
        <v>79637</v>
      </c>
      <c r="P4" s="378">
        <v>80724</v>
      </c>
      <c r="Q4" s="1102">
        <v>81806</v>
      </c>
      <c r="R4" s="495">
        <v>82886</v>
      </c>
      <c r="S4" s="495">
        <f>+'7'!$F$20</f>
        <v>68093</v>
      </c>
    </row>
    <row r="5" spans="1:19">
      <c r="M5" s="378" t="s">
        <v>1107</v>
      </c>
      <c r="N5" s="378">
        <v>18141</v>
      </c>
      <c r="O5" s="378">
        <v>18363</v>
      </c>
      <c r="P5" s="378">
        <v>18562</v>
      </c>
      <c r="Q5" s="1102">
        <v>18765</v>
      </c>
      <c r="R5" s="495">
        <v>18970</v>
      </c>
      <c r="S5" s="495">
        <f>+'7'!$G$20</f>
        <v>20643</v>
      </c>
    </row>
    <row r="6" spans="1:19">
      <c r="M6" s="378" t="s">
        <v>1108</v>
      </c>
      <c r="N6" s="378">
        <v>11112</v>
      </c>
      <c r="O6" s="378">
        <v>11130</v>
      </c>
      <c r="P6" s="378">
        <v>11113</v>
      </c>
      <c r="Q6" s="1102">
        <v>11100</v>
      </c>
      <c r="R6" s="495">
        <v>11090</v>
      </c>
      <c r="S6" s="495">
        <f>+'7'!$H$20</f>
        <v>16482</v>
      </c>
    </row>
    <row r="7" spans="1:19">
      <c r="M7" s="378" t="s">
        <v>561</v>
      </c>
      <c r="N7" s="378">
        <v>8272</v>
      </c>
      <c r="O7" s="378">
        <v>8366</v>
      </c>
      <c r="P7" s="378">
        <v>8449</v>
      </c>
      <c r="Q7" s="1102">
        <v>8514</v>
      </c>
      <c r="R7" s="495">
        <v>8600</v>
      </c>
      <c r="S7" s="495">
        <f>+'7'!$I$20</f>
        <v>11263</v>
      </c>
    </row>
    <row r="8" spans="1:19" s="481" customFormat="1" ht="21.75" customHeight="1">
      <c r="A8" s="502" t="s">
        <v>536</v>
      </c>
      <c r="B8" s="592" t="s">
        <v>835</v>
      </c>
      <c r="C8" s="1481">
        <v>2015</v>
      </c>
      <c r="D8" s="1481">
        <v>2016</v>
      </c>
      <c r="E8" s="1481">
        <v>2017</v>
      </c>
      <c r="F8" s="1481">
        <v>2018</v>
      </c>
      <c r="G8" s="1241">
        <v>2019</v>
      </c>
      <c r="H8" s="1038">
        <v>2020</v>
      </c>
      <c r="I8" s="343"/>
      <c r="J8" s="343"/>
      <c r="K8" s="343"/>
      <c r="M8" s="481" t="s">
        <v>1109</v>
      </c>
      <c r="N8" s="481">
        <v>115998</v>
      </c>
      <c r="O8" s="481">
        <v>117496</v>
      </c>
      <c r="P8" s="481">
        <v>118848</v>
      </c>
      <c r="Q8" s="481">
        <v>120185</v>
      </c>
      <c r="R8" s="481">
        <v>121546</v>
      </c>
      <c r="S8" s="481">
        <f>SUM(S4:S7)</f>
        <v>116481</v>
      </c>
    </row>
    <row r="9" spans="1:19" s="481" customFormat="1" ht="21.75" customHeight="1">
      <c r="A9" s="465" t="s">
        <v>929</v>
      </c>
      <c r="B9" s="334" t="s">
        <v>1110</v>
      </c>
      <c r="C9" s="466">
        <v>23282</v>
      </c>
      <c r="D9" s="466">
        <v>24414</v>
      </c>
      <c r="E9" s="466">
        <v>29526</v>
      </c>
      <c r="F9" s="466">
        <v>31300</v>
      </c>
      <c r="G9" s="507">
        <v>28968</v>
      </c>
      <c r="H9" s="466">
        <f>+'48'!AL8</f>
        <v>22654</v>
      </c>
      <c r="I9" s="353"/>
      <c r="J9" s="353"/>
      <c r="K9" s="353"/>
      <c r="M9" s="481" t="s">
        <v>1111</v>
      </c>
      <c r="N9" s="481">
        <v>80479</v>
      </c>
      <c r="O9" s="481">
        <v>81500</v>
      </c>
      <c r="P9" s="481">
        <v>82438</v>
      </c>
      <c r="Q9" s="539">
        <v>83385</v>
      </c>
      <c r="R9" s="491">
        <v>84326</v>
      </c>
      <c r="S9" s="491">
        <f>+'7'!$K$20</f>
        <v>83494</v>
      </c>
    </row>
    <row r="10" spans="1:19" s="481" customFormat="1" ht="21.75" customHeight="1">
      <c r="A10" s="465"/>
      <c r="B10" s="334" t="s">
        <v>1112</v>
      </c>
      <c r="C10" s="466">
        <v>13482</v>
      </c>
      <c r="D10" s="466">
        <v>19706</v>
      </c>
      <c r="E10" s="466">
        <v>27353</v>
      </c>
      <c r="F10" s="466">
        <v>25999</v>
      </c>
      <c r="G10" s="507">
        <v>24593</v>
      </c>
      <c r="H10" s="466">
        <f>+'48'!AL9</f>
        <v>13731</v>
      </c>
      <c r="I10" s="353"/>
      <c r="J10" s="353"/>
      <c r="K10" s="353"/>
      <c r="M10" s="481" t="s">
        <v>568</v>
      </c>
      <c r="N10" s="481">
        <v>17716</v>
      </c>
      <c r="O10" s="481">
        <v>17906</v>
      </c>
      <c r="P10" s="481">
        <v>18071</v>
      </c>
      <c r="Q10" s="539">
        <v>18244</v>
      </c>
      <c r="R10" s="491">
        <v>18413</v>
      </c>
      <c r="S10" s="491">
        <f>+'7'!$L$20</f>
        <v>17645</v>
      </c>
    </row>
    <row r="11" spans="1:19" s="481" customFormat="1" ht="21.75" customHeight="1">
      <c r="A11" s="465"/>
      <c r="B11" s="293" t="s">
        <v>1561</v>
      </c>
      <c r="C11" s="466"/>
      <c r="D11" s="466"/>
      <c r="E11" s="466"/>
      <c r="F11" s="466">
        <v>373</v>
      </c>
      <c r="G11" s="507">
        <v>1263</v>
      </c>
      <c r="H11" s="466">
        <f>+'48'!AL10</f>
        <v>0</v>
      </c>
      <c r="I11" s="353"/>
      <c r="J11" s="353"/>
      <c r="K11" s="353"/>
      <c r="Q11" s="539"/>
      <c r="R11" s="491"/>
      <c r="S11" s="491"/>
    </row>
    <row r="12" spans="1:19" s="481" customFormat="1" ht="21.75" customHeight="1">
      <c r="A12" s="465"/>
      <c r="B12" s="334" t="s">
        <v>625</v>
      </c>
      <c r="C12" s="466">
        <v>36764</v>
      </c>
      <c r="D12" s="466">
        <v>44120</v>
      </c>
      <c r="E12" s="466">
        <v>56879</v>
      </c>
      <c r="F12" s="466">
        <v>57672</v>
      </c>
      <c r="G12" s="507">
        <v>54824</v>
      </c>
      <c r="H12" s="466">
        <f>SUM(H9:H11)</f>
        <v>36385</v>
      </c>
      <c r="I12" s="353"/>
      <c r="J12" s="353"/>
      <c r="K12" s="353"/>
      <c r="M12" s="481" t="s">
        <v>1113</v>
      </c>
      <c r="N12" s="481">
        <v>14864</v>
      </c>
      <c r="O12" s="481">
        <v>14972</v>
      </c>
      <c r="P12" s="481">
        <v>15050</v>
      </c>
      <c r="Q12" s="539">
        <v>15133</v>
      </c>
      <c r="R12" s="491">
        <v>15219</v>
      </c>
      <c r="S12" s="491">
        <f>+'7'!$M$20</f>
        <v>16367</v>
      </c>
    </row>
    <row r="13" spans="1:19" s="481" customFormat="1" ht="21.75" customHeight="1">
      <c r="A13" s="465" t="s">
        <v>522</v>
      </c>
      <c r="B13" s="334" t="s">
        <v>954</v>
      </c>
      <c r="C13" s="466">
        <v>15488</v>
      </c>
      <c r="D13" s="466">
        <v>15596</v>
      </c>
      <c r="E13" s="466">
        <v>19008</v>
      </c>
      <c r="F13" s="466">
        <v>19050</v>
      </c>
      <c r="G13" s="507">
        <v>22806</v>
      </c>
      <c r="H13" s="466">
        <f>+'48'!AL12</f>
        <v>19949</v>
      </c>
      <c r="I13" s="353"/>
      <c r="J13" s="353"/>
      <c r="K13" s="353"/>
      <c r="M13" s="481" t="s">
        <v>583</v>
      </c>
      <c r="N13" s="481">
        <v>7682</v>
      </c>
      <c r="O13" s="481">
        <v>7743</v>
      </c>
      <c r="P13" s="481">
        <v>7790</v>
      </c>
      <c r="Q13" s="539">
        <v>7836</v>
      </c>
      <c r="R13" s="491">
        <v>7890</v>
      </c>
      <c r="S13" s="491">
        <f>+'7'!$N$20</f>
        <v>7633</v>
      </c>
    </row>
    <row r="14" spans="1:19" s="481" customFormat="1" ht="21.75" customHeight="1">
      <c r="A14" s="465" t="s">
        <v>930</v>
      </c>
      <c r="B14" s="334" t="s">
        <v>1114</v>
      </c>
      <c r="C14" s="466">
        <v>12556</v>
      </c>
      <c r="D14" s="466">
        <v>15234</v>
      </c>
      <c r="E14" s="466">
        <v>16399</v>
      </c>
      <c r="F14" s="466">
        <v>18795</v>
      </c>
      <c r="G14" s="507">
        <v>16105</v>
      </c>
      <c r="H14" s="466">
        <f>+'48'!AL13</f>
        <v>12156</v>
      </c>
      <c r="I14" s="353"/>
      <c r="J14" s="353"/>
      <c r="K14" s="353"/>
      <c r="M14" s="481" t="s">
        <v>1115</v>
      </c>
      <c r="N14" s="481">
        <v>23810</v>
      </c>
      <c r="O14" s="481">
        <v>23892</v>
      </c>
      <c r="P14" s="481">
        <v>23932</v>
      </c>
      <c r="Q14" s="539">
        <v>23956</v>
      </c>
      <c r="R14" s="491">
        <v>24004</v>
      </c>
      <c r="S14" s="491">
        <f>+'7'!$O$20</f>
        <v>26533</v>
      </c>
    </row>
    <row r="15" spans="1:19" s="481" customFormat="1" ht="21.75" customHeight="1">
      <c r="A15" s="465" t="s">
        <v>524</v>
      </c>
      <c r="B15" s="334" t="s">
        <v>956</v>
      </c>
      <c r="C15" s="466">
        <v>13929</v>
      </c>
      <c r="D15" s="466">
        <v>12601</v>
      </c>
      <c r="E15" s="466">
        <v>11813</v>
      </c>
      <c r="F15" s="466">
        <v>10664</v>
      </c>
      <c r="G15" s="507">
        <v>14681</v>
      </c>
      <c r="H15" s="466">
        <f>+'48'!AL14</f>
        <v>13223</v>
      </c>
      <c r="I15" s="353"/>
      <c r="J15" s="353"/>
      <c r="K15" s="353"/>
      <c r="M15" s="481" t="s">
        <v>1116</v>
      </c>
      <c r="N15" s="481">
        <v>13419</v>
      </c>
      <c r="O15" s="481">
        <v>13476</v>
      </c>
      <c r="P15" s="481">
        <v>13489</v>
      </c>
      <c r="Q15" s="539">
        <v>13509</v>
      </c>
      <c r="R15" s="491">
        <v>13527</v>
      </c>
      <c r="S15" s="491">
        <f>+'7'!$P$20</f>
        <v>15213</v>
      </c>
    </row>
    <row r="16" spans="1:19" s="481" customFormat="1" ht="21.75" customHeight="1">
      <c r="A16" s="475" t="s">
        <v>931</v>
      </c>
      <c r="B16" s="484"/>
      <c r="C16" s="474">
        <v>78737</v>
      </c>
      <c r="D16" s="474">
        <v>87551</v>
      </c>
      <c r="E16" s="474">
        <v>104099</v>
      </c>
      <c r="F16" s="474">
        <v>106181</v>
      </c>
      <c r="G16" s="1553">
        <v>108416</v>
      </c>
      <c r="H16" s="474">
        <f>SUM(H12:H15)</f>
        <v>81713</v>
      </c>
      <c r="I16" s="473"/>
      <c r="J16" s="473"/>
      <c r="K16" s="473"/>
      <c r="M16" s="481" t="s">
        <v>1117</v>
      </c>
      <c r="N16" s="481">
        <v>157970</v>
      </c>
      <c r="O16" s="481">
        <v>159489</v>
      </c>
      <c r="P16" s="481">
        <v>160770</v>
      </c>
      <c r="Q16" s="481">
        <v>162063</v>
      </c>
      <c r="R16" s="481">
        <v>163379</v>
      </c>
      <c r="S16" s="481">
        <f t="shared" ref="S16" si="0">SUM(S9:S15)</f>
        <v>166885</v>
      </c>
    </row>
    <row r="17" spans="1:19" s="481" customFormat="1" ht="21.75" customHeight="1">
      <c r="A17" s="465" t="s">
        <v>932</v>
      </c>
      <c r="B17" s="334" t="s">
        <v>810</v>
      </c>
      <c r="C17" s="466">
        <v>22451</v>
      </c>
      <c r="D17" s="466">
        <v>22005</v>
      </c>
      <c r="E17" s="466">
        <v>26828</v>
      </c>
      <c r="F17" s="466">
        <v>26053</v>
      </c>
      <c r="G17" s="507">
        <v>27220</v>
      </c>
      <c r="H17" s="466">
        <f>+'48'!AL16</f>
        <v>11842</v>
      </c>
      <c r="I17" s="353"/>
      <c r="J17" s="353"/>
      <c r="K17" s="353"/>
    </row>
    <row r="18" spans="1:19" s="481" customFormat="1" ht="21.75" customHeight="1">
      <c r="A18" s="465"/>
      <c r="B18" s="334" t="s">
        <v>811</v>
      </c>
      <c r="C18" s="466">
        <v>37121</v>
      </c>
      <c r="D18" s="466">
        <v>34880</v>
      </c>
      <c r="E18" s="466">
        <v>39965</v>
      </c>
      <c r="F18" s="466">
        <v>36941</v>
      </c>
      <c r="G18" s="507">
        <v>41292</v>
      </c>
      <c r="H18" s="466">
        <f>+'48'!AL18</f>
        <v>24948</v>
      </c>
      <c r="I18" s="353"/>
      <c r="J18" s="353"/>
      <c r="K18" s="353"/>
    </row>
    <row r="19" spans="1:19" s="481" customFormat="1" ht="21.75" customHeight="1">
      <c r="A19" s="465"/>
      <c r="B19" s="293" t="s">
        <v>1478</v>
      </c>
      <c r="C19" s="466"/>
      <c r="D19" s="466"/>
      <c r="E19" s="466">
        <v>1170</v>
      </c>
      <c r="F19" s="466">
        <v>1506</v>
      </c>
      <c r="G19" s="507">
        <v>1978</v>
      </c>
      <c r="H19" s="466">
        <f>+'48'!AL17</f>
        <v>230</v>
      </c>
      <c r="I19" s="353"/>
      <c r="J19" s="353"/>
      <c r="K19" s="353"/>
    </row>
    <row r="20" spans="1:19" s="481" customFormat="1" ht="21.75" customHeight="1">
      <c r="A20" s="465"/>
      <c r="B20" s="334" t="s">
        <v>812</v>
      </c>
      <c r="C20" s="466">
        <v>7027</v>
      </c>
      <c r="D20" s="466">
        <v>7634</v>
      </c>
      <c r="E20" s="466">
        <v>7671</v>
      </c>
      <c r="F20" s="466">
        <v>8375</v>
      </c>
      <c r="G20" s="507">
        <v>7680</v>
      </c>
      <c r="H20" s="466">
        <f>+'48'!AL20</f>
        <v>4397</v>
      </c>
      <c r="I20" s="353"/>
      <c r="J20" s="353"/>
      <c r="K20" s="353"/>
      <c r="M20" s="481" t="s">
        <v>662</v>
      </c>
    </row>
    <row r="21" spans="1:19" s="481" customFormat="1" ht="21.75" customHeight="1">
      <c r="A21" s="465"/>
      <c r="B21" s="334" t="s">
        <v>625</v>
      </c>
      <c r="C21" s="466">
        <v>66599</v>
      </c>
      <c r="D21" s="466">
        <v>64519</v>
      </c>
      <c r="E21" s="466">
        <v>75634</v>
      </c>
      <c r="F21" s="466">
        <v>72875</v>
      </c>
      <c r="G21" s="507">
        <v>78170</v>
      </c>
      <c r="H21" s="466">
        <f>SUM(H17:H20)</f>
        <v>41417</v>
      </c>
      <c r="I21" s="353"/>
      <c r="J21" s="353"/>
      <c r="K21" s="353"/>
      <c r="M21" s="481" t="s">
        <v>1105</v>
      </c>
      <c r="N21" s="593">
        <f t="shared" ref="N21:S21" si="1">+C32/N3</f>
        <v>0.85749795596566025</v>
      </c>
      <c r="O21" s="593">
        <f t="shared" si="1"/>
        <v>0.88302254634727517</v>
      </c>
      <c r="P21" s="593">
        <f t="shared" si="1"/>
        <v>1.0160361636232289</v>
      </c>
      <c r="Q21" s="593">
        <f t="shared" si="1"/>
        <v>1.0207654261500525</v>
      </c>
      <c r="R21" s="593">
        <f t="shared" si="1"/>
        <v>1.0423374572255857</v>
      </c>
      <c r="S21" s="593">
        <f t="shared" si="1"/>
        <v>0.71776783382621767</v>
      </c>
    </row>
    <row r="22" spans="1:19" s="481" customFormat="1" ht="21.75" customHeight="1">
      <c r="A22" s="465" t="s">
        <v>527</v>
      </c>
      <c r="B22" s="334" t="s">
        <v>959</v>
      </c>
      <c r="C22" s="466">
        <v>17657</v>
      </c>
      <c r="D22" s="466">
        <v>21248</v>
      </c>
      <c r="E22" s="466">
        <v>25342</v>
      </c>
      <c r="F22" s="466">
        <v>27185</v>
      </c>
      <c r="G22" s="507">
        <v>27988</v>
      </c>
      <c r="H22" s="466">
        <f>+'48'!AL22</f>
        <v>18060</v>
      </c>
      <c r="I22" s="353"/>
      <c r="J22" s="353"/>
      <c r="K22" s="353"/>
      <c r="M22" s="481" t="s">
        <v>1106</v>
      </c>
      <c r="N22" s="593">
        <f t="shared" ref="N22:S22" si="2">+C12/N4</f>
        <v>0.46849234768646542</v>
      </c>
      <c r="O22" s="593">
        <f t="shared" si="2"/>
        <v>0.5540138377889674</v>
      </c>
      <c r="P22" s="593">
        <f t="shared" si="2"/>
        <v>0.70461077250879545</v>
      </c>
      <c r="Q22" s="593">
        <f t="shared" si="2"/>
        <v>0.70498496442803704</v>
      </c>
      <c r="R22" s="593">
        <f t="shared" si="2"/>
        <v>0.66143860241777863</v>
      </c>
      <c r="S22" s="593">
        <f t="shared" si="2"/>
        <v>0.534342737138913</v>
      </c>
    </row>
    <row r="23" spans="1:19" s="481" customFormat="1" ht="21.75" customHeight="1">
      <c r="A23" s="465"/>
      <c r="B23" s="293" t="s">
        <v>1237</v>
      </c>
      <c r="C23" s="466"/>
      <c r="D23" s="466">
        <v>19</v>
      </c>
      <c r="E23" s="466">
        <v>0</v>
      </c>
      <c r="F23" s="466">
        <v>0</v>
      </c>
      <c r="G23" s="507">
        <v>125</v>
      </c>
      <c r="H23" s="466">
        <f>+'48'!AL23</f>
        <v>45</v>
      </c>
      <c r="I23" s="353"/>
      <c r="J23" s="353"/>
      <c r="K23" s="353"/>
      <c r="N23" s="593"/>
      <c r="O23" s="593"/>
      <c r="P23" s="593"/>
      <c r="Q23" s="593"/>
      <c r="R23" s="593"/>
      <c r="S23" s="593"/>
    </row>
    <row r="24" spans="1:19" s="481" customFormat="1" ht="21.75" customHeight="1">
      <c r="A24" s="465"/>
      <c r="B24" s="334" t="s">
        <v>933</v>
      </c>
      <c r="C24" s="466">
        <v>273</v>
      </c>
      <c r="D24" s="466">
        <v>366</v>
      </c>
      <c r="E24" s="466">
        <v>1076</v>
      </c>
      <c r="F24" s="466">
        <v>27</v>
      </c>
      <c r="G24" s="507">
        <v>0</v>
      </c>
      <c r="H24" s="466">
        <f>+'48'!AL24</f>
        <v>0</v>
      </c>
      <c r="I24" s="353"/>
      <c r="J24" s="353"/>
      <c r="K24" s="353"/>
      <c r="M24" s="481" t="s">
        <v>1107</v>
      </c>
      <c r="N24" s="593">
        <f t="shared" ref="N24:S27" si="3">+C13/N5</f>
        <v>0.85375668375503</v>
      </c>
      <c r="O24" s="593">
        <f t="shared" si="3"/>
        <v>0.84931656047486792</v>
      </c>
      <c r="P24" s="593">
        <f t="shared" si="3"/>
        <v>1.0240275832345653</v>
      </c>
      <c r="Q24" s="593">
        <f t="shared" si="3"/>
        <v>1.0151878497202238</v>
      </c>
      <c r="R24" s="593">
        <f t="shared" si="3"/>
        <v>1.2022140221402213</v>
      </c>
      <c r="S24" s="593">
        <f t="shared" si="3"/>
        <v>0.96638085549580977</v>
      </c>
    </row>
    <row r="25" spans="1:19" s="481" customFormat="1" ht="21.75" customHeight="1">
      <c r="A25" s="465"/>
      <c r="B25" s="334" t="s">
        <v>625</v>
      </c>
      <c r="C25" s="466">
        <v>17930</v>
      </c>
      <c r="D25" s="466">
        <v>21633</v>
      </c>
      <c r="E25" s="466">
        <v>26418</v>
      </c>
      <c r="F25" s="466">
        <v>27212</v>
      </c>
      <c r="G25" s="507">
        <v>28113</v>
      </c>
      <c r="H25" s="466">
        <f>SUM(H22:H24)</f>
        <v>18105</v>
      </c>
      <c r="I25" s="353"/>
      <c r="J25" s="353"/>
      <c r="K25" s="353"/>
      <c r="M25" s="481" t="s">
        <v>1108</v>
      </c>
      <c r="N25" s="593">
        <f t="shared" si="3"/>
        <v>1.1299496040316774</v>
      </c>
      <c r="O25" s="593">
        <f t="shared" si="3"/>
        <v>1.3687331536388141</v>
      </c>
      <c r="P25" s="593">
        <f t="shared" si="3"/>
        <v>1.4756591379465491</v>
      </c>
      <c r="Q25" s="593">
        <f t="shared" si="3"/>
        <v>1.6932432432432432</v>
      </c>
      <c r="R25" s="593">
        <f t="shared" si="3"/>
        <v>1.4522091974752029</v>
      </c>
      <c r="S25" s="593">
        <f t="shared" si="3"/>
        <v>0.73753185293046963</v>
      </c>
    </row>
    <row r="26" spans="1:19" s="481" customFormat="1" ht="21.75" customHeight="1">
      <c r="A26" s="465" t="s">
        <v>528</v>
      </c>
      <c r="B26" s="334" t="s">
        <v>960</v>
      </c>
      <c r="C26" s="466">
        <v>20428</v>
      </c>
      <c r="D26" s="466">
        <v>15732</v>
      </c>
      <c r="E26" s="466">
        <v>17782</v>
      </c>
      <c r="F26" s="466">
        <v>17476</v>
      </c>
      <c r="G26" s="507">
        <v>17790</v>
      </c>
      <c r="H26" s="466">
        <f>+'48'!AL26</f>
        <v>12828</v>
      </c>
      <c r="I26" s="353"/>
      <c r="J26" s="353"/>
      <c r="K26" s="353"/>
      <c r="M26" s="481" t="s">
        <v>561</v>
      </c>
      <c r="N26" s="593">
        <f t="shared" si="3"/>
        <v>1.6838733075435204</v>
      </c>
      <c r="O26" s="593">
        <f t="shared" si="3"/>
        <v>1.5062156347119293</v>
      </c>
      <c r="P26" s="593">
        <f t="shared" si="3"/>
        <v>1.3981536276482425</v>
      </c>
      <c r="Q26" s="593">
        <f t="shared" si="3"/>
        <v>1.2525252525252526</v>
      </c>
      <c r="R26" s="593">
        <f t="shared" si="3"/>
        <v>1.7070930232558139</v>
      </c>
      <c r="S26" s="593">
        <f t="shared" si="3"/>
        <v>1.1740211311373523</v>
      </c>
    </row>
    <row r="27" spans="1:19" s="481" customFormat="1" ht="21.75" customHeight="1">
      <c r="A27" s="465" t="s">
        <v>529</v>
      </c>
      <c r="B27" s="334" t="s">
        <v>961</v>
      </c>
      <c r="C27" s="466">
        <v>10175</v>
      </c>
      <c r="D27" s="466">
        <v>14678</v>
      </c>
      <c r="E27" s="466">
        <v>14189</v>
      </c>
      <c r="F27" s="466">
        <v>13839</v>
      </c>
      <c r="G27" s="507">
        <v>15380</v>
      </c>
      <c r="H27" s="466">
        <f>+'48'!AL27</f>
        <v>11913</v>
      </c>
      <c r="I27" s="353"/>
      <c r="J27" s="353"/>
      <c r="K27" s="353"/>
      <c r="M27" s="481" t="s">
        <v>1109</v>
      </c>
      <c r="N27" s="593">
        <f t="shared" si="3"/>
        <v>0.67877894446455977</v>
      </c>
      <c r="O27" s="593">
        <f t="shared" si="3"/>
        <v>0.74514026009396062</v>
      </c>
      <c r="P27" s="593">
        <f t="shared" si="3"/>
        <v>0.87590030963920307</v>
      </c>
      <c r="Q27" s="593">
        <f t="shared" si="3"/>
        <v>0.88347963556184217</v>
      </c>
      <c r="R27" s="593">
        <f t="shared" si="3"/>
        <v>0.89197505471179639</v>
      </c>
      <c r="S27" s="593">
        <f t="shared" si="3"/>
        <v>0.70151355156634987</v>
      </c>
    </row>
    <row r="28" spans="1:19" s="481" customFormat="1" ht="21.75" customHeight="1">
      <c r="A28" s="465" t="s">
        <v>934</v>
      </c>
      <c r="B28" s="334" t="s">
        <v>817</v>
      </c>
      <c r="C28" s="466">
        <v>23264</v>
      </c>
      <c r="D28" s="466">
        <v>19351</v>
      </c>
      <c r="E28" s="466">
        <v>24065</v>
      </c>
      <c r="F28" s="466">
        <v>24217</v>
      </c>
      <c r="G28" s="507">
        <v>22928</v>
      </c>
      <c r="H28" s="466">
        <f>+'48'!AL28</f>
        <v>15531</v>
      </c>
      <c r="I28" s="353"/>
      <c r="J28" s="353"/>
      <c r="K28" s="353"/>
      <c r="M28" s="481" t="s">
        <v>1111</v>
      </c>
      <c r="N28" s="593">
        <f t="shared" ref="N28:S28" si="4">+C21/N9</f>
        <v>0.82753264826849238</v>
      </c>
      <c r="O28" s="593">
        <f t="shared" si="4"/>
        <v>0.79164417177914115</v>
      </c>
      <c r="P28" s="593">
        <f t="shared" si="4"/>
        <v>0.91746524660957329</v>
      </c>
      <c r="Q28" s="593">
        <f t="shared" si="4"/>
        <v>0.87395814594951127</v>
      </c>
      <c r="R28" s="593">
        <f t="shared" si="4"/>
        <v>0.92699760453478164</v>
      </c>
      <c r="S28" s="593">
        <f t="shared" si="4"/>
        <v>0.49604762018827703</v>
      </c>
    </row>
    <row r="29" spans="1:19" s="481" customFormat="1" ht="21.75" customHeight="1">
      <c r="A29" s="465"/>
      <c r="B29" s="293" t="s">
        <v>967</v>
      </c>
      <c r="C29" s="466">
        <v>395</v>
      </c>
      <c r="D29" s="466">
        <v>571</v>
      </c>
      <c r="E29" s="466">
        <v>682</v>
      </c>
      <c r="F29" s="466">
        <v>882</v>
      </c>
      <c r="G29" s="507">
        <v>1008</v>
      </c>
      <c r="H29" s="466">
        <f>+'48'!AL29</f>
        <v>475</v>
      </c>
      <c r="I29" s="353"/>
      <c r="J29" s="353"/>
      <c r="K29" s="353"/>
      <c r="N29" s="593"/>
      <c r="O29" s="593"/>
      <c r="P29" s="593"/>
      <c r="Q29" s="593"/>
      <c r="R29" s="593"/>
      <c r="S29" s="593"/>
    </row>
    <row r="30" spans="1:19" s="481" customFormat="1" ht="21.75" customHeight="1">
      <c r="A30" s="465" t="s">
        <v>531</v>
      </c>
      <c r="B30" s="334" t="s">
        <v>962</v>
      </c>
      <c r="C30" s="466">
        <v>17399</v>
      </c>
      <c r="D30" s="466">
        <v>20549</v>
      </c>
      <c r="E30" s="466">
        <v>21233</v>
      </c>
      <c r="F30" s="466">
        <v>25427</v>
      </c>
      <c r="G30" s="507">
        <v>25183</v>
      </c>
      <c r="H30" s="466">
        <f>+'48'!AL30</f>
        <v>21409</v>
      </c>
      <c r="I30" s="353"/>
      <c r="J30" s="353"/>
      <c r="K30" s="353"/>
      <c r="M30" s="481" t="s">
        <v>568</v>
      </c>
      <c r="N30" s="593">
        <f t="shared" ref="N30:S30" si="5">+C25/N10</f>
        <v>1.0120794761797245</v>
      </c>
      <c r="O30" s="593">
        <f t="shared" si="5"/>
        <v>1.2081425220596449</v>
      </c>
      <c r="P30" s="593">
        <f t="shared" si="5"/>
        <v>1.4619002822201317</v>
      </c>
      <c r="Q30" s="593">
        <f t="shared" si="5"/>
        <v>1.4915588686691514</v>
      </c>
      <c r="R30" s="593">
        <f t="shared" si="5"/>
        <v>1.5268017161787868</v>
      </c>
      <c r="S30" s="593">
        <f t="shared" si="5"/>
        <v>1.0260697081326156</v>
      </c>
    </row>
    <row r="31" spans="1:19" s="481" customFormat="1" ht="21.75" customHeight="1">
      <c r="A31" s="475" t="s">
        <v>1118</v>
      </c>
      <c r="B31" s="482"/>
      <c r="C31" s="594">
        <v>156190</v>
      </c>
      <c r="D31" s="594">
        <v>157033</v>
      </c>
      <c r="E31" s="594">
        <v>180003</v>
      </c>
      <c r="F31" s="594">
        <v>181928</v>
      </c>
      <c r="G31" s="1554">
        <v>188572</v>
      </c>
      <c r="H31" s="594">
        <f t="shared" ref="H31" si="6">SUM(H25:H30)+H21</f>
        <v>121678</v>
      </c>
      <c r="I31" s="473"/>
      <c r="J31" s="473"/>
      <c r="K31" s="473"/>
      <c r="M31" s="481" t="s">
        <v>1113</v>
      </c>
      <c r="N31" s="593">
        <f t="shared" ref="N31:S33" si="7">+C26/N12</f>
        <v>1.3743272335844994</v>
      </c>
      <c r="O31" s="593">
        <f t="shared" si="7"/>
        <v>1.0507614213197969</v>
      </c>
      <c r="P31" s="593">
        <f>+E26/P13</f>
        <v>2.2826700898587933</v>
      </c>
      <c r="Q31" s="593">
        <f t="shared" si="7"/>
        <v>1.1548271988369787</v>
      </c>
      <c r="R31" s="593">
        <f t="shared" si="7"/>
        <v>1.1689335698797556</v>
      </c>
      <c r="S31" s="593">
        <f t="shared" si="7"/>
        <v>0.783772224598277</v>
      </c>
    </row>
    <row r="32" spans="1:19" s="481" customFormat="1" ht="21.75" customHeight="1">
      <c r="A32" s="1631" t="s">
        <v>637</v>
      </c>
      <c r="B32" s="1632"/>
      <c r="C32" s="595">
        <v>234927</v>
      </c>
      <c r="D32" s="595">
        <v>244584</v>
      </c>
      <c r="E32" s="595">
        <v>284102</v>
      </c>
      <c r="F32" s="595">
        <v>288109</v>
      </c>
      <c r="G32" s="1555">
        <v>296988</v>
      </c>
      <c r="H32" s="595">
        <f t="shared" ref="H32" si="8">+H16+H31</f>
        <v>203391</v>
      </c>
      <c r="I32" s="473"/>
      <c r="J32" s="473"/>
      <c r="K32" s="473"/>
      <c r="M32" s="481" t="s">
        <v>583</v>
      </c>
      <c r="N32" s="593">
        <f t="shared" si="7"/>
        <v>1.3245248633168445</v>
      </c>
      <c r="O32" s="593">
        <f t="shared" si="7"/>
        <v>1.8956476817770891</v>
      </c>
      <c r="P32" s="593">
        <f>+E27/P14</f>
        <v>0.59288818318569281</v>
      </c>
      <c r="Q32" s="593">
        <f t="shared" si="7"/>
        <v>1.7660796324655437</v>
      </c>
      <c r="R32" s="593">
        <f t="shared" si="7"/>
        <v>1.9493029150823828</v>
      </c>
      <c r="S32" s="593">
        <f t="shared" si="7"/>
        <v>1.5607231756845277</v>
      </c>
    </row>
    <row r="33" spans="8:19">
      <c r="M33" s="378" t="s">
        <v>1115</v>
      </c>
      <c r="N33" s="596">
        <f t="shared" si="7"/>
        <v>0.97706845863082736</v>
      </c>
      <c r="O33" s="596">
        <f t="shared" si="7"/>
        <v>0.80993638037836935</v>
      </c>
      <c r="P33" s="596">
        <f>+E28/P15</f>
        <v>1.7840462599154867</v>
      </c>
      <c r="Q33" s="596">
        <f t="shared" si="7"/>
        <v>1.0108949741192186</v>
      </c>
      <c r="R33" s="596">
        <f t="shared" si="7"/>
        <v>0.95517413764372605</v>
      </c>
      <c r="S33" s="596">
        <f t="shared" si="7"/>
        <v>0.58534654957976862</v>
      </c>
    </row>
    <row r="34" spans="8:19">
      <c r="H34" s="495"/>
      <c r="I34" s="495"/>
      <c r="J34" s="495"/>
      <c r="K34" s="495"/>
      <c r="M34" s="378" t="s">
        <v>1116</v>
      </c>
      <c r="N34" s="596">
        <f t="shared" ref="N34:S35" si="9">+C30/N15</f>
        <v>1.2965943811014233</v>
      </c>
      <c r="O34" s="596">
        <f t="shared" si="9"/>
        <v>1.5248590086078955</v>
      </c>
      <c r="P34" s="596">
        <f>+E30/P16</f>
        <v>0.13207065994899547</v>
      </c>
      <c r="Q34" s="596">
        <f t="shared" si="9"/>
        <v>1.8822266637056777</v>
      </c>
      <c r="R34" s="596">
        <f t="shared" si="9"/>
        <v>1.8616840393287499</v>
      </c>
      <c r="S34" s="596">
        <f t="shared" si="9"/>
        <v>1.4072832445934398</v>
      </c>
    </row>
    <row r="35" spans="8:19">
      <c r="M35" s="378" t="s">
        <v>1117</v>
      </c>
      <c r="N35" s="596">
        <f t="shared" si="9"/>
        <v>0.98873203772868268</v>
      </c>
      <c r="O35" s="596">
        <f t="shared" si="9"/>
        <v>0.98460081886525086</v>
      </c>
      <c r="P35" s="1489">
        <f>+E31/P15</f>
        <v>13.344428793832011</v>
      </c>
      <c r="Q35" s="596">
        <f t="shared" si="9"/>
        <v>1.122575788427957</v>
      </c>
      <c r="R35" s="596">
        <f t="shared" si="9"/>
        <v>1.1541997441531653</v>
      </c>
      <c r="S35" s="596">
        <f t="shared" si="9"/>
        <v>0.72911286215058269</v>
      </c>
    </row>
    <row r="61" spans="1:11" ht="12">
      <c r="A61" s="1616" t="s">
        <v>1119</v>
      </c>
      <c r="B61" s="1616"/>
      <c r="C61" s="1616"/>
      <c r="D61" s="1616"/>
      <c r="E61" s="1616"/>
      <c r="F61" s="1616"/>
      <c r="G61" s="1616"/>
      <c r="H61" s="1616"/>
      <c r="I61" s="1162"/>
      <c r="J61" s="1162"/>
      <c r="K61" s="1162"/>
    </row>
    <row r="62" spans="1:11" ht="12">
      <c r="A62" s="1616" t="s">
        <v>879</v>
      </c>
      <c r="B62" s="1616"/>
      <c r="C62" s="1616"/>
      <c r="D62" s="1616"/>
      <c r="E62" s="1616"/>
      <c r="F62" s="1616"/>
      <c r="G62" s="1616"/>
      <c r="H62" s="1616"/>
      <c r="I62" s="1162"/>
      <c r="J62" s="1162"/>
      <c r="K62" s="1162"/>
    </row>
    <row r="63" spans="1:11" ht="12">
      <c r="A63" s="1616" t="s">
        <v>1515</v>
      </c>
      <c r="B63" s="1616"/>
      <c r="C63" s="1616"/>
      <c r="D63" s="1616"/>
      <c r="E63" s="1616"/>
      <c r="F63" s="1616"/>
      <c r="G63" s="1616"/>
      <c r="H63" s="1616"/>
      <c r="I63" s="1162"/>
      <c r="J63" s="1162"/>
      <c r="K63" s="1162"/>
    </row>
    <row r="134" spans="1:11" ht="12">
      <c r="A134" s="1616" t="s">
        <v>1119</v>
      </c>
      <c r="B134" s="1616"/>
      <c r="C134" s="1616"/>
      <c r="D134" s="1616"/>
      <c r="E134" s="1616"/>
      <c r="F134" s="1616"/>
      <c r="G134" s="1616"/>
      <c r="H134" s="1616"/>
      <c r="I134" s="1162"/>
      <c r="J134" s="1162"/>
      <c r="K134" s="1162"/>
    </row>
    <row r="135" spans="1:11" ht="12">
      <c r="A135" s="1616" t="s">
        <v>1120</v>
      </c>
      <c r="B135" s="1616"/>
      <c r="C135" s="1616"/>
      <c r="D135" s="1616"/>
      <c r="E135" s="1616"/>
      <c r="F135" s="1616"/>
      <c r="G135" s="1616"/>
      <c r="H135" s="1616"/>
      <c r="I135" s="1162"/>
      <c r="J135" s="1162"/>
      <c r="K135" s="1162"/>
    </row>
    <row r="136" spans="1:11" ht="12">
      <c r="A136" s="1616" t="str">
        <f>+A63</f>
        <v>2013 - 2018</v>
      </c>
      <c r="B136" s="1616"/>
      <c r="C136" s="1616"/>
      <c r="D136" s="1616"/>
      <c r="E136" s="1616"/>
      <c r="F136" s="1616"/>
      <c r="G136" s="1616"/>
      <c r="H136" s="1616"/>
      <c r="I136" s="1162"/>
      <c r="J136" s="1162"/>
      <c r="K136" s="1162"/>
    </row>
    <row r="207" spans="1:11" ht="12">
      <c r="A207" s="1616" t="s">
        <v>1119</v>
      </c>
      <c r="B207" s="1616"/>
      <c r="C207" s="1616"/>
      <c r="D207" s="1616"/>
      <c r="E207" s="1616"/>
      <c r="F207" s="1616"/>
      <c r="G207" s="1616"/>
      <c r="H207" s="1616"/>
      <c r="I207" s="1162"/>
      <c r="J207" s="1162"/>
      <c r="K207" s="1162"/>
    </row>
    <row r="208" spans="1:11" ht="12">
      <c r="A208" s="1616" t="s">
        <v>1120</v>
      </c>
      <c r="B208" s="1616"/>
      <c r="C208" s="1616"/>
      <c r="D208" s="1616"/>
      <c r="E208" s="1616"/>
      <c r="F208" s="1616"/>
      <c r="G208" s="1616"/>
      <c r="H208" s="1616"/>
      <c r="I208" s="1162"/>
      <c r="J208" s="1162"/>
      <c r="K208" s="1162"/>
    </row>
    <row r="209" spans="1:11" ht="12">
      <c r="A209" s="1616" t="str">
        <f>+A136</f>
        <v>2013 - 2018</v>
      </c>
      <c r="B209" s="1616"/>
      <c r="C209" s="1616"/>
      <c r="D209" s="1616"/>
      <c r="E209" s="1616"/>
      <c r="F209" s="1616"/>
      <c r="G209" s="1616"/>
      <c r="H209" s="1616"/>
      <c r="I209" s="1162"/>
      <c r="J209" s="1162"/>
      <c r="K209" s="1162"/>
    </row>
  </sheetData>
  <mergeCells count="12">
    <mergeCell ref="A208:H208"/>
    <mergeCell ref="A209:H209"/>
    <mergeCell ref="A134:H134"/>
    <mergeCell ref="A135:H135"/>
    <mergeCell ref="A136:H136"/>
    <mergeCell ref="A207:H207"/>
    <mergeCell ref="A62:H62"/>
    <mergeCell ref="A63:H63"/>
    <mergeCell ref="A1:H1"/>
    <mergeCell ref="A3:H3"/>
    <mergeCell ref="A32:B32"/>
    <mergeCell ref="A61:H61"/>
  </mergeCells>
  <phoneticPr fontId="19" type="noConversion"/>
  <pageMargins left="0.78740157480314965" right="0.78740157480314965" top="1.1811023622047245" bottom="0.98425196850393704" header="0" footer="0"/>
  <pageSetup paperSize="5"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
  <sheetViews>
    <sheetView showGridLines="0" workbookViewId="0">
      <selection activeCell="F7" sqref="F7"/>
    </sheetView>
  </sheetViews>
  <sheetFormatPr baseColWidth="10" defaultRowHeight="13.2"/>
  <cols>
    <col min="1" max="1" width="19.77734375" customWidth="1"/>
    <col min="2" max="2" width="34" customWidth="1"/>
    <col min="3" max="3" width="14" customWidth="1"/>
    <col min="4" max="5" width="12.21875" customWidth="1"/>
    <col min="6" max="6" width="13.5546875" customWidth="1"/>
  </cols>
  <sheetData>
    <row r="1" spans="1:8">
      <c r="A1" s="114" t="s">
        <v>1121</v>
      </c>
      <c r="B1" s="114"/>
      <c r="C1" s="180"/>
      <c r="D1" s="180"/>
      <c r="E1" s="180"/>
      <c r="F1" s="180"/>
    </row>
    <row r="2" spans="1:8">
      <c r="A2" s="114" t="s">
        <v>1122</v>
      </c>
      <c r="B2" s="114"/>
      <c r="C2" s="180"/>
      <c r="D2" s="180"/>
      <c r="E2" s="180"/>
      <c r="F2" s="180"/>
    </row>
    <row r="3" spans="1:8">
      <c r="A3" s="114" t="s">
        <v>879</v>
      </c>
      <c r="B3" s="114"/>
      <c r="C3" s="180"/>
      <c r="D3" s="180"/>
      <c r="E3" s="180"/>
      <c r="F3" s="180"/>
    </row>
    <row r="4" spans="1:8">
      <c r="A4" s="114"/>
      <c r="B4" s="114"/>
      <c r="C4" s="180"/>
      <c r="D4" s="180"/>
      <c r="E4" s="180"/>
      <c r="F4" s="180"/>
    </row>
    <row r="5" spans="1:8">
      <c r="A5" s="1"/>
      <c r="B5" s="1"/>
      <c r="C5" s="1"/>
      <c r="D5" s="1"/>
      <c r="E5" s="1"/>
      <c r="F5" s="1"/>
    </row>
    <row r="6" spans="1:8" ht="28.5" customHeight="1">
      <c r="A6" s="156" t="s">
        <v>1123</v>
      </c>
      <c r="B6" s="451" t="s">
        <v>1124</v>
      </c>
      <c r="C6" s="156">
        <v>2017</v>
      </c>
      <c r="D6" s="156">
        <v>2018</v>
      </c>
      <c r="E6" s="156">
        <v>2019</v>
      </c>
      <c r="F6" s="156">
        <v>2020</v>
      </c>
    </row>
    <row r="7" spans="1:8" ht="19.5" customHeight="1">
      <c r="A7" s="62"/>
      <c r="B7" s="600" t="s">
        <v>1125</v>
      </c>
      <c r="C7" s="597">
        <v>52152</v>
      </c>
      <c r="D7" s="597">
        <v>50988</v>
      </c>
      <c r="E7" s="597">
        <v>48226</v>
      </c>
      <c r="F7" s="597">
        <f>+[39]D15!$C$13+[39]D15!$C$50</f>
        <v>41845</v>
      </c>
      <c r="G7" s="115"/>
      <c r="H7" s="115"/>
    </row>
    <row r="8" spans="1:8" ht="19.5" customHeight="1">
      <c r="A8" s="598" t="s">
        <v>1126</v>
      </c>
      <c r="B8" s="602" t="s">
        <v>1127</v>
      </c>
      <c r="C8" s="597">
        <v>116594</v>
      </c>
      <c r="D8" s="597">
        <v>118920</v>
      </c>
      <c r="E8" s="597">
        <v>108970</v>
      </c>
      <c r="F8" s="597">
        <f>+[39]D15!$C$14+[39]D15!$C$51</f>
        <v>99382</v>
      </c>
      <c r="G8" s="115"/>
    </row>
    <row r="9" spans="1:8" ht="19.5" customHeight="1">
      <c r="A9" s="598"/>
      <c r="B9" s="602" t="s">
        <v>1128</v>
      </c>
      <c r="C9" s="597">
        <v>23212</v>
      </c>
      <c r="D9" s="597">
        <v>24552</v>
      </c>
      <c r="E9" s="597">
        <v>21479</v>
      </c>
      <c r="F9" s="597">
        <f>+[39]D15!$C$15+[39]D15!$C$52</f>
        <v>18220</v>
      </c>
      <c r="G9" s="115"/>
      <c r="H9" s="115"/>
    </row>
    <row r="10" spans="1:8" ht="19.5" customHeight="1">
      <c r="A10" s="598"/>
      <c r="B10" s="602" t="s">
        <v>1590</v>
      </c>
      <c r="C10" s="597"/>
      <c r="D10" s="597"/>
      <c r="E10" s="597">
        <v>20.350000000000001</v>
      </c>
      <c r="F10" s="597">
        <f>+[39]D15!$C$16+[39]D15!$C$53</f>
        <v>0</v>
      </c>
      <c r="G10" s="115"/>
      <c r="H10" s="115"/>
    </row>
    <row r="11" spans="1:8" ht="19.5" customHeight="1">
      <c r="A11" s="298"/>
      <c r="B11" s="603" t="s">
        <v>1129</v>
      </c>
      <c r="C11" s="599">
        <v>191958</v>
      </c>
      <c r="D11" s="599">
        <v>194460</v>
      </c>
      <c r="E11" s="599">
        <v>178695.35</v>
      </c>
      <c r="F11" s="599">
        <f>SUM(F7:F10)</f>
        <v>159447</v>
      </c>
      <c r="G11" s="115"/>
    </row>
    <row r="12" spans="1:8" ht="19.5" customHeight="1">
      <c r="A12" s="332"/>
      <c r="B12" s="600" t="s">
        <v>1125</v>
      </c>
      <c r="C12" s="601">
        <v>3513</v>
      </c>
      <c r="D12" s="601">
        <v>3621</v>
      </c>
      <c r="E12" s="601">
        <v>3757</v>
      </c>
      <c r="F12" s="601">
        <f>+[39]D15!$C$18+[39]D15!$C$55</f>
        <v>2662</v>
      </c>
      <c r="G12" s="115"/>
    </row>
    <row r="13" spans="1:8" ht="19.5" customHeight="1">
      <c r="A13" s="191"/>
      <c r="B13" s="602" t="s">
        <v>1127</v>
      </c>
      <c r="C13" s="597">
        <v>3736</v>
      </c>
      <c r="D13" s="597">
        <v>3980</v>
      </c>
      <c r="E13" s="597">
        <v>3382</v>
      </c>
      <c r="F13" s="597">
        <f>+[39]D15!$C$19+[39]D15!$C$56</f>
        <v>3678</v>
      </c>
      <c r="G13" s="115"/>
    </row>
    <row r="14" spans="1:8" ht="19.5" customHeight="1">
      <c r="A14" s="598" t="s">
        <v>1130</v>
      </c>
      <c r="B14" s="602" t="s">
        <v>1128</v>
      </c>
      <c r="C14" s="597">
        <v>2005</v>
      </c>
      <c r="D14" s="597">
        <v>1749</v>
      </c>
      <c r="E14" s="597">
        <v>1175</v>
      </c>
      <c r="F14" s="597">
        <f>+[39]D15!$C$21+[39]D15!$C$58</f>
        <v>592</v>
      </c>
      <c r="G14" s="115"/>
    </row>
    <row r="15" spans="1:8" ht="19.5" customHeight="1">
      <c r="A15" s="92"/>
      <c r="B15" s="602" t="s">
        <v>1131</v>
      </c>
      <c r="C15" s="597">
        <v>6177</v>
      </c>
      <c r="D15" s="597">
        <v>6684</v>
      </c>
      <c r="E15" s="597">
        <v>6089</v>
      </c>
      <c r="F15" s="597">
        <f>+[39]D15!$C$20+[39]D15!$C$57</f>
        <v>5758</v>
      </c>
      <c r="G15" s="115"/>
    </row>
    <row r="16" spans="1:8" ht="19.5" customHeight="1">
      <c r="A16" s="92"/>
      <c r="B16" s="602" t="s">
        <v>1590</v>
      </c>
      <c r="C16" s="597"/>
      <c r="D16" s="597"/>
      <c r="E16" s="597">
        <v>5711.53</v>
      </c>
      <c r="F16" s="597">
        <f>+[39]D15!$C$22+[39]D15!$C$59</f>
        <v>0</v>
      </c>
      <c r="G16" s="115"/>
    </row>
    <row r="17" spans="1:8" ht="19.5" customHeight="1">
      <c r="A17" s="92"/>
      <c r="B17" s="602" t="s">
        <v>1132</v>
      </c>
      <c r="C17" s="597">
        <v>15431</v>
      </c>
      <c r="D17" s="597">
        <v>16034</v>
      </c>
      <c r="E17" s="597">
        <v>20114.53</v>
      </c>
      <c r="F17" s="599">
        <f>SUM(F12:F16)</f>
        <v>12690</v>
      </c>
      <c r="G17" s="115"/>
    </row>
    <row r="18" spans="1:8" ht="19.5" customHeight="1">
      <c r="A18" s="82"/>
      <c r="B18" s="1392" t="s">
        <v>1491</v>
      </c>
      <c r="C18" s="530">
        <v>274963.59999999998</v>
      </c>
      <c r="D18" s="601">
        <v>134966.51000000004</v>
      </c>
      <c r="E18" s="531">
        <v>43075.013000000006</v>
      </c>
      <c r="F18" s="597">
        <f>+[39]D15!$C$24+[39]D15!$C$61</f>
        <v>41493.498999999996</v>
      </c>
      <c r="G18" s="115"/>
    </row>
    <row r="19" spans="1:8" ht="19.5" customHeight="1">
      <c r="A19" s="1394"/>
      <c r="B19" s="1393" t="s">
        <v>1492</v>
      </c>
      <c r="C19" s="522">
        <v>65099.3</v>
      </c>
      <c r="D19" s="597">
        <v>18288.000000000004</v>
      </c>
      <c r="E19" s="507">
        <v>7722.4500000000016</v>
      </c>
      <c r="F19" s="597">
        <f>+[39]D15!$C$25+[39]D15!$C$62</f>
        <v>14959</v>
      </c>
      <c r="G19" s="115"/>
    </row>
    <row r="20" spans="1:8" ht="19.5" customHeight="1">
      <c r="A20" s="1395" t="s">
        <v>1494</v>
      </c>
      <c r="B20" s="1393" t="s">
        <v>1125</v>
      </c>
      <c r="C20" s="522">
        <v>606</v>
      </c>
      <c r="D20" s="597">
        <v>606</v>
      </c>
      <c r="E20" s="507">
        <v>538</v>
      </c>
      <c r="F20" s="597">
        <f>+[39]D15!$C$26+[39]D15!$C$63</f>
        <v>598</v>
      </c>
      <c r="G20" s="115"/>
    </row>
    <row r="21" spans="1:8" ht="19.5" customHeight="1">
      <c r="A21" s="1396" t="s">
        <v>1493</v>
      </c>
      <c r="B21" s="1393" t="s">
        <v>1127</v>
      </c>
      <c r="C21" s="522"/>
      <c r="D21" s="597"/>
      <c r="E21" s="507"/>
      <c r="F21" s="597"/>
      <c r="G21" s="115"/>
    </row>
    <row r="22" spans="1:8" ht="19.5" customHeight="1">
      <c r="A22" s="1397"/>
      <c r="B22" s="1393" t="s">
        <v>1131</v>
      </c>
      <c r="C22" s="522">
        <v>90</v>
      </c>
      <c r="D22" s="597">
        <v>116</v>
      </c>
      <c r="E22" s="507">
        <v>178</v>
      </c>
      <c r="F22" s="597">
        <f>+[39]D15!$C$27+[39]D15!$C$64</f>
        <v>97</v>
      </c>
      <c r="G22" s="115"/>
    </row>
    <row r="23" spans="1:8" ht="19.5" customHeight="1">
      <c r="A23" s="1398"/>
      <c r="B23" s="1393" t="s">
        <v>1132</v>
      </c>
      <c r="C23" s="522">
        <v>340758.89999999997</v>
      </c>
      <c r="D23" s="597">
        <v>153976.51000000004</v>
      </c>
      <c r="E23" s="507">
        <v>51513.463000000011</v>
      </c>
      <c r="F23" s="507">
        <f>SUM(F18:F22)</f>
        <v>57147.498999999996</v>
      </c>
      <c r="G23" s="115"/>
    </row>
    <row r="24" spans="1:8" ht="19.5" customHeight="1">
      <c r="A24" s="55" t="s">
        <v>1496</v>
      </c>
      <c r="B24" s="1390" t="s">
        <v>1497</v>
      </c>
      <c r="C24" s="530">
        <v>8017.5999999999995</v>
      </c>
      <c r="D24" s="601">
        <v>884.80000000000018</v>
      </c>
      <c r="E24" s="530">
        <v>38508.58</v>
      </c>
      <c r="F24" s="601">
        <f>+[39]D15!$C$29+[39]D15!$C$66</f>
        <v>78022.62000000001</v>
      </c>
      <c r="G24" s="115"/>
    </row>
    <row r="25" spans="1:8" ht="19.5" customHeight="1">
      <c r="A25" s="43" t="s">
        <v>1495</v>
      </c>
      <c r="B25" s="598" t="s">
        <v>1498</v>
      </c>
      <c r="C25" s="522">
        <v>3290.8</v>
      </c>
      <c r="D25" s="597">
        <v>320.80000000000007</v>
      </c>
      <c r="E25" s="522">
        <v>19991.699999999997</v>
      </c>
      <c r="F25" s="597">
        <f>+[39]D15!$C$30+[39]D15!$C$67</f>
        <v>52021.797999999995</v>
      </c>
      <c r="G25" s="115"/>
    </row>
    <row r="26" spans="1:8" ht="19.5" customHeight="1">
      <c r="A26" s="52"/>
      <c r="B26" s="1391" t="s">
        <v>1132</v>
      </c>
      <c r="C26" s="525">
        <v>11308.4</v>
      </c>
      <c r="D26" s="599">
        <v>1205.6000000000004</v>
      </c>
      <c r="E26" s="525">
        <v>58500.28</v>
      </c>
      <c r="F26" s="599">
        <f>SUM(F24:F25)</f>
        <v>130044.41800000001</v>
      </c>
      <c r="G26" s="115"/>
    </row>
    <row r="27" spans="1:8" ht="19.5" customHeight="1">
      <c r="A27" s="82"/>
      <c r="B27" s="598" t="s">
        <v>1125</v>
      </c>
      <c r="C27" s="507">
        <v>56271</v>
      </c>
      <c r="D27" s="507">
        <v>55215</v>
      </c>
      <c r="E27" s="507">
        <v>52521</v>
      </c>
      <c r="F27" s="507">
        <f>+F7+F12+F20</f>
        <v>45105</v>
      </c>
      <c r="G27" s="115"/>
      <c r="H27" s="115"/>
    </row>
    <row r="28" spans="1:8" ht="19.5" customHeight="1">
      <c r="A28" s="191"/>
      <c r="B28" s="598" t="s">
        <v>1127</v>
      </c>
      <c r="C28" s="507">
        <v>120330</v>
      </c>
      <c r="D28" s="507">
        <v>122900</v>
      </c>
      <c r="E28" s="507">
        <v>112352</v>
      </c>
      <c r="F28" s="507">
        <f>+F8+F13</f>
        <v>103060</v>
      </c>
      <c r="G28" s="115"/>
      <c r="H28" s="115"/>
    </row>
    <row r="29" spans="1:8" ht="19.5" customHeight="1">
      <c r="A29" s="191" t="s">
        <v>1133</v>
      </c>
      <c r="B29" s="598" t="s">
        <v>1491</v>
      </c>
      <c r="C29" s="507">
        <v>274963.59999999998</v>
      </c>
      <c r="D29" s="507">
        <v>134966.51000000004</v>
      </c>
      <c r="E29" s="507">
        <v>43075.013000000006</v>
      </c>
      <c r="F29" s="507">
        <f>+F18</f>
        <v>41493.498999999996</v>
      </c>
      <c r="G29" s="115"/>
      <c r="H29" s="115"/>
    </row>
    <row r="30" spans="1:8" ht="19.5" customHeight="1">
      <c r="A30" s="320"/>
      <c r="B30" s="598" t="s">
        <v>1492</v>
      </c>
      <c r="C30" s="507">
        <v>65099.3</v>
      </c>
      <c r="D30" s="507">
        <v>18288.000000000004</v>
      </c>
      <c r="E30" s="507">
        <v>7722.4500000000016</v>
      </c>
      <c r="F30" s="507">
        <f>+F19</f>
        <v>14959</v>
      </c>
      <c r="G30" s="115"/>
      <c r="H30" s="115"/>
    </row>
    <row r="31" spans="1:8" ht="19.5" customHeight="1">
      <c r="A31" s="191"/>
      <c r="B31" s="598" t="s">
        <v>1497</v>
      </c>
      <c r="C31" s="507">
        <v>8017.5999999999995</v>
      </c>
      <c r="D31" s="507">
        <v>884.80000000000018</v>
      </c>
      <c r="E31" s="507">
        <v>38508.58</v>
      </c>
      <c r="F31" s="507">
        <f>+F24</f>
        <v>78022.62000000001</v>
      </c>
      <c r="G31" s="115"/>
      <c r="H31" s="115"/>
    </row>
    <row r="32" spans="1:8" ht="19.5" customHeight="1">
      <c r="A32" s="191"/>
      <c r="B32" s="598" t="s">
        <v>1498</v>
      </c>
      <c r="C32" s="507">
        <v>3290.8</v>
      </c>
      <c r="D32" s="507">
        <v>320.80000000000007</v>
      </c>
      <c r="E32" s="507">
        <v>19991.699999999997</v>
      </c>
      <c r="F32" s="507">
        <f>+F25</f>
        <v>52021.797999999995</v>
      </c>
      <c r="G32" s="115"/>
      <c r="H32" s="115"/>
    </row>
    <row r="33" spans="1:8" ht="19.5" customHeight="1">
      <c r="A33" s="92"/>
      <c r="B33" s="598" t="s">
        <v>1128</v>
      </c>
      <c r="C33" s="507">
        <v>25217</v>
      </c>
      <c r="D33" s="507">
        <v>26301</v>
      </c>
      <c r="E33" s="507">
        <v>22654</v>
      </c>
      <c r="F33" s="507">
        <f>+F9+F14</f>
        <v>18812</v>
      </c>
      <c r="G33" s="115"/>
      <c r="H33" s="115"/>
    </row>
    <row r="34" spans="1:8" ht="19.5" customHeight="1">
      <c r="A34" s="92"/>
      <c r="B34" s="598" t="s">
        <v>1590</v>
      </c>
      <c r="C34" s="507"/>
      <c r="D34" s="507"/>
      <c r="E34" s="507">
        <v>5731.88</v>
      </c>
      <c r="F34" s="507">
        <f>+F10+F16</f>
        <v>0</v>
      </c>
      <c r="G34" s="115"/>
      <c r="H34" s="115"/>
    </row>
    <row r="35" spans="1:8" ht="19.5" customHeight="1">
      <c r="A35" s="92"/>
      <c r="B35" s="598" t="s">
        <v>1131</v>
      </c>
      <c r="C35" s="507">
        <v>6267</v>
      </c>
      <c r="D35" s="507">
        <v>6800</v>
      </c>
      <c r="E35" s="507">
        <v>6267</v>
      </c>
      <c r="F35" s="507">
        <f>+F15+F22</f>
        <v>5855</v>
      </c>
      <c r="G35" s="115"/>
      <c r="H35" s="115"/>
    </row>
    <row r="36" spans="1:8" ht="19.5" customHeight="1">
      <c r="A36" s="14"/>
      <c r="B36" s="1391" t="s">
        <v>1133</v>
      </c>
      <c r="C36" s="526">
        <v>559456.30000000005</v>
      </c>
      <c r="D36" s="599">
        <v>365676.11</v>
      </c>
      <c r="E36" s="526">
        <v>308823.62300000002</v>
      </c>
      <c r="F36" s="526">
        <f>SUM(F27:F35)</f>
        <v>359328.91700000002</v>
      </c>
      <c r="G36" s="115"/>
    </row>
    <row r="37" spans="1:8" ht="19.5" customHeight="1">
      <c r="A37" s="535"/>
      <c r="B37" s="1023"/>
      <c r="C37" s="522"/>
      <c r="D37" s="522"/>
      <c r="E37" s="522"/>
      <c r="F37" s="522"/>
      <c r="G37" s="115"/>
    </row>
    <row r="38" spans="1:8" ht="19.5" customHeight="1">
      <c r="A38" s="1585" t="s">
        <v>1223</v>
      </c>
      <c r="B38" s="1585"/>
      <c r="C38" s="1585"/>
      <c r="D38" s="1585"/>
      <c r="E38" s="1585"/>
      <c r="F38" s="522"/>
      <c r="G38" s="115"/>
    </row>
    <row r="39" spans="1:8" ht="19.5" customHeight="1">
      <c r="A39" s="1135"/>
      <c r="B39" s="1135"/>
      <c r="C39" s="1135"/>
      <c r="D39" s="1135"/>
      <c r="E39" s="1135"/>
      <c r="F39" s="522"/>
      <c r="G39" s="115"/>
    </row>
    <row r="40" spans="1:8" ht="19.5" customHeight="1">
      <c r="A40" s="1641" t="s">
        <v>1124</v>
      </c>
      <c r="B40" s="1642"/>
      <c r="C40" s="155">
        <f>+C6</f>
        <v>2017</v>
      </c>
      <c r="D40" s="155">
        <f t="shared" ref="D40:F40" si="0">+D6</f>
        <v>2018</v>
      </c>
      <c r="E40" s="1371">
        <f t="shared" si="0"/>
        <v>2019</v>
      </c>
      <c r="F40" s="1389">
        <f t="shared" si="0"/>
        <v>2020</v>
      </c>
      <c r="G40" s="115"/>
    </row>
    <row r="41" spans="1:8" ht="19.5" customHeight="1">
      <c r="A41" s="1641" t="s">
        <v>1135</v>
      </c>
      <c r="B41" s="1642"/>
      <c r="C41" s="1024">
        <v>89194</v>
      </c>
      <c r="D41" s="1024">
        <v>92707</v>
      </c>
      <c r="E41" s="1024">
        <v>95331</v>
      </c>
      <c r="F41" s="1024">
        <f>+[39]D16!$F$29</f>
        <v>97283</v>
      </c>
      <c r="G41" s="115"/>
    </row>
    <row r="42" spans="1:8" ht="19.5" customHeight="1">
      <c r="A42" s="1591" t="s">
        <v>1222</v>
      </c>
      <c r="B42" s="1593"/>
      <c r="C42" s="1024">
        <v>89186</v>
      </c>
      <c r="D42" s="1024">
        <v>92887</v>
      </c>
      <c r="E42" s="1024">
        <v>95480</v>
      </c>
      <c r="F42" s="1024">
        <f>+[39]D16!$F$30</f>
        <v>97214</v>
      </c>
      <c r="G42" s="115"/>
    </row>
    <row r="43" spans="1:8">
      <c r="C43" s="115"/>
      <c r="D43" s="115"/>
      <c r="E43" s="115"/>
    </row>
    <row r="44" spans="1:8">
      <c r="C44" s="115"/>
      <c r="D44" s="115"/>
      <c r="E44" s="115"/>
    </row>
    <row r="45" spans="1:8">
      <c r="C45" s="115"/>
      <c r="D45" s="115"/>
      <c r="E45" s="115"/>
    </row>
    <row r="46" spans="1:8">
      <c r="C46" s="115"/>
      <c r="D46" s="115"/>
      <c r="E46" s="115"/>
    </row>
    <row r="47" spans="1:8">
      <c r="C47" s="115"/>
      <c r="D47" s="115"/>
      <c r="E47" s="115"/>
    </row>
    <row r="48" spans="1:8">
      <c r="C48" s="115"/>
      <c r="D48" s="115"/>
      <c r="E48" s="115"/>
    </row>
    <row r="49" spans="3:5">
      <c r="C49" s="115"/>
      <c r="D49" s="115"/>
      <c r="E49" s="115"/>
    </row>
    <row r="50" spans="3:5">
      <c r="C50" s="115"/>
      <c r="D50" s="115"/>
      <c r="E50" s="115"/>
    </row>
    <row r="51" spans="3:5">
      <c r="C51" s="115"/>
      <c r="D51" s="115"/>
      <c r="E51" s="115"/>
    </row>
    <row r="52" spans="3:5">
      <c r="C52" s="115"/>
      <c r="D52" s="115"/>
      <c r="E52" s="115"/>
    </row>
    <row r="53" spans="3:5">
      <c r="C53" s="115"/>
      <c r="D53" s="115"/>
      <c r="E53" s="115"/>
    </row>
    <row r="54" spans="3:5">
      <c r="C54" s="115"/>
      <c r="D54" s="115"/>
      <c r="E54" s="115"/>
    </row>
    <row r="55" spans="3:5">
      <c r="C55" s="115"/>
      <c r="D55" s="115"/>
      <c r="E55" s="115"/>
    </row>
    <row r="56" spans="3:5">
      <c r="C56" s="115"/>
      <c r="D56" s="115"/>
      <c r="E56" s="115"/>
    </row>
    <row r="57" spans="3:5">
      <c r="C57" s="115"/>
      <c r="D57" s="115"/>
      <c r="E57" s="115"/>
    </row>
    <row r="58" spans="3:5">
      <c r="C58" s="115"/>
      <c r="D58" s="115"/>
      <c r="E58" s="115"/>
    </row>
    <row r="59" spans="3:5">
      <c r="C59" s="115"/>
      <c r="D59" s="115"/>
      <c r="E59" s="115"/>
    </row>
    <row r="60" spans="3:5">
      <c r="C60" s="115"/>
      <c r="D60" s="115"/>
      <c r="E60" s="115"/>
    </row>
    <row r="61" spans="3:5">
      <c r="C61" s="115"/>
      <c r="D61" s="115"/>
      <c r="E61" s="115"/>
    </row>
    <row r="62" spans="3:5">
      <c r="C62" s="115"/>
      <c r="D62" s="115"/>
      <c r="E62" s="115"/>
    </row>
    <row r="63" spans="3:5">
      <c r="C63" s="115"/>
      <c r="D63" s="115"/>
      <c r="E63" s="115"/>
    </row>
    <row r="64" spans="3:5">
      <c r="C64" s="115"/>
      <c r="D64" s="115"/>
      <c r="E64" s="115"/>
    </row>
    <row r="65" spans="3:5">
      <c r="C65" s="115"/>
      <c r="D65" s="115"/>
      <c r="E65" s="115"/>
    </row>
    <row r="66" spans="3:5">
      <c r="C66" s="115"/>
      <c r="D66" s="115"/>
      <c r="E66" s="115"/>
    </row>
    <row r="67" spans="3:5">
      <c r="C67" s="115"/>
      <c r="D67" s="115"/>
      <c r="E67" s="115"/>
    </row>
    <row r="68" spans="3:5">
      <c r="C68" s="115"/>
      <c r="D68" s="115"/>
      <c r="E68" s="115"/>
    </row>
    <row r="69" spans="3:5">
      <c r="C69" s="115"/>
      <c r="D69" s="115"/>
      <c r="E69" s="115"/>
    </row>
    <row r="70" spans="3:5">
      <c r="C70" s="115"/>
      <c r="D70" s="115"/>
      <c r="E70" s="115"/>
    </row>
    <row r="71" spans="3:5">
      <c r="C71" s="115"/>
      <c r="D71" s="115"/>
      <c r="E71" s="115"/>
    </row>
    <row r="72" spans="3:5">
      <c r="C72" s="115"/>
      <c r="D72" s="115"/>
      <c r="E72" s="115"/>
    </row>
    <row r="73" spans="3:5">
      <c r="C73" s="115"/>
      <c r="D73" s="115"/>
      <c r="E73" s="115"/>
    </row>
    <row r="74" spans="3:5">
      <c r="C74" s="115"/>
      <c r="D74" s="115"/>
      <c r="E74" s="115"/>
    </row>
    <row r="75" spans="3:5">
      <c r="C75" s="115"/>
      <c r="D75" s="115"/>
      <c r="E75" s="115"/>
    </row>
    <row r="76" spans="3:5">
      <c r="C76" s="115"/>
      <c r="D76" s="115"/>
      <c r="E76" s="115"/>
    </row>
    <row r="77" spans="3:5">
      <c r="C77" s="115"/>
      <c r="D77" s="115"/>
      <c r="E77" s="115"/>
    </row>
    <row r="78" spans="3:5">
      <c r="C78" s="115"/>
      <c r="D78" s="115"/>
      <c r="E78" s="115"/>
    </row>
    <row r="79" spans="3:5">
      <c r="C79" s="115"/>
      <c r="D79" s="115"/>
      <c r="E79" s="115"/>
    </row>
    <row r="80" spans="3:5">
      <c r="C80" s="115"/>
      <c r="D80" s="115"/>
      <c r="E80" s="115"/>
    </row>
    <row r="81" spans="3:5">
      <c r="C81" s="115"/>
      <c r="D81" s="115"/>
      <c r="E81" s="115"/>
    </row>
    <row r="82" spans="3:5">
      <c r="C82" s="115"/>
      <c r="D82" s="115"/>
      <c r="E82" s="115"/>
    </row>
    <row r="83" spans="3:5">
      <c r="C83" s="115"/>
      <c r="D83" s="115"/>
      <c r="E83" s="115"/>
    </row>
    <row r="84" spans="3:5">
      <c r="C84" s="115"/>
      <c r="D84" s="115"/>
      <c r="E84" s="115"/>
    </row>
    <row r="85" spans="3:5">
      <c r="C85" s="115"/>
      <c r="D85" s="115"/>
      <c r="E85" s="115"/>
    </row>
    <row r="86" spans="3:5">
      <c r="C86" s="115"/>
      <c r="D86" s="115"/>
      <c r="E86" s="115"/>
    </row>
    <row r="87" spans="3:5">
      <c r="C87" s="115"/>
      <c r="D87" s="115"/>
      <c r="E87" s="115"/>
    </row>
    <row r="88" spans="3:5">
      <c r="C88" s="115"/>
      <c r="D88" s="115"/>
      <c r="E88" s="115"/>
    </row>
    <row r="89" spans="3:5">
      <c r="C89" s="115"/>
      <c r="D89" s="115"/>
      <c r="E89" s="115"/>
    </row>
    <row r="90" spans="3:5">
      <c r="C90" s="115"/>
      <c r="D90" s="115"/>
      <c r="E90" s="115"/>
    </row>
    <row r="91" spans="3:5">
      <c r="C91" s="115"/>
      <c r="D91" s="115"/>
      <c r="E91" s="115"/>
    </row>
    <row r="92" spans="3:5">
      <c r="C92" s="115"/>
      <c r="D92" s="115"/>
      <c r="E92" s="115"/>
    </row>
    <row r="93" spans="3:5">
      <c r="C93" s="115"/>
      <c r="D93" s="115"/>
      <c r="E93" s="115"/>
    </row>
    <row r="94" spans="3:5">
      <c r="C94" s="115"/>
      <c r="D94" s="115"/>
      <c r="E94" s="115"/>
    </row>
    <row r="95" spans="3:5">
      <c r="C95" s="115"/>
      <c r="D95" s="115"/>
      <c r="E95" s="115"/>
    </row>
    <row r="96" spans="3:5">
      <c r="C96" s="115"/>
      <c r="D96" s="115"/>
      <c r="E96" s="115"/>
    </row>
    <row r="97" spans="3:5">
      <c r="C97" s="115"/>
      <c r="D97" s="115"/>
      <c r="E97" s="115"/>
    </row>
    <row r="98" spans="3:5">
      <c r="C98" s="115"/>
      <c r="D98" s="115"/>
      <c r="E98" s="115"/>
    </row>
    <row r="99" spans="3:5">
      <c r="C99" s="115"/>
      <c r="D99" s="115"/>
      <c r="E99" s="115"/>
    </row>
    <row r="100" spans="3:5">
      <c r="C100" s="115"/>
      <c r="D100" s="115"/>
      <c r="E100" s="115"/>
    </row>
    <row r="101" spans="3:5">
      <c r="C101" s="115"/>
      <c r="D101" s="115"/>
      <c r="E101" s="115"/>
    </row>
    <row r="102" spans="3:5">
      <c r="C102" s="115"/>
      <c r="D102" s="115"/>
      <c r="E102" s="115"/>
    </row>
    <row r="103" spans="3:5">
      <c r="C103" s="115"/>
      <c r="D103" s="115"/>
      <c r="E103" s="115"/>
    </row>
    <row r="104" spans="3:5">
      <c r="C104" s="115"/>
      <c r="D104" s="115"/>
      <c r="E104" s="115"/>
    </row>
    <row r="105" spans="3:5">
      <c r="C105" s="115"/>
      <c r="D105" s="115"/>
      <c r="E105" s="115"/>
    </row>
    <row r="106" spans="3:5">
      <c r="C106" s="115"/>
      <c r="D106" s="115"/>
      <c r="E106" s="115"/>
    </row>
    <row r="107" spans="3:5">
      <c r="C107" s="115"/>
      <c r="D107" s="115"/>
      <c r="E107" s="115"/>
    </row>
    <row r="108" spans="3:5">
      <c r="C108" s="115"/>
      <c r="D108" s="115"/>
      <c r="E108" s="115"/>
    </row>
    <row r="109" spans="3:5">
      <c r="C109" s="115"/>
      <c r="D109" s="115"/>
      <c r="E109" s="115"/>
    </row>
    <row r="110" spans="3:5">
      <c r="C110" s="115"/>
      <c r="D110" s="115"/>
      <c r="E110" s="115"/>
    </row>
    <row r="111" spans="3:5">
      <c r="C111" s="115"/>
      <c r="D111" s="115"/>
      <c r="E111" s="115"/>
    </row>
    <row r="112" spans="3:5">
      <c r="C112" s="115"/>
      <c r="D112" s="115"/>
      <c r="E112" s="115"/>
    </row>
    <row r="113" spans="3:5">
      <c r="C113" s="115"/>
      <c r="D113" s="115"/>
      <c r="E113" s="115"/>
    </row>
    <row r="114" spans="3:5">
      <c r="C114" s="115"/>
      <c r="D114" s="115"/>
      <c r="E114" s="115"/>
    </row>
    <row r="115" spans="3:5">
      <c r="C115" s="115"/>
      <c r="D115" s="115"/>
      <c r="E115" s="115"/>
    </row>
    <row r="116" spans="3:5">
      <c r="C116" s="115"/>
      <c r="D116" s="115"/>
      <c r="E116" s="115"/>
    </row>
    <row r="117" spans="3:5">
      <c r="C117" s="115"/>
      <c r="D117" s="115"/>
      <c r="E117" s="115"/>
    </row>
    <row r="118" spans="3:5">
      <c r="C118" s="115"/>
      <c r="D118" s="115"/>
      <c r="E118" s="115"/>
    </row>
    <row r="119" spans="3:5">
      <c r="C119" s="115"/>
      <c r="D119" s="115"/>
      <c r="E119" s="115"/>
    </row>
    <row r="120" spans="3:5">
      <c r="C120" s="115"/>
      <c r="D120" s="115"/>
      <c r="E120" s="115"/>
    </row>
    <row r="121" spans="3:5">
      <c r="C121" s="115"/>
      <c r="D121" s="115"/>
      <c r="E121" s="115"/>
    </row>
    <row r="122" spans="3:5">
      <c r="C122" s="115"/>
      <c r="D122" s="115"/>
      <c r="E122" s="115"/>
    </row>
  </sheetData>
  <mergeCells count="4">
    <mergeCell ref="A38:E38"/>
    <mergeCell ref="A40:B40"/>
    <mergeCell ref="A41:B41"/>
    <mergeCell ref="A42:B42"/>
  </mergeCells>
  <phoneticPr fontId="19" type="noConversion"/>
  <printOptions gridLinesSet="0"/>
  <pageMargins left="1.3779527559055118" right="0.78740157480314965" top="1.3779527559055118" bottom="0.98425196850393704"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8"/>
  <sheetViews>
    <sheetView zoomScale="75" workbookViewId="0">
      <selection activeCell="Z15" sqref="Z15"/>
    </sheetView>
  </sheetViews>
  <sheetFormatPr baseColWidth="10" defaultRowHeight="13.2"/>
  <cols>
    <col min="1" max="1" width="17" customWidth="1"/>
    <col min="2" max="2" width="19.77734375" customWidth="1"/>
    <col min="3" max="32" width="9.44140625" customWidth="1"/>
    <col min="33" max="33" width="13" customWidth="1"/>
    <col min="34" max="35" width="13.21875" customWidth="1"/>
  </cols>
  <sheetData>
    <row r="1" spans="1:35">
      <c r="A1" s="1679" t="s">
        <v>1139</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row>
    <row r="2" spans="1:35">
      <c r="A2" s="1679" t="s">
        <v>1686</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row>
    <row r="3" spans="1:35">
      <c r="A3" s="1680"/>
      <c r="B3" s="1680"/>
      <c r="C3" s="1680"/>
      <c r="D3" s="1680"/>
      <c r="E3" s="1680"/>
      <c r="F3" s="1680"/>
      <c r="G3" s="1680"/>
      <c r="H3" s="1680"/>
      <c r="I3" s="1680"/>
      <c r="J3" s="1680"/>
      <c r="K3" s="1680"/>
      <c r="L3" s="1680"/>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row>
    <row r="7" spans="1:35">
      <c r="A7" s="605"/>
    </row>
    <row r="8" spans="1:35" ht="31.5" customHeight="1">
      <c r="A8" s="410" t="s">
        <v>1140</v>
      </c>
      <c r="B8" s="606" t="s">
        <v>1141</v>
      </c>
      <c r="C8" s="1683" t="s">
        <v>1305</v>
      </c>
      <c r="D8" s="1684"/>
      <c r="E8" s="1677" t="s">
        <v>1306</v>
      </c>
      <c r="F8" s="1685"/>
      <c r="G8" s="1677" t="s">
        <v>1307</v>
      </c>
      <c r="H8" s="1685"/>
      <c r="I8" s="1677" t="s">
        <v>1308</v>
      </c>
      <c r="J8" s="1685"/>
      <c r="K8" s="1677" t="s">
        <v>1309</v>
      </c>
      <c r="L8" s="1685"/>
      <c r="M8" s="1677" t="s">
        <v>1310</v>
      </c>
      <c r="N8" s="1678"/>
      <c r="O8" s="1677" t="s">
        <v>1311</v>
      </c>
      <c r="P8" s="1678"/>
      <c r="Q8" s="1677" t="s">
        <v>1312</v>
      </c>
      <c r="R8" s="1678"/>
      <c r="S8" s="1677" t="s">
        <v>1313</v>
      </c>
      <c r="T8" s="1678"/>
      <c r="U8" s="1677" t="s">
        <v>1314</v>
      </c>
      <c r="V8" s="1678"/>
      <c r="W8" s="1677" t="s">
        <v>1315</v>
      </c>
      <c r="X8" s="1678"/>
      <c r="Y8" s="1677" t="s">
        <v>1316</v>
      </c>
      <c r="Z8" s="1678"/>
      <c r="AA8" s="1677" t="s">
        <v>1317</v>
      </c>
      <c r="AB8" s="1678"/>
      <c r="AC8" s="1677" t="s">
        <v>1318</v>
      </c>
      <c r="AD8" s="1678"/>
      <c r="AE8" s="1681" t="s">
        <v>517</v>
      </c>
      <c r="AF8" s="1682"/>
      <c r="AG8" s="607" t="s">
        <v>1142</v>
      </c>
      <c r="AH8" s="608" t="s">
        <v>1143</v>
      </c>
      <c r="AI8" s="608" t="s">
        <v>1144</v>
      </c>
    </row>
    <row r="9" spans="1:35" ht="28.5" customHeight="1">
      <c r="A9" s="361"/>
      <c r="B9" s="609"/>
      <c r="C9" s="610" t="s">
        <v>1145</v>
      </c>
      <c r="D9" s="611" t="s">
        <v>1146</v>
      </c>
      <c r="E9" s="612" t="s">
        <v>1145</v>
      </c>
      <c r="F9" s="611" t="s">
        <v>1146</v>
      </c>
      <c r="G9" s="612" t="s">
        <v>1145</v>
      </c>
      <c r="H9" s="611" t="s">
        <v>1146</v>
      </c>
      <c r="I9" s="612" t="s">
        <v>1145</v>
      </c>
      <c r="J9" s="611" t="s">
        <v>1146</v>
      </c>
      <c r="K9" s="612" t="s">
        <v>1145</v>
      </c>
      <c r="L9" s="611" t="s">
        <v>1146</v>
      </c>
      <c r="M9" s="612" t="s">
        <v>1145</v>
      </c>
      <c r="N9" s="611" t="s">
        <v>1146</v>
      </c>
      <c r="O9" s="612" t="s">
        <v>1145</v>
      </c>
      <c r="P9" s="611" t="s">
        <v>1146</v>
      </c>
      <c r="Q9" s="612" t="s">
        <v>1145</v>
      </c>
      <c r="R9" s="611" t="s">
        <v>1146</v>
      </c>
      <c r="S9" s="612" t="s">
        <v>1145</v>
      </c>
      <c r="T9" s="611" t="s">
        <v>1146</v>
      </c>
      <c r="U9" s="612" t="s">
        <v>1145</v>
      </c>
      <c r="V9" s="611" t="s">
        <v>1146</v>
      </c>
      <c r="W9" s="612" t="s">
        <v>1145</v>
      </c>
      <c r="X9" s="611" t="s">
        <v>1146</v>
      </c>
      <c r="Y9" s="612" t="s">
        <v>1145</v>
      </c>
      <c r="Z9" s="611" t="s">
        <v>1146</v>
      </c>
      <c r="AA9" s="612" t="s">
        <v>1145</v>
      </c>
      <c r="AB9" s="611" t="s">
        <v>1146</v>
      </c>
      <c r="AC9" s="612" t="s">
        <v>1145</v>
      </c>
      <c r="AD9" s="611" t="s">
        <v>1146</v>
      </c>
      <c r="AE9" s="612" t="s">
        <v>1145</v>
      </c>
      <c r="AF9" s="613" t="s">
        <v>1146</v>
      </c>
      <c r="AG9" s="614" t="s">
        <v>1147</v>
      </c>
      <c r="AH9" s="615" t="s">
        <v>1148</v>
      </c>
      <c r="AI9" s="615" t="s">
        <v>1148</v>
      </c>
    </row>
    <row r="10" spans="1:35" s="6" customFormat="1" ht="21" customHeight="1">
      <c r="A10" s="360" t="s">
        <v>929</v>
      </c>
      <c r="B10" s="293" t="s">
        <v>1303</v>
      </c>
      <c r="C10" s="616">
        <f>+[9]A02!E$21</f>
        <v>0</v>
      </c>
      <c r="D10" s="616">
        <f>+[9]A02!F21</f>
        <v>3</v>
      </c>
      <c r="E10" s="616">
        <f>+[9]A02!G21</f>
        <v>50</v>
      </c>
      <c r="F10" s="616">
        <f>+[9]A02!H21</f>
        <v>73</v>
      </c>
      <c r="G10" s="616">
        <f>+[9]A02!I21</f>
        <v>21</v>
      </c>
      <c r="H10" s="616">
        <f>+[9]A02!J21</f>
        <v>62</v>
      </c>
      <c r="I10" s="616">
        <f>+[9]A02!K21</f>
        <v>33</v>
      </c>
      <c r="J10" s="616">
        <f>+[9]A02!L21</f>
        <v>66</v>
      </c>
      <c r="K10" s="616">
        <f>+[9]A02!M21</f>
        <v>32</v>
      </c>
      <c r="L10" s="616">
        <f>+[9]A02!N21</f>
        <v>45</v>
      </c>
      <c r="M10" s="616">
        <f>+[9]A02!O21</f>
        <v>19</v>
      </c>
      <c r="N10" s="616">
        <f>+[9]A02!P21</f>
        <v>57</v>
      </c>
      <c r="O10" s="616">
        <f>+[9]A02!Q21</f>
        <v>30</v>
      </c>
      <c r="P10" s="616">
        <f>+[9]A02!R21</f>
        <v>53</v>
      </c>
      <c r="Q10" s="616">
        <f>+[9]A02!S21</f>
        <v>25</v>
      </c>
      <c r="R10" s="616">
        <f>+[9]A02!T21</f>
        <v>50</v>
      </c>
      <c r="S10" s="616">
        <f>+[9]A02!U21</f>
        <v>23</v>
      </c>
      <c r="T10" s="616">
        <f>+[9]A02!V21</f>
        <v>45</v>
      </c>
      <c r="U10" s="616">
        <f>+[9]A02!W21</f>
        <v>23</v>
      </c>
      <c r="V10" s="616">
        <f>+[9]A02!X21</f>
        <v>41</v>
      </c>
      <c r="W10" s="616">
        <f>+[9]A02!Y21</f>
        <v>59</v>
      </c>
      <c r="X10" s="616">
        <f>+[9]A02!Z21</f>
        <v>93</v>
      </c>
      <c r="Y10" s="616">
        <f>+[9]A02!AA21</f>
        <v>63</v>
      </c>
      <c r="Z10" s="616">
        <f>+[9]A02!AB21</f>
        <v>89</v>
      </c>
      <c r="AA10" s="616">
        <f>+[9]A02!AC21</f>
        <v>40</v>
      </c>
      <c r="AB10" s="616">
        <f>+[9]A02!AD21</f>
        <v>75</v>
      </c>
      <c r="AC10" s="616">
        <f>+[9]A02!AE21</f>
        <v>52</v>
      </c>
      <c r="AD10" s="616">
        <f>+[9]A02!AF21</f>
        <v>87</v>
      </c>
      <c r="AE10" s="616">
        <f>+C10+E10+G10+I10+K10+M10+O10+Q10+S10+U10+W10+Y10+AA10+AC10</f>
        <v>470</v>
      </c>
      <c r="AF10" s="616">
        <f>+D10+F10+H10+J10+L10+N10+P10+R10+T10+V10+X10+Z10+AB10+AD10</f>
        <v>839</v>
      </c>
      <c r="AG10" s="616">
        <f>SUM(AE10:AF10)</f>
        <v>1309</v>
      </c>
      <c r="AH10" s="616">
        <v>14783</v>
      </c>
      <c r="AI10" s="617">
        <f>SUM(E10:V10)/AH10*100</f>
        <v>5.0598660623689371</v>
      </c>
    </row>
    <row r="11" spans="1:35" s="6" customFormat="1" ht="21" customHeight="1">
      <c r="A11" s="360"/>
      <c r="B11" s="293" t="s">
        <v>1180</v>
      </c>
      <c r="C11" s="616">
        <f>+[11]A02!E$21</f>
        <v>0</v>
      </c>
      <c r="D11" s="616">
        <f>+[11]A02!F$21</f>
        <v>0</v>
      </c>
      <c r="E11" s="616">
        <f>+[11]A02!G$21</f>
        <v>0</v>
      </c>
      <c r="F11" s="616">
        <f>+[11]A02!H$21</f>
        <v>0</v>
      </c>
      <c r="G11" s="616">
        <f>+[11]A02!I$21</f>
        <v>0</v>
      </c>
      <c r="H11" s="616">
        <f>+[11]A02!J$21</f>
        <v>0</v>
      </c>
      <c r="I11" s="616">
        <f>+[11]A02!K$21</f>
        <v>0</v>
      </c>
      <c r="J11" s="616">
        <f>+[11]A02!L$21</f>
        <v>1</v>
      </c>
      <c r="K11" s="616">
        <f>+[11]A02!M$21</f>
        <v>0</v>
      </c>
      <c r="L11" s="616">
        <f>+[11]A02!N$21</f>
        <v>0</v>
      </c>
      <c r="M11" s="616">
        <f>+[11]A02!O$21</f>
        <v>0</v>
      </c>
      <c r="N11" s="616">
        <f>+[11]A02!P$21</f>
        <v>0</v>
      </c>
      <c r="O11" s="616">
        <f>+[11]A02!Q$21</f>
        <v>1</v>
      </c>
      <c r="P11" s="616">
        <f>+[11]A02!R$21</f>
        <v>0</v>
      </c>
      <c r="Q11" s="616">
        <f>+[11]A02!S$21</f>
        <v>1</v>
      </c>
      <c r="R11" s="616">
        <f>+[11]A02!T$21</f>
        <v>1</v>
      </c>
      <c r="S11" s="616">
        <f>+[11]A02!U$21</f>
        <v>0</v>
      </c>
      <c r="T11" s="616">
        <f>+[11]A02!V$21</f>
        <v>0</v>
      </c>
      <c r="U11" s="616">
        <f>+[11]A02!W$21</f>
        <v>0</v>
      </c>
      <c r="V11" s="616">
        <f>+[11]A02!X$21</f>
        <v>1</v>
      </c>
      <c r="W11" s="616">
        <f>+[11]A02!Y$21</f>
        <v>2</v>
      </c>
      <c r="X11" s="616">
        <f>+[11]A02!Z$21</f>
        <v>5</v>
      </c>
      <c r="Y11" s="616">
        <f>+[11]A02!AA$21</f>
        <v>1</v>
      </c>
      <c r="Z11" s="616">
        <f>+[11]A02!AB$21</f>
        <v>1</v>
      </c>
      <c r="AA11" s="616">
        <f>+[11]A02!AC$21</f>
        <v>4</v>
      </c>
      <c r="AB11" s="616">
        <f>+[11]A02!AD$21</f>
        <v>2</v>
      </c>
      <c r="AC11" s="616">
        <f>+[11]A02!AE$21</f>
        <v>0</v>
      </c>
      <c r="AD11" s="616">
        <f>+[11]A02!AF$21</f>
        <v>0</v>
      </c>
      <c r="AE11" s="616">
        <f>+C11+E11+G11+I11+K11+M11+O11+Q11+S11+U11+W11+Y11+AA11+AC11</f>
        <v>9</v>
      </c>
      <c r="AF11" s="616">
        <f>+D11+F11+H11+J11+L11+N11+P11+R11+T11+V11+X11+Z11+AB11+AD11</f>
        <v>11</v>
      </c>
      <c r="AG11" s="616">
        <f>SUM(AE11:AF11)</f>
        <v>20</v>
      </c>
      <c r="AH11" s="616">
        <v>1175</v>
      </c>
      <c r="AI11" s="617">
        <f t="shared" ref="AI11:AI35" si="0">SUM(E11:V11)/AH11*100</f>
        <v>0.42553191489361702</v>
      </c>
    </row>
    <row r="12" spans="1:35" s="6" customFormat="1" ht="21" customHeight="1">
      <c r="A12" s="360"/>
      <c r="B12" s="293" t="s">
        <v>1304</v>
      </c>
      <c r="C12" s="616">
        <f>+[12]A02!E$21</f>
        <v>1</v>
      </c>
      <c r="D12" s="616">
        <f>+[12]A02!F$21</f>
        <v>2</v>
      </c>
      <c r="E12" s="616">
        <f>+[12]A02!G$21</f>
        <v>15</v>
      </c>
      <c r="F12" s="616">
        <f>+[12]A02!H$21</f>
        <v>36</v>
      </c>
      <c r="G12" s="616">
        <f>+[12]A02!I$21</f>
        <v>15</v>
      </c>
      <c r="H12" s="616">
        <f>+[12]A02!J$21</f>
        <v>55</v>
      </c>
      <c r="I12" s="616">
        <f>+[12]A02!K$21</f>
        <v>9</v>
      </c>
      <c r="J12" s="616">
        <f>+[12]A02!L$21</f>
        <v>49</v>
      </c>
      <c r="K12" s="616">
        <f>+[12]A02!M$21</f>
        <v>13</v>
      </c>
      <c r="L12" s="616">
        <f>+[12]A02!N$21</f>
        <v>47</v>
      </c>
      <c r="M12" s="616">
        <f>+[12]A02!O$21</f>
        <v>6</v>
      </c>
      <c r="N12" s="616">
        <f>+[12]A02!P$21</f>
        <v>37</v>
      </c>
      <c r="O12" s="616">
        <f>+[12]A02!Q$21</f>
        <v>13</v>
      </c>
      <c r="P12" s="616">
        <f>+[12]A02!R$21</f>
        <v>28</v>
      </c>
      <c r="Q12" s="616">
        <f>+[12]A02!S$21</f>
        <v>14</v>
      </c>
      <c r="R12" s="616">
        <f>+[12]A02!T$21</f>
        <v>39</v>
      </c>
      <c r="S12" s="616">
        <f>+[12]A02!U$21</f>
        <v>21</v>
      </c>
      <c r="T12" s="616">
        <f>+[12]A02!V$21</f>
        <v>31</v>
      </c>
      <c r="U12" s="616">
        <f>+[12]A02!W$21</f>
        <v>13</v>
      </c>
      <c r="V12" s="616">
        <f>+[12]A02!X$21</f>
        <v>28</v>
      </c>
      <c r="W12" s="616">
        <f>+[12]A02!Y$21</f>
        <v>18</v>
      </c>
      <c r="X12" s="616">
        <f>+[12]A02!Z$21</f>
        <v>30</v>
      </c>
      <c r="Y12" s="616">
        <f>+[12]A02!AA$21</f>
        <v>19</v>
      </c>
      <c r="Z12" s="616">
        <f>+[12]A02!AB$21</f>
        <v>28</v>
      </c>
      <c r="AA12" s="616">
        <f>+[12]A02!AC$21</f>
        <v>7</v>
      </c>
      <c r="AB12" s="616">
        <f>+[12]A02!AD$21</f>
        <v>28</v>
      </c>
      <c r="AC12" s="616">
        <f>+[12]A02!AE$21</f>
        <v>18</v>
      </c>
      <c r="AD12" s="616">
        <f>+[12]A02!AF$21</f>
        <v>25</v>
      </c>
      <c r="AE12" s="616">
        <f t="shared" ref="AE12:AE34" si="1">+C12+E12+G12+I12+K12+M12+O12+Q12+S12+U12+W12+Y12+AA12+AC12</f>
        <v>182</v>
      </c>
      <c r="AF12" s="616">
        <f t="shared" ref="AF12:AF34" si="2">+D12+F12+H12+J12+L12+N12+P12+R12+T12+V12+X12+Z12+AB12+AD12</f>
        <v>463</v>
      </c>
      <c r="AG12" s="616">
        <f>SUM(AE12:AF12)</f>
        <v>645</v>
      </c>
      <c r="AH12" s="616">
        <v>16798</v>
      </c>
      <c r="AI12" s="617">
        <f t="shared" si="0"/>
        <v>2.7919990475056555</v>
      </c>
    </row>
    <row r="13" spans="1:35" s="6" customFormat="1" ht="21" customHeight="1">
      <c r="A13" s="360"/>
      <c r="B13" s="334" t="s">
        <v>804</v>
      </c>
      <c r="C13" s="616">
        <f>+[10]A02!E$21</f>
        <v>0</v>
      </c>
      <c r="D13" s="616">
        <f>+[10]A02!F$21</f>
        <v>0</v>
      </c>
      <c r="E13" s="616">
        <f>+[10]A02!G$21</f>
        <v>1</v>
      </c>
      <c r="F13" s="616">
        <f>+[10]A02!H$21</f>
        <v>8</v>
      </c>
      <c r="G13" s="616">
        <f>+[10]A02!I$21</f>
        <v>3</v>
      </c>
      <c r="H13" s="616">
        <f>+[10]A02!J$21</f>
        <v>5</v>
      </c>
      <c r="I13" s="616">
        <f>+[10]A02!K$21</f>
        <v>3</v>
      </c>
      <c r="J13" s="616">
        <f>+[10]A02!L$21</f>
        <v>2</v>
      </c>
      <c r="K13" s="616">
        <f>+[10]A02!M$21</f>
        <v>2</v>
      </c>
      <c r="L13" s="616">
        <f>+[10]A02!N$21</f>
        <v>7</v>
      </c>
      <c r="M13" s="616">
        <f>+[10]A02!O$21</f>
        <v>1</v>
      </c>
      <c r="N13" s="616">
        <f>+[10]A02!P$21</f>
        <v>11</v>
      </c>
      <c r="O13" s="616">
        <f>+[10]A02!Q$21</f>
        <v>4</v>
      </c>
      <c r="P13" s="616">
        <f>+[10]A02!R$21</f>
        <v>7</v>
      </c>
      <c r="Q13" s="616">
        <f>+[10]A02!S$21</f>
        <v>3</v>
      </c>
      <c r="R13" s="616">
        <f>+[10]A02!T$21</f>
        <v>4</v>
      </c>
      <c r="S13" s="616">
        <f>+[10]A02!U$21</f>
        <v>2</v>
      </c>
      <c r="T13" s="616">
        <f>+[10]A02!V$21</f>
        <v>3</v>
      </c>
      <c r="U13" s="616">
        <f>+[10]A02!W$21</f>
        <v>1</v>
      </c>
      <c r="V13" s="616">
        <f>+[10]A02!X$21</f>
        <v>1</v>
      </c>
      <c r="W13" s="616">
        <f>+[10]A02!Y$21</f>
        <v>5</v>
      </c>
      <c r="X13" s="616">
        <f>+[10]A02!Z$21</f>
        <v>16</v>
      </c>
      <c r="Y13" s="616">
        <f>+[10]A02!AA$21</f>
        <v>4</v>
      </c>
      <c r="Z13" s="616">
        <f>+[10]A02!AB$21</f>
        <v>8</v>
      </c>
      <c r="AA13" s="616">
        <f>+[10]A02!AC$21</f>
        <v>6</v>
      </c>
      <c r="AB13" s="616">
        <f>+[10]A02!AD$21</f>
        <v>9</v>
      </c>
      <c r="AC13" s="616">
        <f>+[10]A02!AE$21</f>
        <v>7</v>
      </c>
      <c r="AD13" s="616">
        <f>+[10]A02!AF$21</f>
        <v>11</v>
      </c>
      <c r="AE13" s="616">
        <f t="shared" si="1"/>
        <v>42</v>
      </c>
      <c r="AF13" s="616">
        <f t="shared" si="2"/>
        <v>92</v>
      </c>
      <c r="AG13" s="616">
        <f t="shared" ref="AG13:AG34" si="3">SUM(AE13:AF13)</f>
        <v>134</v>
      </c>
      <c r="AH13" s="616">
        <v>1982</v>
      </c>
      <c r="AI13" s="617">
        <f t="shared" si="0"/>
        <v>3.4308779011099895</v>
      </c>
    </row>
    <row r="14" spans="1:35" s="6" customFormat="1" ht="21" customHeight="1">
      <c r="A14" s="360" t="s">
        <v>617</v>
      </c>
      <c r="B14" s="334" t="s">
        <v>805</v>
      </c>
      <c r="C14" s="616">
        <f>+[13]A02!E$21</f>
        <v>0</v>
      </c>
      <c r="D14" s="616">
        <f>+[13]A02!F$21</f>
        <v>0</v>
      </c>
      <c r="E14" s="616">
        <f>+[13]A02!G$21</f>
        <v>16</v>
      </c>
      <c r="F14" s="616">
        <f>+[13]A02!H$21</f>
        <v>31</v>
      </c>
      <c r="G14" s="616">
        <f>+[13]A02!I$21</f>
        <v>23</v>
      </c>
      <c r="H14" s="616">
        <f>+[13]A02!J$21</f>
        <v>45</v>
      </c>
      <c r="I14" s="616">
        <f>+[13]A02!K$21</f>
        <v>27</v>
      </c>
      <c r="J14" s="616">
        <f>+[13]A02!L$21</f>
        <v>36</v>
      </c>
      <c r="K14" s="616">
        <f>+[13]A02!M$21</f>
        <v>16</v>
      </c>
      <c r="L14" s="616">
        <f>+[13]A02!N$21</f>
        <v>39</v>
      </c>
      <c r="M14" s="616">
        <f>+[13]A02!O$21</f>
        <v>11</v>
      </c>
      <c r="N14" s="616">
        <f>+[13]A02!P$21</f>
        <v>22</v>
      </c>
      <c r="O14" s="616">
        <f>+[13]A02!Q$21</f>
        <v>21</v>
      </c>
      <c r="P14" s="616">
        <f>+[13]A02!R$21</f>
        <v>17</v>
      </c>
      <c r="Q14" s="616">
        <f>+[13]A02!S$21</f>
        <v>12</v>
      </c>
      <c r="R14" s="616">
        <f>+[13]A02!T$21</f>
        <v>15</v>
      </c>
      <c r="S14" s="616">
        <f>+[13]A02!U$21</f>
        <v>6</v>
      </c>
      <c r="T14" s="616">
        <f>+[13]A02!V$21</f>
        <v>13</v>
      </c>
      <c r="U14" s="616">
        <f>+[13]A02!W$21</f>
        <v>2</v>
      </c>
      <c r="V14" s="616">
        <f>+[13]A02!X$21</f>
        <v>11</v>
      </c>
      <c r="W14" s="616">
        <f>+[13]A02!Y$21</f>
        <v>9</v>
      </c>
      <c r="X14" s="616">
        <f>+[13]A02!Z$21</f>
        <v>17</v>
      </c>
      <c r="Y14" s="616">
        <f>+[13]A02!AA$21</f>
        <v>11</v>
      </c>
      <c r="Z14" s="616">
        <f>+[13]A02!AB$21</f>
        <v>15</v>
      </c>
      <c r="AA14" s="616">
        <f>+[13]A02!AC$21</f>
        <v>12</v>
      </c>
      <c r="AB14" s="616">
        <f>+[13]A02!AD$21</f>
        <v>9</v>
      </c>
      <c r="AC14" s="616">
        <f>+[13]A02!AE$21</f>
        <v>11</v>
      </c>
      <c r="AD14" s="616">
        <f>+[13]A02!AF$21</f>
        <v>14</v>
      </c>
      <c r="AE14" s="616">
        <f t="shared" si="1"/>
        <v>177</v>
      </c>
      <c r="AF14" s="616">
        <f t="shared" si="2"/>
        <v>284</v>
      </c>
      <c r="AG14" s="616">
        <f t="shared" si="3"/>
        <v>461</v>
      </c>
      <c r="AH14" s="616">
        <v>5793</v>
      </c>
      <c r="AI14" s="617">
        <f t="shared" si="0"/>
        <v>6.2661833247022267</v>
      </c>
    </row>
    <row r="15" spans="1:35" s="6" customFormat="1" ht="21" customHeight="1">
      <c r="A15" s="360"/>
      <c r="B15" s="293" t="s">
        <v>1179</v>
      </c>
      <c r="C15" s="616">
        <f>+[40]A02!E$21</f>
        <v>0</v>
      </c>
      <c r="D15" s="616">
        <f>+[40]A02!F$21</f>
        <v>0</v>
      </c>
      <c r="E15" s="616">
        <f>+[40]A02!G$21</f>
        <v>1</v>
      </c>
      <c r="F15" s="616">
        <f>+[40]A02!H$21</f>
        <v>0</v>
      </c>
      <c r="G15" s="616">
        <f>+[40]A02!I$21</f>
        <v>0</v>
      </c>
      <c r="H15" s="616">
        <f>+[40]A02!J$21</f>
        <v>0</v>
      </c>
      <c r="I15" s="616">
        <f>+[40]A02!K$21</f>
        <v>0</v>
      </c>
      <c r="J15" s="616">
        <f>+[40]A02!L$21</f>
        <v>0</v>
      </c>
      <c r="K15" s="616">
        <f>+[40]A02!M$21</f>
        <v>0</v>
      </c>
      <c r="L15" s="616">
        <f>+[40]A02!N$21</f>
        <v>1</v>
      </c>
      <c r="M15" s="616">
        <f>+[40]A02!O$21</f>
        <v>0</v>
      </c>
      <c r="N15" s="616">
        <f>+[40]A02!P$21</f>
        <v>1</v>
      </c>
      <c r="O15" s="616">
        <f>+[40]A02!Q$21</f>
        <v>0</v>
      </c>
      <c r="P15" s="616">
        <f>+[40]A02!R$21</f>
        <v>0</v>
      </c>
      <c r="Q15" s="616">
        <f>+[40]A02!S$21</f>
        <v>0</v>
      </c>
      <c r="R15" s="616">
        <f>+[40]A02!T$21</f>
        <v>1</v>
      </c>
      <c r="S15" s="616">
        <f>+[40]A02!U$21</f>
        <v>2</v>
      </c>
      <c r="T15" s="616">
        <f>+[40]A02!V$21</f>
        <v>1</v>
      </c>
      <c r="U15" s="616">
        <f>+[40]A02!W$21</f>
        <v>0</v>
      </c>
      <c r="V15" s="616">
        <f>+[40]A02!X$21</f>
        <v>0</v>
      </c>
      <c r="W15" s="616">
        <f>+[40]A02!Y$21</f>
        <v>2</v>
      </c>
      <c r="X15" s="616">
        <f>+[40]A02!Z$21</f>
        <v>6</v>
      </c>
      <c r="Y15" s="616">
        <f>+[40]A02!AA$21</f>
        <v>0</v>
      </c>
      <c r="Z15" s="616">
        <f>+[40]A02!AB$21</f>
        <v>3</v>
      </c>
      <c r="AA15" s="616">
        <f>+[40]A02!AC$21</f>
        <v>3</v>
      </c>
      <c r="AB15" s="616">
        <f>+[40]A02!AD$21</f>
        <v>2</v>
      </c>
      <c r="AC15" s="616">
        <f>+[40]A02!AE$21</f>
        <v>6</v>
      </c>
      <c r="AD15" s="616">
        <f>+[40]A02!AF$21</f>
        <v>3</v>
      </c>
      <c r="AE15" s="616">
        <f t="shared" si="1"/>
        <v>14</v>
      </c>
      <c r="AF15" s="616">
        <f t="shared" si="2"/>
        <v>18</v>
      </c>
      <c r="AG15" s="616">
        <f>SUM(AE15:AF15)</f>
        <v>32</v>
      </c>
      <c r="AH15" s="616">
        <v>2134</v>
      </c>
      <c r="AI15" s="617">
        <f t="shared" si="0"/>
        <v>0.32802249297094654</v>
      </c>
    </row>
    <row r="16" spans="1:35" s="6" customFormat="1" ht="21" customHeight="1">
      <c r="A16" s="360"/>
      <c r="B16" s="293" t="s">
        <v>1170</v>
      </c>
      <c r="C16" s="616">
        <f>+[14]A02!E$21</f>
        <v>0</v>
      </c>
      <c r="D16" s="616">
        <f>+[14]A02!F$21</f>
        <v>0</v>
      </c>
      <c r="E16" s="616">
        <f>+[14]A02!G$21</f>
        <v>0</v>
      </c>
      <c r="F16" s="616">
        <f>+[14]A02!H$21</f>
        <v>5</v>
      </c>
      <c r="G16" s="616">
        <f>+[14]A02!I$21</f>
        <v>0</v>
      </c>
      <c r="H16" s="616">
        <f>+[14]A02!J$21</f>
        <v>0</v>
      </c>
      <c r="I16" s="616">
        <f>+[14]A02!K$21</f>
        <v>0</v>
      </c>
      <c r="J16" s="616">
        <f>+[14]A02!L$21</f>
        <v>1</v>
      </c>
      <c r="K16" s="616">
        <f>+[14]A02!M$21</f>
        <v>0</v>
      </c>
      <c r="L16" s="616">
        <f>+[14]A02!N$21</f>
        <v>0</v>
      </c>
      <c r="M16" s="616">
        <f>+[14]A02!O$21</f>
        <v>0</v>
      </c>
      <c r="N16" s="616">
        <f>+[14]A02!P$21</f>
        <v>2</v>
      </c>
      <c r="O16" s="616">
        <f>+[14]A02!Q$21</f>
        <v>0</v>
      </c>
      <c r="P16" s="616">
        <f>+[14]A02!R$21</f>
        <v>1</v>
      </c>
      <c r="Q16" s="616">
        <f>+[14]A02!S$21</f>
        <v>1</v>
      </c>
      <c r="R16" s="616">
        <f>+[14]A02!T$21</f>
        <v>1</v>
      </c>
      <c r="S16" s="616">
        <f>+[14]A02!U$21</f>
        <v>0</v>
      </c>
      <c r="T16" s="616">
        <f>+[14]A02!V$21</f>
        <v>1</v>
      </c>
      <c r="U16" s="616">
        <f>+[14]A02!W$21</f>
        <v>0</v>
      </c>
      <c r="V16" s="616">
        <f>+[14]A02!X$21</f>
        <v>0</v>
      </c>
      <c r="W16" s="616">
        <f>+[14]A02!Y$21</f>
        <v>2</v>
      </c>
      <c r="X16" s="616">
        <f>+[14]A02!Z$21</f>
        <v>3</v>
      </c>
      <c r="Y16" s="616">
        <f>+[14]A02!AA$21</f>
        <v>10</v>
      </c>
      <c r="Z16" s="616">
        <f>+[14]A02!AB$21</f>
        <v>7</v>
      </c>
      <c r="AA16" s="616">
        <f>+[14]A02!AC$21</f>
        <v>1</v>
      </c>
      <c r="AB16" s="616">
        <f>+[14]A02!AD$21</f>
        <v>1</v>
      </c>
      <c r="AC16" s="616">
        <f>+[14]A02!AE$21</f>
        <v>2</v>
      </c>
      <c r="AD16" s="616">
        <f>+[14]A02!AF$21</f>
        <v>4</v>
      </c>
      <c r="AE16" s="616">
        <f t="shared" si="1"/>
        <v>16</v>
      </c>
      <c r="AF16" s="616">
        <f t="shared" si="2"/>
        <v>26</v>
      </c>
      <c r="AG16" s="616">
        <f>SUM(AE16:AF16)</f>
        <v>42</v>
      </c>
      <c r="AH16" s="616">
        <v>1954</v>
      </c>
      <c r="AI16" s="617">
        <f t="shared" si="0"/>
        <v>0.61412487205731825</v>
      </c>
    </row>
    <row r="17" spans="1:37" s="6" customFormat="1" ht="21" customHeight="1">
      <c r="A17" s="360" t="s">
        <v>828</v>
      </c>
      <c r="B17" s="334" t="s">
        <v>807</v>
      </c>
      <c r="C17" s="616">
        <f>+[16]A02!E$21</f>
        <v>0</v>
      </c>
      <c r="D17" s="616">
        <f>+[16]A02!F$21</f>
        <v>0</v>
      </c>
      <c r="E17" s="616">
        <f>+[16]A02!G$21</f>
        <v>7</v>
      </c>
      <c r="F17" s="616">
        <f>+[16]A02!H$21</f>
        <v>18</v>
      </c>
      <c r="G17" s="616">
        <f>+[16]A02!I$21</f>
        <v>6</v>
      </c>
      <c r="H17" s="616">
        <f>+[16]A02!J$21</f>
        <v>16</v>
      </c>
      <c r="I17" s="616">
        <f>+[16]A02!K$21</f>
        <v>4</v>
      </c>
      <c r="J17" s="616">
        <f>+[16]A02!L$21</f>
        <v>20</v>
      </c>
      <c r="K17" s="616">
        <f>+[16]A02!M$21</f>
        <v>10</v>
      </c>
      <c r="L17" s="616">
        <f>+[16]A02!N$21</f>
        <v>18</v>
      </c>
      <c r="M17" s="616">
        <f>+[16]A02!O$21</f>
        <v>4</v>
      </c>
      <c r="N17" s="616">
        <f>+[16]A02!P$21</f>
        <v>24</v>
      </c>
      <c r="O17" s="616">
        <f>+[16]A02!Q$21</f>
        <v>5</v>
      </c>
      <c r="P17" s="616">
        <f>+[16]A02!R$21</f>
        <v>14</v>
      </c>
      <c r="Q17" s="616">
        <f>+[16]A02!S$21</f>
        <v>2</v>
      </c>
      <c r="R17" s="616">
        <f>+[16]A02!T$21</f>
        <v>9</v>
      </c>
      <c r="S17" s="616">
        <f>+[16]A02!U$21</f>
        <v>5</v>
      </c>
      <c r="T17" s="616">
        <f>+[16]A02!V$21</f>
        <v>10</v>
      </c>
      <c r="U17" s="616">
        <f>+[16]A02!W$21</f>
        <v>5</v>
      </c>
      <c r="V17" s="616">
        <f>+[16]A02!X$21</f>
        <v>11</v>
      </c>
      <c r="W17" s="616">
        <f>+[16]A02!Y$21</f>
        <v>24</v>
      </c>
      <c r="X17" s="616">
        <f>+[16]A02!Z$21</f>
        <v>36</v>
      </c>
      <c r="Y17" s="616">
        <f>+[16]A02!AA$21</f>
        <v>23</v>
      </c>
      <c r="Z17" s="616">
        <f>+[16]A02!AB$21</f>
        <v>16</v>
      </c>
      <c r="AA17" s="616">
        <f>+[16]A02!AC$21</f>
        <v>19</v>
      </c>
      <c r="AB17" s="616">
        <f>+[16]A02!AD$21</f>
        <v>16</v>
      </c>
      <c r="AC17" s="616">
        <f>+[16]A02!AE$21</f>
        <v>17</v>
      </c>
      <c r="AD17" s="616">
        <f>+[16]A02!AF$21</f>
        <v>24</v>
      </c>
      <c r="AE17" s="616">
        <f t="shared" si="1"/>
        <v>131</v>
      </c>
      <c r="AF17" s="616">
        <f t="shared" si="2"/>
        <v>232</v>
      </c>
      <c r="AG17" s="616">
        <f t="shared" si="3"/>
        <v>363</v>
      </c>
      <c r="AH17" s="616">
        <v>5487</v>
      </c>
      <c r="AI17" s="617">
        <f t="shared" si="0"/>
        <v>3.426280298888281</v>
      </c>
    </row>
    <row r="18" spans="1:37" s="6" customFormat="1" ht="21" customHeight="1">
      <c r="A18" s="360"/>
      <c r="B18" s="293" t="s">
        <v>1181</v>
      </c>
      <c r="C18" s="616">
        <f>+[17]A02!E$21</f>
        <v>0</v>
      </c>
      <c r="D18" s="616">
        <f>+[17]A02!F$21</f>
        <v>0</v>
      </c>
      <c r="E18" s="616">
        <f>+[17]A02!G$21</f>
        <v>0</v>
      </c>
      <c r="F18" s="616">
        <f>+[17]A02!H$21</f>
        <v>0</v>
      </c>
      <c r="G18" s="616">
        <f>+[17]A02!I$21</f>
        <v>0</v>
      </c>
      <c r="H18" s="616">
        <f>+[17]A02!J$21</f>
        <v>0</v>
      </c>
      <c r="I18" s="616">
        <f>+[17]A02!K$21</f>
        <v>0</v>
      </c>
      <c r="J18" s="616">
        <f>+[17]A02!L$21</f>
        <v>1</v>
      </c>
      <c r="K18" s="616">
        <f>+[17]A02!M$21</f>
        <v>0</v>
      </c>
      <c r="L18" s="616">
        <f>+[17]A02!N$21</f>
        <v>1</v>
      </c>
      <c r="M18" s="616">
        <f>+[17]A02!O$21</f>
        <v>0</v>
      </c>
      <c r="N18" s="616">
        <f>+[17]A02!P$21</f>
        <v>1</v>
      </c>
      <c r="O18" s="616">
        <f>+[17]A02!Q$21</f>
        <v>0</v>
      </c>
      <c r="P18" s="616">
        <f>+[17]A02!R$21</f>
        <v>1</v>
      </c>
      <c r="Q18" s="616">
        <f>+[17]A02!S$21</f>
        <v>0</v>
      </c>
      <c r="R18" s="616">
        <f>+[17]A02!T$21</f>
        <v>1</v>
      </c>
      <c r="S18" s="616">
        <f>+[17]A02!U$21</f>
        <v>1</v>
      </c>
      <c r="T18" s="616">
        <f>+[17]A02!V$21</f>
        <v>0</v>
      </c>
      <c r="U18" s="616">
        <f>+[17]A02!W$21</f>
        <v>0</v>
      </c>
      <c r="V18" s="616">
        <f>+[17]A02!X$21</f>
        <v>0</v>
      </c>
      <c r="W18" s="616">
        <f>+[17]A02!Y$21</f>
        <v>9</v>
      </c>
      <c r="X18" s="616">
        <f>+[17]A02!Z$21</f>
        <v>7</v>
      </c>
      <c r="Y18" s="616">
        <f>+[17]A02!AA$21</f>
        <v>7</v>
      </c>
      <c r="Z18" s="616">
        <f>+[17]A02!AB$21</f>
        <v>6</v>
      </c>
      <c r="AA18" s="616">
        <f>+[17]A02!AC$21</f>
        <v>4</v>
      </c>
      <c r="AB18" s="616">
        <f>+[17]A02!AD$21</f>
        <v>5</v>
      </c>
      <c r="AC18" s="616">
        <f>+[17]A02!AE$21</f>
        <v>7</v>
      </c>
      <c r="AD18" s="616">
        <f>+[17]A02!AF$21</f>
        <v>4</v>
      </c>
      <c r="AE18" s="616">
        <f t="shared" si="1"/>
        <v>28</v>
      </c>
      <c r="AF18" s="616">
        <f t="shared" si="2"/>
        <v>27</v>
      </c>
      <c r="AG18" s="616">
        <f>SUM(AE18:AF18)</f>
        <v>55</v>
      </c>
      <c r="AH18" s="616">
        <v>1046</v>
      </c>
      <c r="AI18" s="617">
        <f t="shared" si="0"/>
        <v>0.57361376673040154</v>
      </c>
    </row>
    <row r="19" spans="1:37" s="6" customFormat="1" ht="21" customHeight="1">
      <c r="A19" s="360" t="s">
        <v>618</v>
      </c>
      <c r="B19" s="334" t="s">
        <v>808</v>
      </c>
      <c r="C19" s="616">
        <f>+[18]A02!E$21</f>
        <v>2</v>
      </c>
      <c r="D19" s="616">
        <f>+[18]A02!F$21</f>
        <v>10</v>
      </c>
      <c r="E19" s="616">
        <f>+[18]A02!G$21</f>
        <v>10</v>
      </c>
      <c r="F19" s="616">
        <f>+[18]A02!H$21</f>
        <v>13</v>
      </c>
      <c r="G19" s="616">
        <f>+[18]A02!I$21</f>
        <v>15</v>
      </c>
      <c r="H19" s="616">
        <f>+[18]A02!J$21</f>
        <v>37</v>
      </c>
      <c r="I19" s="616">
        <f>+[18]A02!K$21</f>
        <v>13</v>
      </c>
      <c r="J19" s="616">
        <f>+[18]A02!L$21</f>
        <v>28</v>
      </c>
      <c r="K19" s="616">
        <f>+[18]A02!M$21</f>
        <v>17</v>
      </c>
      <c r="L19" s="616">
        <f>+[18]A02!N$21</f>
        <v>27</v>
      </c>
      <c r="M19" s="616">
        <f>+[18]A02!O$21</f>
        <v>10</v>
      </c>
      <c r="N19" s="616">
        <f>+[18]A02!P$21</f>
        <v>25</v>
      </c>
      <c r="O19" s="616">
        <f>+[18]A02!Q$21</f>
        <v>18</v>
      </c>
      <c r="P19" s="616">
        <f>+[18]A02!R$21</f>
        <v>18</v>
      </c>
      <c r="Q19" s="616">
        <f>+[18]A02!S$21</f>
        <v>4</v>
      </c>
      <c r="R19" s="616">
        <f>+[18]A02!T$21</f>
        <v>15</v>
      </c>
      <c r="S19" s="616">
        <f>+[18]A02!U$21</f>
        <v>14</v>
      </c>
      <c r="T19" s="616">
        <f>+[18]A02!V$21</f>
        <v>12</v>
      </c>
      <c r="U19" s="616">
        <f>+[18]A02!W$21</f>
        <v>11</v>
      </c>
      <c r="V19" s="616">
        <f>+[18]A02!X$21</f>
        <v>4</v>
      </c>
      <c r="W19" s="616">
        <f>+[18]A02!Y$21</f>
        <v>21</v>
      </c>
      <c r="X19" s="616">
        <f>+[18]A02!Z$21</f>
        <v>34</v>
      </c>
      <c r="Y19" s="616">
        <f>+[18]A02!AA$21</f>
        <v>16</v>
      </c>
      <c r="Z19" s="616">
        <f>+[18]A02!AB$21</f>
        <v>19</v>
      </c>
      <c r="AA19" s="616">
        <f>+[18]A02!AC$21</f>
        <v>14</v>
      </c>
      <c r="AB19" s="616">
        <f>+[18]A02!AD$21</f>
        <v>20</v>
      </c>
      <c r="AC19" s="616">
        <f>+[18]A02!AE$21</f>
        <v>17</v>
      </c>
      <c r="AD19" s="616">
        <f>+[18]A02!AF$21</f>
        <v>26</v>
      </c>
      <c r="AE19" s="616">
        <f t="shared" si="1"/>
        <v>182</v>
      </c>
      <c r="AF19" s="616">
        <f t="shared" si="2"/>
        <v>288</v>
      </c>
      <c r="AG19" s="616">
        <f t="shared" si="3"/>
        <v>470</v>
      </c>
      <c r="AH19" s="616">
        <v>5250</v>
      </c>
      <c r="AI19" s="617">
        <f t="shared" si="0"/>
        <v>5.5428571428571427</v>
      </c>
    </row>
    <row r="20" spans="1:37" s="6" customFormat="1" ht="21" customHeight="1">
      <c r="A20" s="360" t="s">
        <v>619</v>
      </c>
      <c r="B20" s="334" t="s">
        <v>810</v>
      </c>
      <c r="C20" s="616">
        <f>+[19]A02!E$21</f>
        <v>0</v>
      </c>
      <c r="D20" s="616">
        <f>+[19]A02!F$21</f>
        <v>0</v>
      </c>
      <c r="E20" s="616">
        <f>+[19]A02!G$21</f>
        <v>26</v>
      </c>
      <c r="F20" s="616">
        <f>+[19]A02!H$21</f>
        <v>89</v>
      </c>
      <c r="G20" s="616">
        <f>+[19]A02!I$21</f>
        <v>14</v>
      </c>
      <c r="H20" s="616">
        <f>+[19]A02!J$21</f>
        <v>75</v>
      </c>
      <c r="I20" s="616">
        <f>+[19]A02!K$21</f>
        <v>26</v>
      </c>
      <c r="J20" s="616">
        <f>+[19]A02!L$21</f>
        <v>82</v>
      </c>
      <c r="K20" s="616">
        <f>+[19]A02!M$21</f>
        <v>26</v>
      </c>
      <c r="L20" s="616">
        <f>+[19]A02!N$21</f>
        <v>67</v>
      </c>
      <c r="M20" s="616">
        <f>+[19]A02!O$21</f>
        <v>14</v>
      </c>
      <c r="N20" s="616">
        <f>+[19]A02!P$21</f>
        <v>58</v>
      </c>
      <c r="O20" s="616">
        <f>+[19]A02!Q$21</f>
        <v>18</v>
      </c>
      <c r="P20" s="616">
        <f>+[19]A02!R$21</f>
        <v>67</v>
      </c>
      <c r="Q20" s="616">
        <f>+[19]A02!S$21</f>
        <v>19</v>
      </c>
      <c r="R20" s="616">
        <f>+[19]A02!T$21</f>
        <v>39</v>
      </c>
      <c r="S20" s="616">
        <f>+[19]A02!U$21</f>
        <v>14</v>
      </c>
      <c r="T20" s="616">
        <f>+[19]A02!V$21</f>
        <v>40</v>
      </c>
      <c r="U20" s="616">
        <f>+[19]A02!W$21</f>
        <v>11</v>
      </c>
      <c r="V20" s="616">
        <f>+[19]A02!X$21</f>
        <v>19</v>
      </c>
      <c r="W20" s="616">
        <f>+[19]A02!Y$21</f>
        <v>36</v>
      </c>
      <c r="X20" s="616">
        <f>+[19]A02!Z$21</f>
        <v>61</v>
      </c>
      <c r="Y20" s="616">
        <f>+[19]A02!AA$21</f>
        <v>29</v>
      </c>
      <c r="Z20" s="616">
        <f>+[19]A02!AB$21</f>
        <v>47</v>
      </c>
      <c r="AA20" s="616">
        <f>+[19]A02!AC$21</f>
        <v>24</v>
      </c>
      <c r="AB20" s="616">
        <f>+[19]A02!AD$21</f>
        <v>62</v>
      </c>
      <c r="AC20" s="616">
        <f>+[19]A02!AE$21</f>
        <v>28</v>
      </c>
      <c r="AD20" s="616">
        <f>+[19]A02!AF$21</f>
        <v>63</v>
      </c>
      <c r="AE20" s="616">
        <f t="shared" si="1"/>
        <v>285</v>
      </c>
      <c r="AF20" s="616">
        <f t="shared" si="2"/>
        <v>769</v>
      </c>
      <c r="AG20" s="616">
        <f t="shared" si="3"/>
        <v>1054</v>
      </c>
      <c r="AH20" s="616">
        <v>14008</v>
      </c>
      <c r="AI20" s="617">
        <f t="shared" si="0"/>
        <v>5.0256996002284406</v>
      </c>
    </row>
    <row r="21" spans="1:37" s="6" customFormat="1" ht="21" customHeight="1">
      <c r="A21" s="360"/>
      <c r="B21" s="334" t="s">
        <v>811</v>
      </c>
      <c r="C21" s="616">
        <f>+[20]A02!E$21</f>
        <v>0</v>
      </c>
      <c r="D21" s="616">
        <f>+[20]A02!F$21</f>
        <v>0</v>
      </c>
      <c r="E21" s="616">
        <f>+[20]A02!G$21</f>
        <v>22</v>
      </c>
      <c r="F21" s="616">
        <f>+[20]A02!H$21</f>
        <v>33</v>
      </c>
      <c r="G21" s="616">
        <f>+[20]A02!I$21</f>
        <v>36</v>
      </c>
      <c r="H21" s="616">
        <f>+[20]A02!J$21</f>
        <v>48</v>
      </c>
      <c r="I21" s="616">
        <f>+[20]A02!K$21</f>
        <v>9</v>
      </c>
      <c r="J21" s="616">
        <f>+[20]A02!L$21</f>
        <v>43</v>
      </c>
      <c r="K21" s="616">
        <f>+[20]A02!M$21</f>
        <v>13</v>
      </c>
      <c r="L21" s="616">
        <f>+[20]A02!N$21</f>
        <v>40</v>
      </c>
      <c r="M21" s="616">
        <f>+[20]A02!O$21</f>
        <v>29</v>
      </c>
      <c r="N21" s="616">
        <f>+[20]A02!P$21</f>
        <v>49</v>
      </c>
      <c r="O21" s="616">
        <f>+[20]A02!Q$21</f>
        <v>19</v>
      </c>
      <c r="P21" s="616">
        <f>+[20]A02!R$21</f>
        <v>30</v>
      </c>
      <c r="Q21" s="616">
        <f>+[20]A02!S$21</f>
        <v>12</v>
      </c>
      <c r="R21" s="616">
        <f>+[20]A02!T$21</f>
        <v>39</v>
      </c>
      <c r="S21" s="616">
        <f>+[20]A02!U$21</f>
        <v>11</v>
      </c>
      <c r="T21" s="616">
        <f>+[20]A02!V$21</f>
        <v>22</v>
      </c>
      <c r="U21" s="616">
        <f>+[20]A02!W$21</f>
        <v>21</v>
      </c>
      <c r="V21" s="616">
        <f>+[20]A02!X$21</f>
        <v>11</v>
      </c>
      <c r="W21" s="616">
        <f>+[20]A02!Y$21</f>
        <v>44</v>
      </c>
      <c r="X21" s="616">
        <f>+[20]A02!Z$21</f>
        <v>80</v>
      </c>
      <c r="Y21" s="616">
        <f>+[20]A02!AA$21</f>
        <v>45</v>
      </c>
      <c r="Z21" s="616">
        <f>+[20]A02!AB$21</f>
        <v>62</v>
      </c>
      <c r="AA21" s="616">
        <f>+[20]A02!AC$21</f>
        <v>32</v>
      </c>
      <c r="AB21" s="616">
        <f>+[20]A02!AD$21</f>
        <v>47</v>
      </c>
      <c r="AC21" s="616">
        <f>+[20]A02!AE$21</f>
        <v>36</v>
      </c>
      <c r="AD21" s="616">
        <f>+[20]A02!AF$21</f>
        <v>70</v>
      </c>
      <c r="AE21" s="616">
        <f t="shared" si="1"/>
        <v>329</v>
      </c>
      <c r="AF21" s="616">
        <f t="shared" si="2"/>
        <v>574</v>
      </c>
      <c r="AG21" s="616">
        <f t="shared" si="3"/>
        <v>903</v>
      </c>
      <c r="AH21" s="616">
        <v>19557</v>
      </c>
      <c r="AI21" s="617">
        <f t="shared" si="0"/>
        <v>2.4901569770414684</v>
      </c>
      <c r="AK21" s="974"/>
    </row>
    <row r="22" spans="1:37" s="6" customFormat="1" ht="21" customHeight="1">
      <c r="A22" s="360"/>
      <c r="B22" s="334" t="s">
        <v>532</v>
      </c>
      <c r="C22" s="616">
        <f>+[21]A02!E$21</f>
        <v>0</v>
      </c>
      <c r="D22" s="616">
        <f>+[21]A02!F$21</f>
        <v>0</v>
      </c>
      <c r="E22" s="616">
        <f>+[21]A02!G$21</f>
        <v>1</v>
      </c>
      <c r="F22" s="616">
        <f>+[21]A02!H$21</f>
        <v>9</v>
      </c>
      <c r="G22" s="616">
        <f>+[21]A02!I$21</f>
        <v>6</v>
      </c>
      <c r="H22" s="616">
        <f>+[21]A02!J$21</f>
        <v>6</v>
      </c>
      <c r="I22" s="616">
        <f>+[21]A02!K$21</f>
        <v>5</v>
      </c>
      <c r="J22" s="616">
        <f>+[21]A02!L$21</f>
        <v>5</v>
      </c>
      <c r="K22" s="616">
        <f>+[21]A02!M$21</f>
        <v>3</v>
      </c>
      <c r="L22" s="616">
        <f>+[21]A02!N$21</f>
        <v>6</v>
      </c>
      <c r="M22" s="616">
        <f>+[21]A02!O$21</f>
        <v>0</v>
      </c>
      <c r="N22" s="616">
        <f>+[21]A02!P$21</f>
        <v>1</v>
      </c>
      <c r="O22" s="616">
        <f>+[21]A02!Q$21</f>
        <v>5</v>
      </c>
      <c r="P22" s="616">
        <f>+[21]A02!R$21</f>
        <v>8</v>
      </c>
      <c r="Q22" s="616">
        <f>+[21]A02!S$21</f>
        <v>4</v>
      </c>
      <c r="R22" s="616">
        <f>+[21]A02!T$21</f>
        <v>5</v>
      </c>
      <c r="S22" s="616">
        <f>+[21]A02!U$21</f>
        <v>2</v>
      </c>
      <c r="T22" s="616">
        <f>+[21]A02!V$21</f>
        <v>2</v>
      </c>
      <c r="U22" s="616">
        <f>+[21]A02!W$21</f>
        <v>4</v>
      </c>
      <c r="V22" s="616">
        <f>+[21]A02!X$21</f>
        <v>2</v>
      </c>
      <c r="W22" s="616">
        <f>+[21]A02!Y$21</f>
        <v>11</v>
      </c>
      <c r="X22" s="616">
        <f>+[21]A02!Z$21</f>
        <v>11</v>
      </c>
      <c r="Y22" s="616">
        <f>+[21]A02!AA$21</f>
        <v>6</v>
      </c>
      <c r="Z22" s="616">
        <f>+[21]A02!AB$21</f>
        <v>9</v>
      </c>
      <c r="AA22" s="616">
        <f>+[21]A02!AC$21</f>
        <v>7</v>
      </c>
      <c r="AB22" s="616">
        <f>+[21]A02!AD$21</f>
        <v>5</v>
      </c>
      <c r="AC22" s="616">
        <f>+[21]A02!AE$21</f>
        <v>3</v>
      </c>
      <c r="AD22" s="616">
        <f>+[21]A02!AF$21</f>
        <v>23</v>
      </c>
      <c r="AE22" s="616">
        <f t="shared" si="1"/>
        <v>57</v>
      </c>
      <c r="AF22" s="616">
        <f t="shared" si="2"/>
        <v>92</v>
      </c>
      <c r="AG22" s="616">
        <f>SUM(AE22:AF22)</f>
        <v>149</v>
      </c>
      <c r="AH22" s="616">
        <v>2105</v>
      </c>
      <c r="AI22" s="617">
        <f t="shared" si="0"/>
        <v>3.5154394299287413</v>
      </c>
    </row>
    <row r="23" spans="1:37" s="6" customFormat="1" ht="21" customHeight="1">
      <c r="A23" s="360"/>
      <c r="B23" s="334" t="s">
        <v>812</v>
      </c>
      <c r="C23" s="616">
        <f>+[22]A02!E$21</f>
        <v>0</v>
      </c>
      <c r="D23" s="616">
        <f>+[22]A02!F$21</f>
        <v>0</v>
      </c>
      <c r="E23" s="616">
        <f>+[22]A02!G$21</f>
        <v>6</v>
      </c>
      <c r="F23" s="616">
        <f>+[22]A02!H$21</f>
        <v>17</v>
      </c>
      <c r="G23" s="616">
        <f>+[22]A02!I$21</f>
        <v>8</v>
      </c>
      <c r="H23" s="616">
        <f>+[22]A02!J$21</f>
        <v>11</v>
      </c>
      <c r="I23" s="616">
        <f>+[22]A02!K$21</f>
        <v>11</v>
      </c>
      <c r="J23" s="616">
        <f>+[22]A02!L$21</f>
        <v>10</v>
      </c>
      <c r="K23" s="616">
        <f>+[22]A02!M$21</f>
        <v>5</v>
      </c>
      <c r="L23" s="616">
        <f>+[22]A02!N$21</f>
        <v>11</v>
      </c>
      <c r="M23" s="616">
        <f>+[22]A02!O$21</f>
        <v>6</v>
      </c>
      <c r="N23" s="616">
        <f>+[22]A02!P$21</f>
        <v>6</v>
      </c>
      <c r="O23" s="616">
        <f>+[22]A02!Q$21</f>
        <v>2</v>
      </c>
      <c r="P23" s="616">
        <f>+[22]A02!R$21</f>
        <v>15</v>
      </c>
      <c r="Q23" s="616">
        <f>+[22]A02!S$21</f>
        <v>3</v>
      </c>
      <c r="R23" s="616">
        <f>+[22]A02!T$21</f>
        <v>13</v>
      </c>
      <c r="S23" s="616">
        <f>+[22]A02!U$21</f>
        <v>2</v>
      </c>
      <c r="T23" s="616">
        <f>+[22]A02!V$21</f>
        <v>8</v>
      </c>
      <c r="U23" s="616">
        <f>+[22]A02!W$21</f>
        <v>3</v>
      </c>
      <c r="V23" s="616">
        <f>+[22]A02!X$21</f>
        <v>7</v>
      </c>
      <c r="W23" s="616">
        <f>+[22]A02!Y$21</f>
        <v>10</v>
      </c>
      <c r="X23" s="616">
        <f>+[22]A02!Z$21</f>
        <v>39</v>
      </c>
      <c r="Y23" s="616">
        <f>+[22]A02!AA$21</f>
        <v>17</v>
      </c>
      <c r="Z23" s="616">
        <f>+[22]A02!AB$21</f>
        <v>23</v>
      </c>
      <c r="AA23" s="616">
        <f>+[22]A02!AC$21</f>
        <v>19</v>
      </c>
      <c r="AB23" s="616">
        <f>+[22]A02!AD$21</f>
        <v>23</v>
      </c>
      <c r="AC23" s="616">
        <f>+[22]A02!AE$21</f>
        <v>14</v>
      </c>
      <c r="AD23" s="616">
        <f>+[22]A02!AF$21</f>
        <v>24</v>
      </c>
      <c r="AE23" s="616">
        <f t="shared" si="1"/>
        <v>106</v>
      </c>
      <c r="AF23" s="616">
        <f t="shared" si="2"/>
        <v>207</v>
      </c>
      <c r="AG23" s="616">
        <f t="shared" si="3"/>
        <v>313</v>
      </c>
      <c r="AH23" s="616">
        <v>4481</v>
      </c>
      <c r="AI23" s="617">
        <f t="shared" si="0"/>
        <v>3.2135683999107343</v>
      </c>
    </row>
    <row r="24" spans="1:37" s="6" customFormat="1" ht="21" customHeight="1">
      <c r="A24" s="360" t="s">
        <v>620</v>
      </c>
      <c r="B24" s="293" t="s">
        <v>813</v>
      </c>
      <c r="C24" s="616">
        <f>+[23]A02!E$21</f>
        <v>0</v>
      </c>
      <c r="D24" s="616">
        <f>+[23]A02!F$21</f>
        <v>0</v>
      </c>
      <c r="E24" s="616">
        <f>+[23]A02!G$21</f>
        <v>3</v>
      </c>
      <c r="F24" s="616">
        <f>+[23]A02!H$21</f>
        <v>10</v>
      </c>
      <c r="G24" s="616">
        <f>+[23]A02!I$21</f>
        <v>9</v>
      </c>
      <c r="H24" s="616">
        <f>+[23]A02!J$21</f>
        <v>11</v>
      </c>
      <c r="I24" s="616">
        <f>+[23]A02!K$21</f>
        <v>9</v>
      </c>
      <c r="J24" s="616">
        <f>+[23]A02!L$21</f>
        <v>6</v>
      </c>
      <c r="K24" s="616">
        <f>+[23]A02!M$21</f>
        <v>3</v>
      </c>
      <c r="L24" s="616">
        <f>+[23]A02!N$21</f>
        <v>6</v>
      </c>
      <c r="M24" s="616">
        <f>+[23]A02!O$21</f>
        <v>5</v>
      </c>
      <c r="N24" s="616">
        <f>+[23]A02!P$21</f>
        <v>14</v>
      </c>
      <c r="O24" s="616">
        <f>+[23]A02!Q$21</f>
        <v>2</v>
      </c>
      <c r="P24" s="616">
        <f>+[23]A02!R$21</f>
        <v>21</v>
      </c>
      <c r="Q24" s="616">
        <f>+[23]A02!S$21</f>
        <v>5</v>
      </c>
      <c r="R24" s="616">
        <f>+[23]A02!T$21</f>
        <v>22</v>
      </c>
      <c r="S24" s="616">
        <f>+[23]A02!U$21</f>
        <v>6</v>
      </c>
      <c r="T24" s="616">
        <f>+[23]A02!V$21</f>
        <v>9</v>
      </c>
      <c r="U24" s="616">
        <f>+[23]A02!W$21</f>
        <v>9</v>
      </c>
      <c r="V24" s="616">
        <f>+[23]A02!X$21</f>
        <v>7</v>
      </c>
      <c r="W24" s="616">
        <f>+[23]A02!Y$21</f>
        <v>29</v>
      </c>
      <c r="X24" s="616">
        <f>+[23]A02!Z$21</f>
        <v>38</v>
      </c>
      <c r="Y24" s="616">
        <f>+[23]A02!AA$21</f>
        <v>23</v>
      </c>
      <c r="Z24" s="616">
        <f>+[23]A02!AB$21</f>
        <v>45</v>
      </c>
      <c r="AA24" s="616">
        <f>+[23]A02!AC$21</f>
        <v>27</v>
      </c>
      <c r="AB24" s="616">
        <f>+[23]A02!AD$21</f>
        <v>43</v>
      </c>
      <c r="AC24" s="616">
        <f>+[23]A02!AE$21</f>
        <v>30</v>
      </c>
      <c r="AD24" s="616">
        <f>+[23]A02!AF$21</f>
        <v>38</v>
      </c>
      <c r="AE24" s="616">
        <f t="shared" si="1"/>
        <v>160</v>
      </c>
      <c r="AF24" s="616">
        <f t="shared" si="2"/>
        <v>270</v>
      </c>
      <c r="AG24" s="616">
        <f>SUM(AE24:AF24)</f>
        <v>430</v>
      </c>
      <c r="AH24" s="616">
        <v>5169</v>
      </c>
      <c r="AI24" s="617">
        <f t="shared" si="0"/>
        <v>3.0373379763977559</v>
      </c>
    </row>
    <row r="25" spans="1:37" s="6" customFormat="1" ht="21" customHeight="1">
      <c r="A25" s="360"/>
      <c r="B25" s="293" t="s">
        <v>1182</v>
      </c>
      <c r="C25" s="616">
        <f>+[41]A02!E$21</f>
        <v>0</v>
      </c>
      <c r="D25" s="616">
        <f>+[41]A02!F$21</f>
        <v>0</v>
      </c>
      <c r="E25" s="616">
        <f>+[41]A02!G$21</f>
        <v>5</v>
      </c>
      <c r="F25" s="616">
        <f>+[41]A02!H$21</f>
        <v>6</v>
      </c>
      <c r="G25" s="616">
        <f>+[41]A02!I$21</f>
        <v>8</v>
      </c>
      <c r="H25" s="616">
        <f>+[41]A02!J$21</f>
        <v>3</v>
      </c>
      <c r="I25" s="616">
        <f>+[41]A02!K$21</f>
        <v>5</v>
      </c>
      <c r="J25" s="616">
        <f>+[41]A02!L$21</f>
        <v>4</v>
      </c>
      <c r="K25" s="616">
        <f>+[41]A02!M$21</f>
        <v>3</v>
      </c>
      <c r="L25" s="616">
        <f>+[41]A02!N$21</f>
        <v>6</v>
      </c>
      <c r="M25" s="616">
        <f>+[41]A02!O$21</f>
        <v>3</v>
      </c>
      <c r="N25" s="616">
        <f>+[41]A02!P$21</f>
        <v>8</v>
      </c>
      <c r="O25" s="616">
        <f>+[41]A02!Q$21</f>
        <v>1</v>
      </c>
      <c r="P25" s="616">
        <f>+[41]A02!R$21</f>
        <v>4</v>
      </c>
      <c r="Q25" s="616">
        <f>+[41]A02!S$21</f>
        <v>2</v>
      </c>
      <c r="R25" s="616">
        <f>+[41]A02!T$21</f>
        <v>7</v>
      </c>
      <c r="S25" s="616">
        <f>+[41]A02!U$21</f>
        <v>6</v>
      </c>
      <c r="T25" s="616">
        <f>+[41]A02!V$21</f>
        <v>2</v>
      </c>
      <c r="U25" s="616">
        <f>+[41]A02!W$21</f>
        <v>0</v>
      </c>
      <c r="V25" s="616">
        <f>+[41]A02!X$21</f>
        <v>1</v>
      </c>
      <c r="W25" s="616">
        <f>+[41]A02!Y$21</f>
        <v>12</v>
      </c>
      <c r="X25" s="616">
        <f>+[41]A02!Z$21</f>
        <v>14</v>
      </c>
      <c r="Y25" s="616">
        <f>+[41]A02!AA$21</f>
        <v>13</v>
      </c>
      <c r="Z25" s="616">
        <f>+[41]A02!AB$21</f>
        <v>11</v>
      </c>
      <c r="AA25" s="616">
        <f>+[41]A02!AC$21</f>
        <v>10</v>
      </c>
      <c r="AB25" s="616">
        <f>+[41]A02!AD$21</f>
        <v>10</v>
      </c>
      <c r="AC25" s="616">
        <f>+[41]A02!AE$21</f>
        <v>12</v>
      </c>
      <c r="AD25" s="616">
        <f>+[41]A02!AF$21</f>
        <v>14</v>
      </c>
      <c r="AE25" s="616">
        <f t="shared" si="1"/>
        <v>80</v>
      </c>
      <c r="AF25" s="616">
        <f t="shared" si="2"/>
        <v>90</v>
      </c>
      <c r="AG25" s="616">
        <f>SUM(AE25:AF25)</f>
        <v>170</v>
      </c>
      <c r="AH25" s="616">
        <v>3110</v>
      </c>
      <c r="AI25" s="617">
        <f t="shared" si="0"/>
        <v>2.3794212218649515</v>
      </c>
    </row>
    <row r="26" spans="1:37" s="6" customFormat="1" ht="21" customHeight="1">
      <c r="A26" s="360"/>
      <c r="B26" s="293" t="s">
        <v>1477</v>
      </c>
      <c r="C26" s="616">
        <f>+[24]A02!E$21</f>
        <v>0</v>
      </c>
      <c r="D26" s="616">
        <f>+[24]A02!F$21</f>
        <v>0</v>
      </c>
      <c r="E26" s="616">
        <f>+[24]A02!G$21</f>
        <v>5</v>
      </c>
      <c r="F26" s="616">
        <f>+[24]A02!H$21</f>
        <v>1</v>
      </c>
      <c r="G26" s="616">
        <f>+[24]A02!I$21</f>
        <v>3</v>
      </c>
      <c r="H26" s="616">
        <f>+[24]A02!J$21</f>
        <v>2</v>
      </c>
      <c r="I26" s="616">
        <f>+[24]A02!K$21</f>
        <v>2</v>
      </c>
      <c r="J26" s="616">
        <f>+[24]A02!L$21</f>
        <v>0</v>
      </c>
      <c r="K26" s="616">
        <f>+[24]A02!M$21</f>
        <v>4</v>
      </c>
      <c r="L26" s="616">
        <f>+[24]A02!N$21</f>
        <v>0</v>
      </c>
      <c r="M26" s="616">
        <f>+[24]A02!O$21</f>
        <v>5</v>
      </c>
      <c r="N26" s="616">
        <f>+[24]A02!P$21</f>
        <v>3</v>
      </c>
      <c r="O26" s="616">
        <f>+[24]A02!Q$21</f>
        <v>0</v>
      </c>
      <c r="P26" s="616">
        <f>+[24]A02!R$21</f>
        <v>3</v>
      </c>
      <c r="Q26" s="616">
        <f>+[24]A02!S$21</f>
        <v>1</v>
      </c>
      <c r="R26" s="616">
        <f>+[24]A02!T$21</f>
        <v>9</v>
      </c>
      <c r="S26" s="616">
        <f>+[24]A02!U$21</f>
        <v>1</v>
      </c>
      <c r="T26" s="616">
        <f>+[24]A02!V$21</f>
        <v>4</v>
      </c>
      <c r="U26" s="616">
        <f>+[24]A02!W$21</f>
        <v>1</v>
      </c>
      <c r="V26" s="616">
        <f>+[24]A02!X$21</f>
        <v>4</v>
      </c>
      <c r="W26" s="616">
        <f>+[24]A02!Y$21</f>
        <v>3</v>
      </c>
      <c r="X26" s="616">
        <f>+[24]A02!Z$21</f>
        <v>4</v>
      </c>
      <c r="Y26" s="616">
        <f>+[24]A02!AA$21</f>
        <v>3</v>
      </c>
      <c r="Z26" s="616">
        <f>+[24]A02!AB$21</f>
        <v>3</v>
      </c>
      <c r="AA26" s="616">
        <f>+[24]A02!AC$21</f>
        <v>2</v>
      </c>
      <c r="AB26" s="616">
        <f>+[24]A02!AD$21</f>
        <v>2</v>
      </c>
      <c r="AC26" s="616">
        <f>+[24]A02!AE$21</f>
        <v>3</v>
      </c>
      <c r="AD26" s="616">
        <f>+[24]A02!AF$21</f>
        <v>2</v>
      </c>
      <c r="AE26" s="616">
        <f t="shared" si="1"/>
        <v>33</v>
      </c>
      <c r="AF26" s="616">
        <f t="shared" ref="AF26:AF27" si="4">+D26+F26+H26+J26+L26+N26+P26+R26+T26+V26+X26+Z26+AB26+AD26</f>
        <v>37</v>
      </c>
      <c r="AG26" s="616">
        <f>SUM(AE26:AF26)</f>
        <v>70</v>
      </c>
      <c r="AH26" s="616">
        <v>805</v>
      </c>
      <c r="AI26" s="617">
        <f t="shared" si="0"/>
        <v>5.9627329192546581</v>
      </c>
    </row>
    <row r="27" spans="1:37" s="6" customFormat="1" ht="21" customHeight="1">
      <c r="A27" s="360"/>
      <c r="B27" s="293" t="s">
        <v>1237</v>
      </c>
      <c r="C27" s="616">
        <f>+[36]A02!E$21</f>
        <v>0</v>
      </c>
      <c r="D27" s="616">
        <f>+[36]A02!F$21</f>
        <v>0</v>
      </c>
      <c r="E27" s="616">
        <f>+[36]A02!G$21</f>
        <v>0</v>
      </c>
      <c r="F27" s="616">
        <f>+[36]A02!H$21</f>
        <v>0</v>
      </c>
      <c r="G27" s="616">
        <f>+[36]A02!I$21</f>
        <v>0</v>
      </c>
      <c r="H27" s="616">
        <f>+[36]A02!J$21</f>
        <v>0</v>
      </c>
      <c r="I27" s="616">
        <f>+[36]A02!K$21</f>
        <v>0</v>
      </c>
      <c r="J27" s="616">
        <f>+[36]A02!L$21</f>
        <v>0</v>
      </c>
      <c r="K27" s="616">
        <f>+[36]A02!M$21</f>
        <v>0</v>
      </c>
      <c r="L27" s="616">
        <f>+[36]A02!N$21</f>
        <v>0</v>
      </c>
      <c r="M27" s="616">
        <f>+[36]A02!O$21</f>
        <v>0</v>
      </c>
      <c r="N27" s="616">
        <f>+[36]A02!P$21</f>
        <v>0</v>
      </c>
      <c r="O27" s="616">
        <f>+[36]A02!Q$21</f>
        <v>0</v>
      </c>
      <c r="P27" s="616">
        <f>+[36]A02!R$21</f>
        <v>0</v>
      </c>
      <c r="Q27" s="616">
        <f>+[36]A02!S$21</f>
        <v>0</v>
      </c>
      <c r="R27" s="616">
        <f>+[36]A02!T$21</f>
        <v>0</v>
      </c>
      <c r="S27" s="616">
        <f>+[36]A02!U$21</f>
        <v>0</v>
      </c>
      <c r="T27" s="616">
        <f>+[36]A02!V$21</f>
        <v>0</v>
      </c>
      <c r="U27" s="616">
        <f>+[36]A02!W$21</f>
        <v>0</v>
      </c>
      <c r="V27" s="616">
        <f>+[36]A02!X$21</f>
        <v>0</v>
      </c>
      <c r="W27" s="616">
        <f>+[36]A02!Y$21</f>
        <v>0</v>
      </c>
      <c r="X27" s="616">
        <f>+[36]A02!Z$21</f>
        <v>0</v>
      </c>
      <c r="Y27" s="616">
        <f>+[36]A02!AA$21</f>
        <v>0</v>
      </c>
      <c r="Z27" s="616">
        <f>+[36]A02!AB$21</f>
        <v>0</v>
      </c>
      <c r="AA27" s="616">
        <f>+[36]A02!AC$21</f>
        <v>0</v>
      </c>
      <c r="AB27" s="616">
        <f>+[36]A02!AD$21</f>
        <v>0</v>
      </c>
      <c r="AC27" s="616">
        <f>+[36]A02!AE$21</f>
        <v>0</v>
      </c>
      <c r="AD27" s="616">
        <f>+[36]A02!AF$21</f>
        <v>0</v>
      </c>
      <c r="AE27" s="616">
        <f t="shared" ref="AE27" si="5">+C27+E27+G27+I27+K27+M27+O27+Q27+S27+U27+W27+Y27+AA27+AC27</f>
        <v>0</v>
      </c>
      <c r="AF27" s="616">
        <f t="shared" si="4"/>
        <v>0</v>
      </c>
      <c r="AG27" s="616">
        <f>SUM(AE27:AF27)</f>
        <v>0</v>
      </c>
      <c r="AH27" s="616"/>
      <c r="AI27" s="617"/>
    </row>
    <row r="28" spans="1:37" s="6" customFormat="1" ht="21" customHeight="1">
      <c r="A28" s="360" t="s">
        <v>830</v>
      </c>
      <c r="B28" s="334" t="s">
        <v>629</v>
      </c>
      <c r="C28" s="616">
        <f>+[25]A02!E$21</f>
        <v>0</v>
      </c>
      <c r="D28" s="616">
        <f>+[25]A02!F$21</f>
        <v>0</v>
      </c>
      <c r="E28" s="616">
        <f>+[25]A02!G$21</f>
        <v>13</v>
      </c>
      <c r="F28" s="616">
        <f>+[25]A02!H$21</f>
        <v>11</v>
      </c>
      <c r="G28" s="616">
        <f>+[25]A02!I$21</f>
        <v>12</v>
      </c>
      <c r="H28" s="616">
        <f>+[25]A02!J$21</f>
        <v>12</v>
      </c>
      <c r="I28" s="616">
        <f>+[25]A02!K$21</f>
        <v>7</v>
      </c>
      <c r="J28" s="616">
        <f>+[25]A02!L$21</f>
        <v>16</v>
      </c>
      <c r="K28" s="616">
        <f>+[25]A02!M$21</f>
        <v>13</v>
      </c>
      <c r="L28" s="616">
        <f>+[25]A02!N$21</f>
        <v>20</v>
      </c>
      <c r="M28" s="616">
        <f>+[25]A02!O$21</f>
        <v>5</v>
      </c>
      <c r="N28" s="616">
        <f>+[25]A02!P$21</f>
        <v>8</v>
      </c>
      <c r="O28" s="616">
        <f>+[25]A02!Q$21</f>
        <v>11</v>
      </c>
      <c r="P28" s="616">
        <f>+[25]A02!R$21</f>
        <v>10</v>
      </c>
      <c r="Q28" s="616">
        <f>+[25]A02!S$21</f>
        <v>10</v>
      </c>
      <c r="R28" s="616">
        <f>+[25]A02!T$21</f>
        <v>13</v>
      </c>
      <c r="S28" s="616">
        <f>+[25]A02!U$21</f>
        <v>9</v>
      </c>
      <c r="T28" s="616">
        <f>+[25]A02!V$21</f>
        <v>16</v>
      </c>
      <c r="U28" s="616">
        <f>+[25]A02!W$21</f>
        <v>6</v>
      </c>
      <c r="V28" s="616">
        <f>+[25]A02!X$21</f>
        <v>12</v>
      </c>
      <c r="W28" s="616">
        <f>+[25]A02!Y$21</f>
        <v>24</v>
      </c>
      <c r="X28" s="616">
        <f>+[25]A02!Z$21</f>
        <v>34</v>
      </c>
      <c r="Y28" s="616">
        <f>+[25]A02!AA$21</f>
        <v>19</v>
      </c>
      <c r="Z28" s="616">
        <f>+[25]A02!AB$21</f>
        <v>29</v>
      </c>
      <c r="AA28" s="616">
        <f>+[25]A02!AC$21</f>
        <v>15</v>
      </c>
      <c r="AB28" s="616">
        <f>+[25]A02!AD$21</f>
        <v>27</v>
      </c>
      <c r="AC28" s="616">
        <f>+[25]A02!AE$21</f>
        <v>27</v>
      </c>
      <c r="AD28" s="616">
        <f>+[25]A02!AF$21</f>
        <v>50</v>
      </c>
      <c r="AE28" s="616">
        <f t="shared" si="1"/>
        <v>171</v>
      </c>
      <c r="AF28" s="616">
        <f t="shared" si="2"/>
        <v>258</v>
      </c>
      <c r="AG28" s="616">
        <f t="shared" si="3"/>
        <v>429</v>
      </c>
      <c r="AH28" s="616">
        <v>6970</v>
      </c>
      <c r="AI28" s="617">
        <f t="shared" si="0"/>
        <v>2.9268292682926833</v>
      </c>
    </row>
    <row r="29" spans="1:37" s="6" customFormat="1" ht="21" customHeight="1">
      <c r="A29" s="360"/>
      <c r="B29" s="293" t="s">
        <v>1183</v>
      </c>
      <c r="C29" s="616">
        <f>+[27]A02!E$21</f>
        <v>0</v>
      </c>
      <c r="D29" s="616">
        <f>+[27]A02!F$21</f>
        <v>0</v>
      </c>
      <c r="E29" s="616">
        <f>+[27]A02!G$21</f>
        <v>1</v>
      </c>
      <c r="F29" s="616">
        <f>+[27]A02!H$21</f>
        <v>0</v>
      </c>
      <c r="G29" s="616">
        <f>+[27]A02!I$21</f>
        <v>1</v>
      </c>
      <c r="H29" s="616">
        <f>+[27]A02!J$21</f>
        <v>1</v>
      </c>
      <c r="I29" s="616">
        <f>+[27]A02!K$21</f>
        <v>0</v>
      </c>
      <c r="J29" s="616">
        <f>+[27]A02!L$21</f>
        <v>4</v>
      </c>
      <c r="K29" s="616">
        <f>+[27]A02!M$21</f>
        <v>1</v>
      </c>
      <c r="L29" s="616">
        <f>+[27]A02!N$21</f>
        <v>3</v>
      </c>
      <c r="M29" s="616">
        <f>+[27]A02!O$21</f>
        <v>0</v>
      </c>
      <c r="N29" s="616">
        <f>+[27]A02!P$21</f>
        <v>1</v>
      </c>
      <c r="O29" s="616">
        <f>+[27]A02!Q$21</f>
        <v>2</v>
      </c>
      <c r="P29" s="616">
        <f>+[27]A02!R$21</f>
        <v>1</v>
      </c>
      <c r="Q29" s="616">
        <f>+[27]A02!S$21</f>
        <v>1</v>
      </c>
      <c r="R29" s="616">
        <f>+[27]A02!T$21</f>
        <v>0</v>
      </c>
      <c r="S29" s="616">
        <f>+[27]A02!U$21</f>
        <v>0</v>
      </c>
      <c r="T29" s="616">
        <f>+[27]A02!V$21</f>
        <v>0</v>
      </c>
      <c r="U29" s="616">
        <f>+[27]A02!W$21</f>
        <v>0</v>
      </c>
      <c r="V29" s="616">
        <f>+[27]A02!X$21</f>
        <v>0</v>
      </c>
      <c r="W29" s="616">
        <f>+[27]A02!Y$21</f>
        <v>2</v>
      </c>
      <c r="X29" s="616">
        <f>+[27]A02!Z$21</f>
        <v>7</v>
      </c>
      <c r="Y29" s="616">
        <f>+[27]A02!AA$21</f>
        <v>5</v>
      </c>
      <c r="Z29" s="616">
        <f>+[27]A02!AB$21</f>
        <v>4</v>
      </c>
      <c r="AA29" s="616">
        <f>+[27]A02!AC$21</f>
        <v>4</v>
      </c>
      <c r="AB29" s="616">
        <f>+[27]A02!AD$21</f>
        <v>4</v>
      </c>
      <c r="AC29" s="616">
        <f>+[27]A02!AE$21</f>
        <v>2</v>
      </c>
      <c r="AD29" s="616">
        <f>+[27]A02!AF$21</f>
        <v>6</v>
      </c>
      <c r="AE29" s="616">
        <f t="shared" si="1"/>
        <v>19</v>
      </c>
      <c r="AF29" s="616">
        <f t="shared" si="2"/>
        <v>31</v>
      </c>
      <c r="AG29" s="616">
        <f>SUM(AE29:AF29)</f>
        <v>50</v>
      </c>
      <c r="AH29" s="616">
        <v>781</v>
      </c>
      <c r="AI29" s="617">
        <f t="shared" si="0"/>
        <v>2.0486555697823303</v>
      </c>
    </row>
    <row r="30" spans="1:37" s="6" customFormat="1" ht="21" customHeight="1">
      <c r="A30" s="360"/>
      <c r="B30" s="334" t="s">
        <v>815</v>
      </c>
      <c r="C30" s="616">
        <f>+[26]A02!E$21</f>
        <v>0</v>
      </c>
      <c r="D30" s="616">
        <f>+[26]A02!F$21</f>
        <v>0</v>
      </c>
      <c r="E30" s="616">
        <f>+[26]A02!G$21</f>
        <v>0</v>
      </c>
      <c r="F30" s="616">
        <f>+[26]A02!H$21</f>
        <v>14</v>
      </c>
      <c r="G30" s="616">
        <f>+[26]A02!I$21</f>
        <v>2</v>
      </c>
      <c r="H30" s="616">
        <f>+[26]A02!J$21</f>
        <v>9</v>
      </c>
      <c r="I30" s="616">
        <f>+[26]A02!K$21</f>
        <v>1</v>
      </c>
      <c r="J30" s="616">
        <f>+[26]A02!L$21</f>
        <v>8</v>
      </c>
      <c r="K30" s="616">
        <f>+[26]A02!M$21</f>
        <v>0</v>
      </c>
      <c r="L30" s="616">
        <f>+[26]A02!N$21</f>
        <v>6</v>
      </c>
      <c r="M30" s="616">
        <f>+[26]A02!O$21</f>
        <v>0</v>
      </c>
      <c r="N30" s="616">
        <f>+[26]A02!P$21</f>
        <v>8</v>
      </c>
      <c r="O30" s="616">
        <f>+[26]A02!Q$21</f>
        <v>1</v>
      </c>
      <c r="P30" s="616">
        <f>+[26]A02!R$21</f>
        <v>4</v>
      </c>
      <c r="Q30" s="616">
        <f>+[26]A02!S$21</f>
        <v>1</v>
      </c>
      <c r="R30" s="616">
        <f>+[26]A02!T$21</f>
        <v>9</v>
      </c>
      <c r="S30" s="616">
        <f>+[26]A02!U$21</f>
        <v>0</v>
      </c>
      <c r="T30" s="616">
        <f>+[26]A02!V$21</f>
        <v>4</v>
      </c>
      <c r="U30" s="616">
        <f>+[26]A02!W$21</f>
        <v>1</v>
      </c>
      <c r="V30" s="616">
        <f>+[26]A02!X$21</f>
        <v>3</v>
      </c>
      <c r="W30" s="616">
        <f>+[26]A02!Y$21</f>
        <v>2</v>
      </c>
      <c r="X30" s="616">
        <f>+[26]A02!Z$21</f>
        <v>9</v>
      </c>
      <c r="Y30" s="616">
        <f>+[26]A02!AA$21</f>
        <v>11</v>
      </c>
      <c r="Z30" s="616">
        <f>+[26]A02!AB$21</f>
        <v>8</v>
      </c>
      <c r="AA30" s="616">
        <f>+[26]A02!AC$21</f>
        <v>3</v>
      </c>
      <c r="AB30" s="616">
        <f>+[26]A02!AD$21</f>
        <v>6</v>
      </c>
      <c r="AC30" s="616">
        <f>+[26]A02!AE$21</f>
        <v>7</v>
      </c>
      <c r="AD30" s="616">
        <f>+[26]A02!AF$21</f>
        <v>11</v>
      </c>
      <c r="AE30" s="616">
        <f t="shared" si="1"/>
        <v>29</v>
      </c>
      <c r="AF30" s="616">
        <f t="shared" si="2"/>
        <v>99</v>
      </c>
      <c r="AG30" s="616">
        <f t="shared" si="3"/>
        <v>128</v>
      </c>
      <c r="AH30" s="616">
        <v>1071</v>
      </c>
      <c r="AI30" s="617">
        <f t="shared" si="0"/>
        <v>6.6293183940242768</v>
      </c>
    </row>
    <row r="31" spans="1:37" s="6" customFormat="1" ht="21" customHeight="1">
      <c r="A31" s="360" t="s">
        <v>622</v>
      </c>
      <c r="B31" s="334" t="s">
        <v>816</v>
      </c>
      <c r="C31" s="616">
        <f>+[28]A02!E$21</f>
        <v>0</v>
      </c>
      <c r="D31" s="616">
        <f>+[28]A02!F$21</f>
        <v>0</v>
      </c>
      <c r="E31" s="616">
        <f>+[28]A02!G$21</f>
        <v>10</v>
      </c>
      <c r="F31" s="616">
        <f>+[28]A02!H$21</f>
        <v>6</v>
      </c>
      <c r="G31" s="616">
        <f>+[28]A02!I$21</f>
        <v>7</v>
      </c>
      <c r="H31" s="616">
        <f>+[28]A02!J$21</f>
        <v>11</v>
      </c>
      <c r="I31" s="616">
        <f>+[28]A02!K$21</f>
        <v>10</v>
      </c>
      <c r="J31" s="616">
        <f>+[28]A02!L$21</f>
        <v>11</v>
      </c>
      <c r="K31" s="616">
        <f>+[28]A02!M$21</f>
        <v>10</v>
      </c>
      <c r="L31" s="616">
        <f>+[28]A02!N$21</f>
        <v>9</v>
      </c>
      <c r="M31" s="616">
        <f>+[28]A02!O$21</f>
        <v>2</v>
      </c>
      <c r="N31" s="616">
        <f>+[28]A02!P$21</f>
        <v>8</v>
      </c>
      <c r="O31" s="616">
        <f>+[28]A02!Q$21</f>
        <v>8</v>
      </c>
      <c r="P31" s="616">
        <f>+[28]A02!R$21</f>
        <v>6</v>
      </c>
      <c r="Q31" s="616">
        <f>+[28]A02!S$21</f>
        <v>11</v>
      </c>
      <c r="R31" s="616">
        <f>+[28]A02!T$21</f>
        <v>11</v>
      </c>
      <c r="S31" s="616">
        <f>+[28]A02!U$21</f>
        <v>8</v>
      </c>
      <c r="T31" s="616">
        <f>+[28]A02!V$21</f>
        <v>10</v>
      </c>
      <c r="U31" s="616">
        <f>+[28]A02!W$21</f>
        <v>8</v>
      </c>
      <c r="V31" s="616">
        <f>+[28]A02!X$21</f>
        <v>1</v>
      </c>
      <c r="W31" s="616">
        <f>+[28]A02!Y$21</f>
        <v>16</v>
      </c>
      <c r="X31" s="616">
        <f>+[28]A02!Z$21</f>
        <v>12</v>
      </c>
      <c r="Y31" s="616">
        <f>+[28]A02!AA$21</f>
        <v>14</v>
      </c>
      <c r="Z31" s="616">
        <f>+[28]A02!AB$21</f>
        <v>12</v>
      </c>
      <c r="AA31" s="616">
        <f>+[28]A02!AC$21</f>
        <v>12</v>
      </c>
      <c r="AB31" s="616">
        <f>+[28]A02!AD$21</f>
        <v>10</v>
      </c>
      <c r="AC31" s="616">
        <f>+[28]A02!AE$21</f>
        <v>12</v>
      </c>
      <c r="AD31" s="616">
        <f>+[28]A02!AF$21</f>
        <v>7</v>
      </c>
      <c r="AE31" s="616">
        <f t="shared" si="1"/>
        <v>128</v>
      </c>
      <c r="AF31" s="616">
        <f t="shared" si="2"/>
        <v>114</v>
      </c>
      <c r="AG31" s="616">
        <f t="shared" si="3"/>
        <v>242</v>
      </c>
      <c r="AH31" s="616">
        <v>4651</v>
      </c>
      <c r="AI31" s="617">
        <f t="shared" si="0"/>
        <v>3.1606106213717484</v>
      </c>
    </row>
    <row r="32" spans="1:37" s="6" customFormat="1" ht="21" customHeight="1">
      <c r="A32" s="360" t="s">
        <v>623</v>
      </c>
      <c r="B32" s="334" t="s">
        <v>628</v>
      </c>
      <c r="C32" s="616">
        <f>+[29]A02!E$21</f>
        <v>1</v>
      </c>
      <c r="D32" s="616">
        <f>+[29]A02!F$21</f>
        <v>3</v>
      </c>
      <c r="E32" s="616">
        <f>+[29]A02!G$21</f>
        <v>14</v>
      </c>
      <c r="F32" s="616">
        <f>+[29]A02!H$21</f>
        <v>23</v>
      </c>
      <c r="G32" s="616">
        <f>+[29]A02!I$21</f>
        <v>14</v>
      </c>
      <c r="H32" s="616">
        <f>+[29]A02!J$21</f>
        <v>37</v>
      </c>
      <c r="I32" s="616">
        <f>+[29]A02!K$21</f>
        <v>16</v>
      </c>
      <c r="J32" s="616">
        <f>+[29]A02!L$21</f>
        <v>35</v>
      </c>
      <c r="K32" s="616">
        <f>+[29]A02!M$21</f>
        <v>14</v>
      </c>
      <c r="L32" s="616">
        <f>+[29]A02!N$21</f>
        <v>36</v>
      </c>
      <c r="M32" s="616">
        <f>+[29]A02!O$21</f>
        <v>15</v>
      </c>
      <c r="N32" s="616">
        <f>+[29]A02!P$21</f>
        <v>48</v>
      </c>
      <c r="O32" s="616">
        <f>+[29]A02!Q$21</f>
        <v>13</v>
      </c>
      <c r="P32" s="616">
        <f>+[29]A02!R$21</f>
        <v>39</v>
      </c>
      <c r="Q32" s="616">
        <f>+[29]A02!S$21</f>
        <v>15</v>
      </c>
      <c r="R32" s="616">
        <f>+[29]A02!T$21</f>
        <v>33</v>
      </c>
      <c r="S32" s="616">
        <f>+[29]A02!U$21</f>
        <v>15</v>
      </c>
      <c r="T32" s="616">
        <f>+[29]A02!V$21</f>
        <v>24</v>
      </c>
      <c r="U32" s="616">
        <f>+[29]A02!W$21</f>
        <v>11</v>
      </c>
      <c r="V32" s="616">
        <f>+[29]A02!X$21</f>
        <v>11</v>
      </c>
      <c r="W32" s="616">
        <f>+[29]A02!Y$21</f>
        <v>25</v>
      </c>
      <c r="X32" s="616">
        <f>+[29]A02!Z$21</f>
        <v>42</v>
      </c>
      <c r="Y32" s="616">
        <f>+[29]A02!AA$21</f>
        <v>25</v>
      </c>
      <c r="Z32" s="616">
        <f>+[29]A02!AB$21</f>
        <v>51</v>
      </c>
      <c r="AA32" s="616">
        <f>+[29]A02!AC$21</f>
        <v>30</v>
      </c>
      <c r="AB32" s="616">
        <f>+[29]A02!AD$21</f>
        <v>42</v>
      </c>
      <c r="AC32" s="616">
        <f>+[29]A02!AE$21</f>
        <v>34</v>
      </c>
      <c r="AD32" s="616">
        <f>+[29]A02!AF$21</f>
        <v>61</v>
      </c>
      <c r="AE32" s="616">
        <f t="shared" si="1"/>
        <v>242</v>
      </c>
      <c r="AF32" s="616">
        <f t="shared" si="2"/>
        <v>485</v>
      </c>
      <c r="AG32" s="616">
        <f t="shared" si="3"/>
        <v>727</v>
      </c>
      <c r="AH32" s="616">
        <v>12364</v>
      </c>
      <c r="AI32" s="617">
        <f t="shared" si="0"/>
        <v>3.3403429310902624</v>
      </c>
    </row>
    <row r="33" spans="1:35" s="6" customFormat="1" ht="21" customHeight="1">
      <c r="A33" s="360"/>
      <c r="B33" s="334" t="s">
        <v>818</v>
      </c>
      <c r="C33" s="616">
        <f>+[30]A02!E$21</f>
        <v>0</v>
      </c>
      <c r="D33" s="616">
        <f>+[30]A02!F$21</f>
        <v>0</v>
      </c>
      <c r="E33" s="616">
        <f>+[30]A02!G$21</f>
        <v>19</v>
      </c>
      <c r="F33" s="616">
        <f>+[30]A02!H$21</f>
        <v>30</v>
      </c>
      <c r="G33" s="616">
        <f>+[30]A02!I$21</f>
        <v>17</v>
      </c>
      <c r="H33" s="616">
        <f>+[30]A02!J$21</f>
        <v>38</v>
      </c>
      <c r="I33" s="616">
        <f>+[30]A02!K$21</f>
        <v>25</v>
      </c>
      <c r="J33" s="616">
        <f>+[30]A02!L$21</f>
        <v>48</v>
      </c>
      <c r="K33" s="616">
        <f>+[30]A02!M$21</f>
        <v>18</v>
      </c>
      <c r="L33" s="616">
        <f>+[30]A02!N$21</f>
        <v>22</v>
      </c>
      <c r="M33" s="616">
        <f>+[30]A02!O$21</f>
        <v>19</v>
      </c>
      <c r="N33" s="616">
        <f>+[30]A02!P$21</f>
        <v>30</v>
      </c>
      <c r="O33" s="616">
        <f>+[30]A02!Q$21</f>
        <v>11</v>
      </c>
      <c r="P33" s="616">
        <f>+[30]A02!R$21</f>
        <v>20</v>
      </c>
      <c r="Q33" s="616">
        <f>+[30]A02!S$21</f>
        <v>8</v>
      </c>
      <c r="R33" s="616">
        <f>+[30]A02!T$21</f>
        <v>23</v>
      </c>
      <c r="S33" s="616">
        <f>+[30]A02!U$21</f>
        <v>4</v>
      </c>
      <c r="T33" s="616">
        <f>+[30]A02!V$21</f>
        <v>13</v>
      </c>
      <c r="U33" s="616">
        <f>+[30]A02!W$21</f>
        <v>4</v>
      </c>
      <c r="V33" s="616">
        <f>+[30]A02!X$21</f>
        <v>3</v>
      </c>
      <c r="W33" s="616">
        <f>+[30]A02!Y$21</f>
        <v>25</v>
      </c>
      <c r="X33" s="616">
        <f>+[30]A02!Z$21</f>
        <v>38</v>
      </c>
      <c r="Y33" s="616">
        <f>+[30]A02!AA$21</f>
        <v>28</v>
      </c>
      <c r="Z33" s="616">
        <f>+[30]A02!AB$21</f>
        <v>35</v>
      </c>
      <c r="AA33" s="616">
        <f>+[30]A02!AC$21</f>
        <v>12</v>
      </c>
      <c r="AB33" s="616">
        <f>+[30]A02!AD$21</f>
        <v>25</v>
      </c>
      <c r="AC33" s="616">
        <f>+[30]A02!AE$21</f>
        <v>19</v>
      </c>
      <c r="AD33" s="616">
        <f>+[30]A02!AF$21</f>
        <v>43</v>
      </c>
      <c r="AE33" s="616">
        <f t="shared" si="1"/>
        <v>209</v>
      </c>
      <c r="AF33" s="616">
        <f t="shared" si="2"/>
        <v>368</v>
      </c>
      <c r="AG33" s="616">
        <f>SUM(AE33:AF33)</f>
        <v>577</v>
      </c>
      <c r="AH33" s="616">
        <v>7349</v>
      </c>
      <c r="AI33" s="617">
        <f t="shared" si="0"/>
        <v>4.7897673152809901</v>
      </c>
    </row>
    <row r="34" spans="1:35" s="6" customFormat="1" ht="21" customHeight="1">
      <c r="A34" s="360" t="s">
        <v>624</v>
      </c>
      <c r="B34" s="293" t="s">
        <v>1171</v>
      </c>
      <c r="C34" s="616">
        <f>+[31]A02!E$21</f>
        <v>0</v>
      </c>
      <c r="D34" s="616">
        <f>+[31]A02!F$21</f>
        <v>0</v>
      </c>
      <c r="E34" s="616">
        <f>+[31]A02!G$21</f>
        <v>4</v>
      </c>
      <c r="F34" s="616">
        <f>+[31]A02!H$21</f>
        <v>8</v>
      </c>
      <c r="G34" s="616">
        <f>+[31]A02!I$21</f>
        <v>8</v>
      </c>
      <c r="H34" s="616">
        <f>+[31]A02!J$21</f>
        <v>5</v>
      </c>
      <c r="I34" s="616">
        <f>+[31]A02!K$21</f>
        <v>3</v>
      </c>
      <c r="J34" s="616">
        <f>+[31]A02!L$21</f>
        <v>9</v>
      </c>
      <c r="K34" s="616">
        <f>+[31]A02!M$21</f>
        <v>0</v>
      </c>
      <c r="L34" s="616">
        <f>+[31]A02!N$21</f>
        <v>4</v>
      </c>
      <c r="M34" s="616">
        <f>+[31]A02!O$21</f>
        <v>2</v>
      </c>
      <c r="N34" s="616">
        <f>+[31]A02!P$21</f>
        <v>1</v>
      </c>
      <c r="O34" s="616">
        <f>+[31]A02!Q$21</f>
        <v>2</v>
      </c>
      <c r="P34" s="616">
        <f>+[31]A02!R$21</f>
        <v>4</v>
      </c>
      <c r="Q34" s="616">
        <f>+[31]A02!S$21</f>
        <v>3</v>
      </c>
      <c r="R34" s="616">
        <f>+[31]A02!T$21</f>
        <v>6</v>
      </c>
      <c r="S34" s="616">
        <f>+[31]A02!U$21</f>
        <v>2</v>
      </c>
      <c r="T34" s="616">
        <f>+[31]A02!V$21</f>
        <v>0</v>
      </c>
      <c r="U34" s="616">
        <f>+[31]A02!W$21</f>
        <v>1</v>
      </c>
      <c r="V34" s="616">
        <f>+[31]A02!X$21</f>
        <v>0</v>
      </c>
      <c r="W34" s="616">
        <f>+[31]A02!Y$21</f>
        <v>8</v>
      </c>
      <c r="X34" s="616">
        <f>+[31]A02!Z$21</f>
        <v>11</v>
      </c>
      <c r="Y34" s="616">
        <f>+[31]A02!AA$21</f>
        <v>6</v>
      </c>
      <c r="Z34" s="616">
        <f>+[31]A02!AB$21</f>
        <v>15</v>
      </c>
      <c r="AA34" s="616">
        <f>+[31]A02!AC$21</f>
        <v>4</v>
      </c>
      <c r="AB34" s="616">
        <f>+[31]A02!AD$21</f>
        <v>5</v>
      </c>
      <c r="AC34" s="616">
        <f>+[31]A02!AE$21</f>
        <v>12</v>
      </c>
      <c r="AD34" s="616">
        <f>+[31]A02!AF$21</f>
        <v>6</v>
      </c>
      <c r="AE34" s="616">
        <f t="shared" si="1"/>
        <v>55</v>
      </c>
      <c r="AF34" s="616">
        <f t="shared" si="2"/>
        <v>74</v>
      </c>
      <c r="AG34" s="616">
        <f t="shared" si="3"/>
        <v>129</v>
      </c>
      <c r="AH34" s="616">
        <v>522</v>
      </c>
      <c r="AI34" s="617">
        <f t="shared" si="0"/>
        <v>11.877394636015326</v>
      </c>
    </row>
    <row r="35" spans="1:35" s="6" customFormat="1" ht="21" customHeight="1">
      <c r="A35" s="361" t="s">
        <v>625</v>
      </c>
      <c r="B35" s="508"/>
      <c r="C35" s="552">
        <f t="shared" ref="C35:AH35" si="6">SUM(C10:C34)</f>
        <v>4</v>
      </c>
      <c r="D35" s="552">
        <f t="shared" si="6"/>
        <v>18</v>
      </c>
      <c r="E35" s="552">
        <f t="shared" si="6"/>
        <v>229</v>
      </c>
      <c r="F35" s="552">
        <f t="shared" si="6"/>
        <v>441</v>
      </c>
      <c r="G35" s="552">
        <f t="shared" si="6"/>
        <v>228</v>
      </c>
      <c r="H35" s="552">
        <f t="shared" si="6"/>
        <v>489</v>
      </c>
      <c r="I35" s="552">
        <f t="shared" si="6"/>
        <v>218</v>
      </c>
      <c r="J35" s="552">
        <f t="shared" si="6"/>
        <v>485</v>
      </c>
      <c r="K35" s="552">
        <f t="shared" si="6"/>
        <v>203</v>
      </c>
      <c r="L35" s="552">
        <f t="shared" si="6"/>
        <v>421</v>
      </c>
      <c r="M35" s="552">
        <f t="shared" si="6"/>
        <v>156</v>
      </c>
      <c r="N35" s="552">
        <f t="shared" si="6"/>
        <v>423</v>
      </c>
      <c r="O35" s="552">
        <f t="shared" si="6"/>
        <v>187</v>
      </c>
      <c r="P35" s="552">
        <f t="shared" si="6"/>
        <v>371</v>
      </c>
      <c r="Q35" s="552">
        <f t="shared" si="6"/>
        <v>157</v>
      </c>
      <c r="R35" s="552">
        <f t="shared" si="6"/>
        <v>365</v>
      </c>
      <c r="S35" s="552">
        <f t="shared" si="6"/>
        <v>154</v>
      </c>
      <c r="T35" s="552">
        <f t="shared" si="6"/>
        <v>270</v>
      </c>
      <c r="U35" s="552">
        <f t="shared" si="6"/>
        <v>135</v>
      </c>
      <c r="V35" s="552">
        <f t="shared" si="6"/>
        <v>178</v>
      </c>
      <c r="W35" s="552">
        <f t="shared" si="6"/>
        <v>398</v>
      </c>
      <c r="X35" s="552">
        <f t="shared" si="6"/>
        <v>647</v>
      </c>
      <c r="Y35" s="552">
        <f t="shared" si="6"/>
        <v>398</v>
      </c>
      <c r="Z35" s="552">
        <f t="shared" si="6"/>
        <v>546</v>
      </c>
      <c r="AA35" s="552">
        <f t="shared" si="6"/>
        <v>311</v>
      </c>
      <c r="AB35" s="552">
        <f t="shared" si="6"/>
        <v>478</v>
      </c>
      <c r="AC35" s="552">
        <f t="shared" si="6"/>
        <v>376</v>
      </c>
      <c r="AD35" s="552">
        <f t="shared" si="6"/>
        <v>616</v>
      </c>
      <c r="AE35" s="552">
        <f t="shared" si="6"/>
        <v>3154</v>
      </c>
      <c r="AF35" s="357">
        <f t="shared" si="6"/>
        <v>5748</v>
      </c>
      <c r="AG35" s="552">
        <f t="shared" si="6"/>
        <v>8902</v>
      </c>
      <c r="AH35" s="552">
        <f t="shared" si="6"/>
        <v>139345</v>
      </c>
      <c r="AI35" s="618">
        <f t="shared" si="0"/>
        <v>3.6671570562273494</v>
      </c>
    </row>
    <row r="36" spans="1:35">
      <c r="A36" s="216"/>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203"/>
      <c r="AD36" s="203"/>
      <c r="AE36" s="203"/>
      <c r="AF36" s="203"/>
      <c r="AG36" s="203"/>
    </row>
    <row r="37" spans="1:35">
      <c r="A37" s="216"/>
      <c r="B37" s="10"/>
      <c r="C37" s="1128"/>
      <c r="D37" s="1128"/>
      <c r="E37" s="1128"/>
      <c r="F37" s="1128"/>
      <c r="G37" s="1128"/>
      <c r="H37" s="1128"/>
      <c r="I37" s="1128"/>
      <c r="J37" s="1128"/>
      <c r="K37" s="1128"/>
      <c r="L37" s="1128"/>
      <c r="M37" s="1128"/>
      <c r="N37" s="1128"/>
      <c r="O37" s="1128"/>
      <c r="P37" s="1128"/>
      <c r="Q37" s="1128"/>
      <c r="R37" s="1128"/>
      <c r="S37" s="1128"/>
      <c r="T37" s="1128"/>
      <c r="U37" s="1128"/>
      <c r="V37" s="1128"/>
      <c r="W37" s="1128"/>
      <c r="X37" s="1128"/>
      <c r="Y37" s="1128"/>
      <c r="Z37" s="1128"/>
      <c r="AA37" s="1128"/>
      <c r="AB37" s="1128"/>
      <c r="AC37" s="1129"/>
      <c r="AD37" s="1129"/>
      <c r="AE37" s="1129"/>
      <c r="AF37" s="1129"/>
      <c r="AG37" s="1129"/>
      <c r="AH37" s="685"/>
    </row>
    <row r="38" spans="1:35">
      <c r="A38" s="216"/>
      <c r="B38" s="10"/>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0"/>
      <c r="Y38" s="1130"/>
      <c r="Z38" s="1130"/>
      <c r="AA38" s="1130"/>
      <c r="AB38" s="1130"/>
      <c r="AC38" s="1130"/>
      <c r="AD38" s="1130"/>
      <c r="AE38" s="1131"/>
      <c r="AF38" s="1131"/>
      <c r="AG38" s="1131"/>
    </row>
    <row r="39" spans="1:35">
      <c r="A39" s="216"/>
      <c r="B39" s="10"/>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2"/>
      <c r="Y39" s="1132"/>
      <c r="Z39" s="1132"/>
      <c r="AA39" s="1132"/>
      <c r="AB39" s="1132"/>
      <c r="AC39" s="1132"/>
      <c r="AD39" s="1132"/>
      <c r="AE39" s="1133"/>
      <c r="AF39" s="1133"/>
      <c r="AG39" s="1133"/>
    </row>
    <row r="40" spans="1:35">
      <c r="A40" s="216"/>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133"/>
      <c r="AF40" s="1133"/>
      <c r="AG40" s="1133"/>
    </row>
    <row r="41" spans="1:35">
      <c r="A41" s="216"/>
      <c r="B41" s="10"/>
      <c r="C41" s="10"/>
      <c r="D41" s="163"/>
      <c r="E41" s="163"/>
      <c r="F41" s="163"/>
      <c r="G41" s="163"/>
      <c r="H41" s="163"/>
      <c r="I41" s="163"/>
      <c r="J41" s="163"/>
      <c r="K41" s="163"/>
      <c r="L41" s="163"/>
      <c r="M41" s="163"/>
      <c r="N41" s="163"/>
      <c r="O41" s="163"/>
      <c r="P41" s="163"/>
      <c r="Q41" s="163"/>
      <c r="R41" s="163"/>
      <c r="S41" s="163"/>
      <c r="T41" s="163"/>
      <c r="U41" s="10"/>
      <c r="V41" s="10"/>
      <c r="W41" s="10"/>
      <c r="X41" s="10"/>
      <c r="Y41" s="10"/>
      <c r="Z41" s="10"/>
      <c r="AA41" s="10"/>
      <c r="AB41" s="10"/>
      <c r="AC41" s="10"/>
      <c r="AD41" s="10"/>
      <c r="AE41" s="1133"/>
      <c r="AF41" s="1133"/>
      <c r="AG41" s="1133"/>
    </row>
    <row r="42" spans="1:35">
      <c r="A42" s="216"/>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133"/>
      <c r="AF42" s="1133"/>
      <c r="AG42" s="1133"/>
    </row>
    <row r="43" spans="1:3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1133"/>
      <c r="AF43" s="1133"/>
      <c r="AG43" s="1133"/>
    </row>
    <row r="44" spans="1:3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1133"/>
      <c r="AF44" s="1133"/>
      <c r="AG44" s="1133"/>
    </row>
    <row r="45" spans="1:35">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row>
    <row r="46" spans="1:3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row>
    <row r="47" spans="1:35">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row>
    <row r="48" spans="1:35">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row>
    <row r="49" spans="1:33">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row>
    <row r="50" spans="1:33">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row>
    <row r="51" spans="1:33">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row>
    <row r="52" spans="1:33">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row>
    <row r="53" spans="1:33">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row>
    <row r="54" spans="1:33">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row>
    <row r="55" spans="1:33">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row>
    <row r="56" spans="1:33">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row>
    <row r="57" spans="1:33">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row>
    <row r="58" spans="1:33">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row>
    <row r="59" spans="1:33">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row>
    <row r="60" spans="1:33">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row>
    <row r="61" spans="1:33">
      <c r="A61" s="216"/>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row>
    <row r="62" spans="1:33">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row>
    <row r="63" spans="1:33">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c r="AF63" s="216"/>
      <c r="AG63" s="216"/>
    </row>
    <row r="64" spans="1:33">
      <c r="A64" s="216"/>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6"/>
      <c r="AF64" s="216"/>
      <c r="AG64" s="216"/>
    </row>
    <row r="65" spans="1:33">
      <c r="A65" s="216"/>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row>
    <row r="66" spans="1:33">
      <c r="A66" s="216"/>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row>
    <row r="67" spans="1:33">
      <c r="A67" s="216"/>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row>
    <row r="68" spans="1:33">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row>
    <row r="69" spans="1:33">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row>
    <row r="70" spans="1:33">
      <c r="A70" s="216"/>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row>
    <row r="71" spans="1:33">
      <c r="A71" s="216"/>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row>
    <row r="72" spans="1:33">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row>
    <row r="73" spans="1:33">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row>
    <row r="74" spans="1:33">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row>
    <row r="75" spans="1:33">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row>
    <row r="76" spans="1:33">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row>
    <row r="77" spans="1:33">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row>
    <row r="78" spans="1:33">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row>
    <row r="79" spans="1:33">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row>
    <row r="80" spans="1:33">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row>
    <row r="81" spans="1:33">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row>
    <row r="82" spans="1:33">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row>
    <row r="83" spans="1:33">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row>
    <row r="84" spans="1:33">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row>
    <row r="85" spans="1:33">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row>
    <row r="86" spans="1:33">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row>
    <row r="87" spans="1:33">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row>
    <row r="88" spans="1:33">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row>
    <row r="89" spans="1:33">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row>
    <row r="90" spans="1:33">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row>
    <row r="91" spans="1:33">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row>
    <row r="92" spans="1:33">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row>
    <row r="93" spans="1:33">
      <c r="A93" s="216"/>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row>
    <row r="94" spans="1:33">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row>
    <row r="95" spans="1:33">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16"/>
    </row>
    <row r="96" spans="1:33">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row>
    <row r="97" spans="1:33">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row>
    <row r="98" spans="1:33">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row>
    <row r="99" spans="1:33">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row>
    <row r="100" spans="1:33">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row>
    <row r="101" spans="1:33">
      <c r="A101" s="216"/>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row>
    <row r="102" spans="1:33">
      <c r="A102" s="216"/>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row>
    <row r="103" spans="1:33">
      <c r="A103" s="216"/>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row>
    <row r="104" spans="1:33">
      <c r="A104" s="216"/>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row>
    <row r="105" spans="1:33">
      <c r="A105" s="216"/>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c r="AF105" s="216"/>
      <c r="AG105" s="216"/>
    </row>
    <row r="106" spans="1:33">
      <c r="A106" s="216"/>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c r="AA106" s="216"/>
      <c r="AB106" s="216"/>
      <c r="AC106" s="216"/>
      <c r="AD106" s="216"/>
      <c r="AE106" s="216"/>
      <c r="AF106" s="216"/>
      <c r="AG106" s="216"/>
    </row>
    <row r="107" spans="1:33">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row>
    <row r="108" spans="1:33">
      <c r="A108" s="216"/>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row>
    <row r="109" spans="1:33">
      <c r="A109" s="216"/>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row>
    <row r="110" spans="1:33">
      <c r="A110" s="216"/>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row>
    <row r="111" spans="1:33">
      <c r="A111" s="216"/>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c r="AA111" s="216"/>
      <c r="AB111" s="216"/>
      <c r="AC111" s="216"/>
      <c r="AD111" s="216"/>
      <c r="AE111" s="216"/>
      <c r="AF111" s="216"/>
      <c r="AG111" s="216"/>
    </row>
    <row r="112" spans="1:33">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c r="AA112" s="216"/>
      <c r="AB112" s="216"/>
      <c r="AC112" s="216"/>
      <c r="AD112" s="216"/>
      <c r="AE112" s="216"/>
      <c r="AF112" s="216"/>
      <c r="AG112" s="216"/>
    </row>
    <row r="113" spans="1:33">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row>
    <row r="114" spans="1:33">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row>
    <row r="115" spans="1:33">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row>
    <row r="116" spans="1:33">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row>
    <row r="117" spans="1:33">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row>
    <row r="118" spans="1:33">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row>
    <row r="119" spans="1:33">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row>
    <row r="120" spans="1:33">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row>
    <row r="121" spans="1:33">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row>
    <row r="122" spans="1:33">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row>
    <row r="123" spans="1:33">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row>
    <row r="124" spans="1:33">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row>
    <row r="125" spans="1:33">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row>
    <row r="126" spans="1:33">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row>
    <row r="127" spans="1:33">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c r="AA127" s="216"/>
      <c r="AB127" s="216"/>
      <c r="AC127" s="216"/>
      <c r="AD127" s="216"/>
      <c r="AE127" s="216"/>
      <c r="AF127" s="216"/>
      <c r="AG127" s="216"/>
    </row>
    <row r="128" spans="1:33">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c r="AF128" s="216"/>
      <c r="AG128" s="216"/>
    </row>
  </sheetData>
  <mergeCells count="18">
    <mergeCell ref="O8:P8"/>
    <mergeCell ref="Q8:R8"/>
    <mergeCell ref="S8:T8"/>
    <mergeCell ref="W8:X8"/>
    <mergeCell ref="Y8:Z8"/>
    <mergeCell ref="AA8:AB8"/>
    <mergeCell ref="A1:AI1"/>
    <mergeCell ref="A2:AI2"/>
    <mergeCell ref="A3:AI3"/>
    <mergeCell ref="AC8:AD8"/>
    <mergeCell ref="AE8:AF8"/>
    <mergeCell ref="C8:D8"/>
    <mergeCell ref="E8:F8"/>
    <mergeCell ref="M8:N8"/>
    <mergeCell ref="U8:V8"/>
    <mergeCell ref="G8:H8"/>
    <mergeCell ref="I8:J8"/>
    <mergeCell ref="K8:L8"/>
  </mergeCells>
  <phoneticPr fontId="19" type="noConversion"/>
  <pageMargins left="0.59055118110236227" right="0" top="1.1811023622047245" bottom="0.98425196850393704" header="0.51181102362204722" footer="0.51181102362204722"/>
  <pageSetup paperSize="5" scale="85" orientation="landscape" horizontalDpi="300" verticalDpi="300" r:id="rId1"/>
  <headerFooter alignWithMargins="0"/>
  <ignoredErrors>
    <ignoredError sqref="AE11:AF11" formula="1"/>
  </ignoredError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zoomScale="75" workbookViewId="0">
      <selection activeCell="A2" sqref="A2:W2"/>
    </sheetView>
  </sheetViews>
  <sheetFormatPr baseColWidth="10" defaultRowHeight="13.2"/>
  <cols>
    <col min="1" max="1" width="48.77734375" customWidth="1"/>
    <col min="2" max="3" width="9.21875" customWidth="1"/>
    <col min="4" max="4" width="11" customWidth="1"/>
    <col min="5" max="22" width="9.21875" customWidth="1"/>
    <col min="23" max="23" width="9.77734375" customWidth="1"/>
  </cols>
  <sheetData>
    <row r="1" spans="1:26">
      <c r="A1" s="1679" t="s">
        <v>1149</v>
      </c>
      <c r="B1" s="1679"/>
      <c r="C1" s="1679"/>
      <c r="D1" s="1679"/>
      <c r="E1" s="1679"/>
      <c r="F1" s="1679"/>
      <c r="G1" s="1679"/>
      <c r="H1" s="1679"/>
      <c r="I1" s="1679"/>
      <c r="J1" s="1679"/>
      <c r="K1" s="1679"/>
      <c r="L1" s="1679"/>
      <c r="M1" s="1679"/>
      <c r="N1" s="1679"/>
      <c r="O1" s="1679"/>
      <c r="P1" s="1679"/>
      <c r="Q1" s="1679"/>
      <c r="R1" s="1679"/>
      <c r="S1" s="1679"/>
      <c r="T1" s="1679"/>
      <c r="U1" s="1679"/>
      <c r="V1" s="1679"/>
      <c r="W1" s="1679"/>
    </row>
    <row r="2" spans="1:26">
      <c r="A2" s="1679" t="str">
        <f>+'63'!A2:AI2</f>
        <v>SERVICIO SALUD  ACONCAGUA   2020</v>
      </c>
      <c r="B2" s="1679"/>
      <c r="C2" s="1679"/>
      <c r="D2" s="1679"/>
      <c r="E2" s="1679"/>
      <c r="F2" s="1679"/>
      <c r="G2" s="1679"/>
      <c r="H2" s="1679"/>
      <c r="I2" s="1679"/>
      <c r="J2" s="1679"/>
      <c r="K2" s="1679"/>
      <c r="L2" s="1679"/>
      <c r="M2" s="1679"/>
      <c r="N2" s="1679"/>
      <c r="O2" s="1679"/>
      <c r="P2" s="1679"/>
      <c r="Q2" s="1679"/>
      <c r="R2" s="1679"/>
      <c r="S2" s="1679"/>
      <c r="T2" s="1679"/>
      <c r="U2" s="1679"/>
      <c r="V2" s="1679"/>
      <c r="W2" s="1679"/>
    </row>
    <row r="3" spans="1:26">
      <c r="A3" s="1680"/>
      <c r="B3" s="1680"/>
      <c r="C3" s="1680"/>
      <c r="D3" s="1680"/>
      <c r="E3" s="1680"/>
      <c r="F3" s="1680"/>
      <c r="G3" s="1680"/>
      <c r="H3" s="1680"/>
      <c r="I3" s="1680"/>
      <c r="J3" s="1680"/>
      <c r="K3" s="1680"/>
      <c r="L3" s="1680"/>
      <c r="M3" s="1680"/>
      <c r="N3" s="1680"/>
      <c r="O3" s="1680"/>
      <c r="P3" s="1680"/>
      <c r="Q3" s="1680"/>
      <c r="R3" s="1680"/>
      <c r="S3" s="1680"/>
      <c r="T3" s="1680"/>
      <c r="U3" s="1680"/>
      <c r="V3" s="1680"/>
      <c r="W3" s="1680"/>
    </row>
    <row r="4" spans="1:26">
      <c r="A4" s="604"/>
      <c r="B4" s="604"/>
      <c r="C4" s="604"/>
      <c r="D4" s="604"/>
      <c r="E4" s="604"/>
      <c r="F4" s="604"/>
      <c r="G4" s="604"/>
      <c r="H4" s="604"/>
      <c r="I4" s="604"/>
      <c r="J4" s="604"/>
      <c r="K4" s="604"/>
      <c r="L4" s="604"/>
      <c r="M4" s="604"/>
      <c r="N4" s="1275"/>
      <c r="O4" s="604"/>
      <c r="P4" s="604"/>
      <c r="Q4" s="604"/>
      <c r="R4" s="604"/>
      <c r="S4" s="604"/>
      <c r="T4" s="604"/>
      <c r="U4" s="1451"/>
      <c r="V4" s="604"/>
      <c r="W4" s="604"/>
    </row>
    <row r="6" spans="1:26" ht="18.75" customHeight="1">
      <c r="A6" s="243" t="s">
        <v>1150</v>
      </c>
      <c r="B6" s="1575" t="s">
        <v>1151</v>
      </c>
      <c r="C6" s="1576"/>
      <c r="D6" s="1576"/>
      <c r="E6" s="1576"/>
      <c r="F6" s="1576"/>
      <c r="G6" s="1576"/>
      <c r="H6" s="1576"/>
      <c r="I6" s="1576"/>
      <c r="J6" s="1576"/>
      <c r="K6" s="1576"/>
      <c r="L6" s="1576"/>
      <c r="M6" s="1576"/>
      <c r="N6" s="1576"/>
      <c r="O6" s="1576"/>
      <c r="P6" s="1576"/>
      <c r="Q6" s="1576"/>
      <c r="R6" s="1576"/>
      <c r="S6" s="1576"/>
      <c r="T6" s="1577"/>
      <c r="U6" s="1452" t="s">
        <v>1452</v>
      </c>
      <c r="V6" s="1452" t="s">
        <v>1452</v>
      </c>
      <c r="W6" s="304"/>
    </row>
    <row r="7" spans="1:26" ht="26.25" customHeight="1">
      <c r="A7" s="322"/>
      <c r="B7" s="619" t="s">
        <v>1297</v>
      </c>
      <c r="C7" s="619" t="s">
        <v>1212</v>
      </c>
      <c r="D7" s="619" t="s">
        <v>301</v>
      </c>
      <c r="E7" s="620" t="s">
        <v>1152</v>
      </c>
      <c r="F7" s="619" t="s">
        <v>1185</v>
      </c>
      <c r="G7" s="621" t="s">
        <v>1153</v>
      </c>
      <c r="H7" s="622" t="s">
        <v>429</v>
      </c>
      <c r="I7" s="623" t="s">
        <v>1296</v>
      </c>
      <c r="J7" s="623" t="s">
        <v>1295</v>
      </c>
      <c r="K7" s="619" t="s">
        <v>1161</v>
      </c>
      <c r="L7" s="620" t="s">
        <v>413</v>
      </c>
      <c r="M7" s="1277" t="s">
        <v>393</v>
      </c>
      <c r="N7" s="620" t="s">
        <v>1453</v>
      </c>
      <c r="O7" s="619" t="s">
        <v>411</v>
      </c>
      <c r="P7" s="619" t="s">
        <v>288</v>
      </c>
      <c r="Q7" s="619" t="s">
        <v>416</v>
      </c>
      <c r="R7" s="619" t="s">
        <v>653</v>
      </c>
      <c r="S7" s="622" t="s">
        <v>418</v>
      </c>
      <c r="T7" s="619" t="s">
        <v>1213</v>
      </c>
      <c r="U7" s="624" t="s">
        <v>633</v>
      </c>
      <c r="V7" s="624" t="s">
        <v>630</v>
      </c>
      <c r="W7" s="625" t="s">
        <v>517</v>
      </c>
    </row>
    <row r="8" spans="1:26" ht="26.25" customHeight="1">
      <c r="A8" s="972" t="s">
        <v>1160</v>
      </c>
      <c r="B8" s="973">
        <f>+[42]P6!$C$13</f>
        <v>1026</v>
      </c>
      <c r="C8" s="973">
        <f>+[43]P6!$C$13</f>
        <v>173</v>
      </c>
      <c r="D8" s="973">
        <f>+[44]P6!$C$13</f>
        <v>990</v>
      </c>
      <c r="E8" s="973">
        <f>+[45]P6!$C$13</f>
        <v>954</v>
      </c>
      <c r="F8" s="973">
        <f>+[46]P6!$C$13</f>
        <v>34</v>
      </c>
      <c r="G8" s="973">
        <f>+[47]P6!$C$13</f>
        <v>444</v>
      </c>
      <c r="H8" s="973">
        <f>+[48]P6!$C$13</f>
        <v>395</v>
      </c>
      <c r="I8" s="973">
        <f>+[49]P6!$C$13</f>
        <v>1340</v>
      </c>
      <c r="J8" s="973">
        <f>+[50]P6!$C$13</f>
        <v>1406</v>
      </c>
      <c r="K8" s="973">
        <f>+[51]P6!$C$13</f>
        <v>217</v>
      </c>
      <c r="L8" s="973">
        <f>+[52]P6!$C$13</f>
        <v>349</v>
      </c>
      <c r="M8" s="973">
        <f>+[53]P6!$C$13</f>
        <v>627</v>
      </c>
      <c r="N8" s="973">
        <f>+[54]P6!$C$13</f>
        <v>66</v>
      </c>
      <c r="O8" s="973">
        <f>+[55]P6!$C$13</f>
        <v>248</v>
      </c>
      <c r="P8" s="973">
        <f>+[56]P6!$C$13</f>
        <v>39</v>
      </c>
      <c r="Q8" s="973">
        <f>+[57]P6!$C$13</f>
        <v>386</v>
      </c>
      <c r="R8" s="973">
        <f>+[58]P6!$C$13</f>
        <v>914</v>
      </c>
      <c r="S8" s="973">
        <f>+[59]P6!$C$13</f>
        <v>463</v>
      </c>
      <c r="T8" s="973">
        <f>+[60]P6!$C$13</f>
        <v>62</v>
      </c>
      <c r="U8" s="973">
        <f>+[61]P6!$C$65</f>
        <v>1252</v>
      </c>
      <c r="V8" s="973">
        <f>+[62]P6!$C$65</f>
        <v>1367</v>
      </c>
      <c r="W8" s="973">
        <f>SUM(B8:V8)</f>
        <v>12752</v>
      </c>
    </row>
    <row r="9" spans="1:26" s="6" customFormat="1" ht="18.75" customHeight="1">
      <c r="A9" s="465" t="s">
        <v>285</v>
      </c>
      <c r="B9" s="1276">
        <f>+[42]P6!$C15</f>
        <v>28</v>
      </c>
      <c r="C9" s="1276">
        <f>+[43]P6!$C15</f>
        <v>10</v>
      </c>
      <c r="D9" s="1276">
        <f>+[44]P6!$C15</f>
        <v>70</v>
      </c>
      <c r="E9" s="1276">
        <f>+[45]P6!$C15</f>
        <v>6</v>
      </c>
      <c r="F9" s="1276">
        <f>+[46]P6!$C15</f>
        <v>0</v>
      </c>
      <c r="G9" s="1276">
        <f>+[47]P6!$C15</f>
        <v>4</v>
      </c>
      <c r="H9" s="1276">
        <f>+[48]P6!$C15</f>
        <v>0</v>
      </c>
      <c r="I9" s="1276">
        <f>+[49]P6!$C15</f>
        <v>8</v>
      </c>
      <c r="J9" s="1276">
        <f>+[50]P6!$C15</f>
        <v>56</v>
      </c>
      <c r="K9" s="1276">
        <f>+[51]P6!$C15</f>
        <v>75</v>
      </c>
      <c r="L9" s="1276">
        <f>+[52]P6!$C15</f>
        <v>3</v>
      </c>
      <c r="M9" s="1276">
        <f>+[53]P6!$C15</f>
        <v>6</v>
      </c>
      <c r="N9" s="1276">
        <f>+[54]P6!$C15</f>
        <v>1</v>
      </c>
      <c r="O9" s="1276">
        <f>+[55]P6!$C15</f>
        <v>1</v>
      </c>
      <c r="P9" s="1276">
        <f>+[56]P6!$C15</f>
        <v>2</v>
      </c>
      <c r="Q9" s="1276">
        <f>+[57]P6!$C15</f>
        <v>1</v>
      </c>
      <c r="R9" s="1276">
        <f>+[58]P6!$C15</f>
        <v>6</v>
      </c>
      <c r="S9" s="1276">
        <f>+[59]P6!$C15</f>
        <v>16</v>
      </c>
      <c r="T9" s="1276">
        <f>+[60]P6!$C15</f>
        <v>3</v>
      </c>
      <c r="U9" s="1276">
        <f>+[61]P6!$C67</f>
        <v>0</v>
      </c>
      <c r="V9" s="1276">
        <f>+[62]P6!$C67</f>
        <v>0</v>
      </c>
      <c r="W9" s="1253">
        <f t="shared" ref="W9:W17" si="0">SUM(B9:V9)</f>
        <v>296</v>
      </c>
    </row>
    <row r="10" spans="1:26" s="6" customFormat="1" ht="18.75" customHeight="1">
      <c r="A10" s="465" t="s">
        <v>286</v>
      </c>
      <c r="B10" s="1276">
        <f>+[42]P6!$C16</f>
        <v>4</v>
      </c>
      <c r="C10" s="1276">
        <f>+[43]P6!$C16</f>
        <v>2</v>
      </c>
      <c r="D10" s="1276">
        <f>+[44]P6!$C16</f>
        <v>17</v>
      </c>
      <c r="E10" s="1276">
        <f>+[45]P6!$C16</f>
        <v>0</v>
      </c>
      <c r="F10" s="1276">
        <f>+[46]P6!$C16</f>
        <v>0</v>
      </c>
      <c r="G10" s="1276">
        <f>+[47]P6!$C16</f>
        <v>0</v>
      </c>
      <c r="H10" s="1276">
        <f>+[48]P6!$C16</f>
        <v>2</v>
      </c>
      <c r="I10" s="1276">
        <f>+[49]P6!$C16</f>
        <v>3</v>
      </c>
      <c r="J10" s="1276">
        <f>+[50]P6!$C16</f>
        <v>15</v>
      </c>
      <c r="K10" s="1276">
        <f>+[51]P6!$C16</f>
        <v>9</v>
      </c>
      <c r="L10" s="1276">
        <f>+[52]P6!$C16</f>
        <v>1</v>
      </c>
      <c r="M10" s="1276">
        <f>+[53]P6!$C16</f>
        <v>1</v>
      </c>
      <c r="N10" s="1276">
        <f>+[54]P6!$C16</f>
        <v>0</v>
      </c>
      <c r="O10" s="1276">
        <f>+[55]P6!$C16</f>
        <v>3</v>
      </c>
      <c r="P10" s="1276">
        <f>+[56]P6!$C16</f>
        <v>1</v>
      </c>
      <c r="Q10" s="1276">
        <f>+[57]P6!$C16</f>
        <v>1</v>
      </c>
      <c r="R10" s="1276">
        <f>+[58]P6!$C16</f>
        <v>1</v>
      </c>
      <c r="S10" s="1276">
        <f>+[59]P6!$C16</f>
        <v>0</v>
      </c>
      <c r="T10" s="1276">
        <f>+[60]P6!$C16</f>
        <v>0</v>
      </c>
      <c r="U10" s="1276">
        <f>+[61]P6!$C68</f>
        <v>0</v>
      </c>
      <c r="V10" s="1276">
        <f>+[62]P6!$C68</f>
        <v>0</v>
      </c>
      <c r="W10" s="1253">
        <f t="shared" si="0"/>
        <v>60</v>
      </c>
    </row>
    <row r="11" spans="1:26" s="6" customFormat="1" ht="18.75" customHeight="1">
      <c r="A11" s="465" t="s">
        <v>1154</v>
      </c>
      <c r="B11" s="1276">
        <f>+[42]P6!$C17</f>
        <v>2</v>
      </c>
      <c r="C11" s="1276">
        <f>+[43]P6!$C17</f>
        <v>0</v>
      </c>
      <c r="D11" s="1276">
        <f>+[44]P6!$C17</f>
        <v>5</v>
      </c>
      <c r="E11" s="1276">
        <f>+[45]P6!$C17</f>
        <v>0</v>
      </c>
      <c r="F11" s="1276">
        <f>+[46]P6!$C17</f>
        <v>0</v>
      </c>
      <c r="G11" s="1276">
        <f>+[47]P6!$C17</f>
        <v>0</v>
      </c>
      <c r="H11" s="1276">
        <f>+[48]P6!$C17</f>
        <v>3</v>
      </c>
      <c r="I11" s="1276">
        <f>+[49]P6!$C17</f>
        <v>3</v>
      </c>
      <c r="J11" s="1276">
        <f>+[50]P6!$C17</f>
        <v>18</v>
      </c>
      <c r="K11" s="1276">
        <f>+[51]P6!$C17</f>
        <v>0</v>
      </c>
      <c r="L11" s="1276">
        <f>+[52]P6!$C17</f>
        <v>0</v>
      </c>
      <c r="M11" s="1276">
        <f>+[53]P6!$C17</f>
        <v>4</v>
      </c>
      <c r="N11" s="1276">
        <f>+[54]P6!$C17</f>
        <v>0</v>
      </c>
      <c r="O11" s="1276">
        <f>+[55]P6!$C17</f>
        <v>0</v>
      </c>
      <c r="P11" s="1276">
        <f>+[56]P6!$C17</f>
        <v>0</v>
      </c>
      <c r="Q11" s="1276">
        <f>+[57]P6!$C17</f>
        <v>0</v>
      </c>
      <c r="R11" s="1276">
        <f>+[58]P6!$C17</f>
        <v>5</v>
      </c>
      <c r="S11" s="1276">
        <f>+[59]P6!$C17</f>
        <v>2</v>
      </c>
      <c r="T11" s="1276">
        <f>+[60]P6!$C17</f>
        <v>0</v>
      </c>
      <c r="U11" s="1276">
        <f>+[61]P6!$C69</f>
        <v>0</v>
      </c>
      <c r="V11" s="1276">
        <f>+[62]P6!$C69</f>
        <v>0</v>
      </c>
      <c r="W11" s="1253">
        <f t="shared" si="0"/>
        <v>42</v>
      </c>
    </row>
    <row r="12" spans="1:26" s="6" customFormat="1" ht="18.75" customHeight="1">
      <c r="A12" s="247" t="s">
        <v>1591</v>
      </c>
      <c r="B12" s="1276">
        <f>+[42]P6!$C18</f>
        <v>2</v>
      </c>
      <c r="C12" s="1276">
        <f>+[43]P6!$C18</f>
        <v>4</v>
      </c>
      <c r="D12" s="1276">
        <f>+[44]P6!$C18</f>
        <v>41</v>
      </c>
      <c r="E12" s="1276">
        <f>+[45]P6!$C18</f>
        <v>0</v>
      </c>
      <c r="F12" s="1276">
        <f>+[46]P6!$C18</f>
        <v>0</v>
      </c>
      <c r="G12" s="1276">
        <f>+[47]P6!$C18</f>
        <v>0</v>
      </c>
      <c r="H12" s="1276">
        <f>+[48]P6!$C18</f>
        <v>0</v>
      </c>
      <c r="I12" s="1276">
        <f>+[49]P6!$C18</f>
        <v>0</v>
      </c>
      <c r="J12" s="1276">
        <f>+[50]P6!$C18</f>
        <v>40</v>
      </c>
      <c r="K12" s="1276">
        <f>+[51]P6!$C18</f>
        <v>4</v>
      </c>
      <c r="L12" s="1276">
        <f>+[52]P6!$C18</f>
        <v>1</v>
      </c>
      <c r="M12" s="1276">
        <f>+[53]P6!$C18</f>
        <v>13</v>
      </c>
      <c r="N12" s="1276">
        <f>+[54]P6!$C18</f>
        <v>0</v>
      </c>
      <c r="O12" s="1276">
        <f>+[55]P6!$C18</f>
        <v>0</v>
      </c>
      <c r="P12" s="1276">
        <f>+[56]P6!$C18</f>
        <v>0</v>
      </c>
      <c r="Q12" s="1276">
        <f>+[57]P6!$C18</f>
        <v>0</v>
      </c>
      <c r="R12" s="1276">
        <f>+[58]P6!$C18</f>
        <v>2</v>
      </c>
      <c r="S12" s="1276">
        <f>+[59]P6!$C18</f>
        <v>0</v>
      </c>
      <c r="T12" s="1276">
        <f>+[60]P6!$C18</f>
        <v>0</v>
      </c>
      <c r="U12" s="1276">
        <f>+[61]P6!$C70</f>
        <v>0</v>
      </c>
      <c r="V12" s="1276">
        <f>+[62]P6!$C70</f>
        <v>5</v>
      </c>
      <c r="W12" s="1253">
        <f t="shared" si="0"/>
        <v>112</v>
      </c>
    </row>
    <row r="13" spans="1:26" s="6" customFormat="1" ht="18.75" customHeight="1">
      <c r="A13" s="247" t="s">
        <v>1592</v>
      </c>
      <c r="B13" s="1276">
        <f>+[42]P6!$C19</f>
        <v>6</v>
      </c>
      <c r="C13" s="1276">
        <f>+[43]P6!$C19</f>
        <v>6</v>
      </c>
      <c r="D13" s="1276">
        <f>+[44]P6!$C19</f>
        <v>6</v>
      </c>
      <c r="E13" s="1276">
        <f>+[45]P6!$C19</f>
        <v>0</v>
      </c>
      <c r="F13" s="1276">
        <f>+[46]P6!$C19</f>
        <v>0</v>
      </c>
      <c r="G13" s="1276">
        <f>+[47]P6!$C19</f>
        <v>1</v>
      </c>
      <c r="H13" s="1276">
        <f>+[48]P6!$C19</f>
        <v>0</v>
      </c>
      <c r="I13" s="1276">
        <f>+[49]P6!$C19</f>
        <v>0</v>
      </c>
      <c r="J13" s="1276">
        <f>+[50]P6!$C19</f>
        <v>20</v>
      </c>
      <c r="K13" s="1276">
        <f>+[51]P6!$C19</f>
        <v>3</v>
      </c>
      <c r="L13" s="1276">
        <f>+[52]P6!$C19</f>
        <v>0</v>
      </c>
      <c r="M13" s="1276">
        <f>+[53]P6!$C19</f>
        <v>8</v>
      </c>
      <c r="N13" s="1276">
        <f>+[54]P6!$C19</f>
        <v>0</v>
      </c>
      <c r="O13" s="1276">
        <f>+[55]P6!$C19</f>
        <v>0</v>
      </c>
      <c r="P13" s="1276">
        <f>+[56]P6!$C19</f>
        <v>0</v>
      </c>
      <c r="Q13" s="1276">
        <f>+[57]P6!$C19</f>
        <v>0</v>
      </c>
      <c r="R13" s="1276">
        <f>+[58]P6!$C19</f>
        <v>1</v>
      </c>
      <c r="S13" s="1276">
        <f>+[59]P6!$C19</f>
        <v>0</v>
      </c>
      <c r="T13" s="1276">
        <f>+[60]P6!$C19</f>
        <v>0</v>
      </c>
      <c r="U13" s="1276">
        <f>+[61]P6!$C71</f>
        <v>0</v>
      </c>
      <c r="V13" s="1276">
        <f>+[62]P6!$C71</f>
        <v>8</v>
      </c>
      <c r="W13" s="1253">
        <f t="shared" si="0"/>
        <v>59</v>
      </c>
    </row>
    <row r="14" spans="1:26" s="6" customFormat="1" ht="18.75" customHeight="1">
      <c r="A14" s="465" t="s">
        <v>1564</v>
      </c>
      <c r="B14" s="1276">
        <f>+[42]P6!$C20</f>
        <v>1026</v>
      </c>
      <c r="C14" s="1276">
        <f>+[43]P6!$C20</f>
        <v>173</v>
      </c>
      <c r="D14" s="1276">
        <f>+[44]P6!$C20</f>
        <v>990</v>
      </c>
      <c r="E14" s="1276">
        <f>+[45]P6!$C20</f>
        <v>1129</v>
      </c>
      <c r="F14" s="1276">
        <f>+[46]P6!$C20</f>
        <v>38</v>
      </c>
      <c r="G14" s="1276">
        <f>+[47]P6!$C20</f>
        <v>439</v>
      </c>
      <c r="H14" s="1276">
        <f>+[48]P6!$C20</f>
        <v>390</v>
      </c>
      <c r="I14" s="1276">
        <f>+[49]P6!$C20</f>
        <v>1329</v>
      </c>
      <c r="J14" s="1276">
        <f>+[50]P6!$C20</f>
        <v>1406</v>
      </c>
      <c r="K14" s="1276">
        <f>+[51]P6!$C20</f>
        <v>217</v>
      </c>
      <c r="L14" s="1276">
        <f>+[52]P6!$C20</f>
        <v>348</v>
      </c>
      <c r="M14" s="1276">
        <f>+[53]P6!$C20</f>
        <v>624</v>
      </c>
      <c r="N14" s="1276">
        <f>+[54]P6!$C20</f>
        <v>65</v>
      </c>
      <c r="O14" s="1276">
        <f>+[55]P6!$C20</f>
        <v>244</v>
      </c>
      <c r="P14" s="1276">
        <f>+[56]P6!$C20</f>
        <v>36</v>
      </c>
      <c r="Q14" s="1276">
        <f>+[57]P6!$C20</f>
        <v>384</v>
      </c>
      <c r="R14" s="1276">
        <f>+[58]P6!$C20</f>
        <v>914</v>
      </c>
      <c r="S14" s="1276">
        <f>+[59]P6!$C20</f>
        <v>455</v>
      </c>
      <c r="T14" s="1276">
        <f>+[60]P6!$C20</f>
        <v>62</v>
      </c>
      <c r="U14" s="1276">
        <f>+[61]P6!$C72</f>
        <v>1252</v>
      </c>
      <c r="V14" s="1276">
        <f>+[62]P6!$C72</f>
        <v>1367</v>
      </c>
      <c r="W14" s="1253">
        <f t="shared" si="0"/>
        <v>12888</v>
      </c>
    </row>
    <row r="15" spans="1:26" s="6" customFormat="1" ht="18.75" customHeight="1">
      <c r="A15" s="465" t="s">
        <v>1157</v>
      </c>
      <c r="B15" s="1276">
        <f>+[42]P6!$C21</f>
        <v>74</v>
      </c>
      <c r="C15" s="1276">
        <f>+[43]P6!$C21</f>
        <v>17</v>
      </c>
      <c r="D15" s="1276">
        <f>+[44]P6!$C21</f>
        <v>127</v>
      </c>
      <c r="E15" s="1276">
        <f>+[45]P6!$C21</f>
        <v>36</v>
      </c>
      <c r="F15" s="1276">
        <f>+[46]P6!$C21</f>
        <v>4</v>
      </c>
      <c r="G15" s="1276">
        <f>+[47]P6!$C21</f>
        <v>6</v>
      </c>
      <c r="H15" s="1276">
        <f>+[48]P6!$C21</f>
        <v>3</v>
      </c>
      <c r="I15" s="1276">
        <f>+[49]P6!$C21</f>
        <v>72</v>
      </c>
      <c r="J15" s="1276">
        <f>+[50]P6!$C21</f>
        <v>50</v>
      </c>
      <c r="K15" s="1276">
        <f>+[51]P6!$C21</f>
        <v>1</v>
      </c>
      <c r="L15" s="1276">
        <f>+[52]P6!$C21</f>
        <v>42</v>
      </c>
      <c r="M15" s="1276">
        <f>+[53]P6!$C21</f>
        <v>44</v>
      </c>
      <c r="N15" s="1276">
        <f>+[54]P6!$C21</f>
        <v>5</v>
      </c>
      <c r="O15" s="1276">
        <f>+[55]P6!$C21</f>
        <v>9</v>
      </c>
      <c r="P15" s="1276">
        <f>+[56]P6!$C21</f>
        <v>2</v>
      </c>
      <c r="Q15" s="1276">
        <f>+[57]P6!$C21</f>
        <v>4</v>
      </c>
      <c r="R15" s="1276">
        <f>+[58]P6!$C21</f>
        <v>83</v>
      </c>
      <c r="S15" s="1276">
        <f>+[59]P6!$C21</f>
        <v>25</v>
      </c>
      <c r="T15" s="1276">
        <f>+[60]P6!$C21</f>
        <v>0</v>
      </c>
      <c r="U15" s="1276">
        <f>+[61]P6!$C73</f>
        <v>278</v>
      </c>
      <c r="V15" s="1276">
        <f>+[62]P6!$C73</f>
        <v>219</v>
      </c>
      <c r="W15" s="1253">
        <f t="shared" si="0"/>
        <v>1101</v>
      </c>
      <c r="Z15" s="337"/>
    </row>
    <row r="16" spans="1:26" s="6" customFormat="1" ht="18.75" customHeight="1">
      <c r="A16" s="465" t="s">
        <v>1158</v>
      </c>
      <c r="B16" s="1276">
        <f>+[42]P6!$C22</f>
        <v>281</v>
      </c>
      <c r="C16" s="1276">
        <f>+[43]P6!$C22</f>
        <v>27</v>
      </c>
      <c r="D16" s="1276">
        <f>+[44]P6!$C22</f>
        <v>77</v>
      </c>
      <c r="E16" s="1276">
        <f>+[45]P6!$C22</f>
        <v>283</v>
      </c>
      <c r="F16" s="1276">
        <f>+[46]P6!$C22</f>
        <v>12</v>
      </c>
      <c r="G16" s="1276">
        <f>+[47]P6!$C22</f>
        <v>103</v>
      </c>
      <c r="H16" s="1276">
        <f>+[48]P6!$C22</f>
        <v>62</v>
      </c>
      <c r="I16" s="1276">
        <f>+[49]P6!$C22</f>
        <v>285</v>
      </c>
      <c r="J16" s="1276">
        <f>+[50]P6!$C22</f>
        <v>245</v>
      </c>
      <c r="K16" s="1276">
        <f>+[51]P6!$C22</f>
        <v>17</v>
      </c>
      <c r="L16" s="1276">
        <f>+[52]P6!$C22</f>
        <v>30</v>
      </c>
      <c r="M16" s="1276">
        <f>+[53]P6!$C22</f>
        <v>110</v>
      </c>
      <c r="N16" s="1276">
        <f>+[54]P6!$C22</f>
        <v>14</v>
      </c>
      <c r="O16" s="1276">
        <f>+[55]P6!$C22</f>
        <v>13</v>
      </c>
      <c r="P16" s="1276">
        <f>+[56]P6!$C22</f>
        <v>0</v>
      </c>
      <c r="Q16" s="1276">
        <f>+[57]P6!$C22</f>
        <v>64</v>
      </c>
      <c r="R16" s="1276">
        <f>+[58]P6!$C22</f>
        <v>222</v>
      </c>
      <c r="S16" s="1276">
        <f>+[59]P6!$C22</f>
        <v>50</v>
      </c>
      <c r="T16" s="1276">
        <f>+[60]P6!$C22</f>
        <v>18</v>
      </c>
      <c r="U16" s="1276">
        <f>+[61]P6!$C74</f>
        <v>3</v>
      </c>
      <c r="V16" s="1276">
        <f>+[62]P6!$C74</f>
        <v>46</v>
      </c>
      <c r="W16" s="1253">
        <f t="shared" si="0"/>
        <v>1962</v>
      </c>
      <c r="Z16" s="337"/>
    </row>
    <row r="17" spans="1:26" s="6" customFormat="1" ht="18.75" customHeight="1">
      <c r="A17" s="465" t="s">
        <v>1159</v>
      </c>
      <c r="B17" s="1276">
        <f>+[42]P6!$C23</f>
        <v>25</v>
      </c>
      <c r="C17" s="1276">
        <f>+[43]P6!$C23</f>
        <v>8</v>
      </c>
      <c r="D17" s="1276">
        <f>+[44]P6!$C23</f>
        <v>31</v>
      </c>
      <c r="E17" s="1276">
        <f>+[45]P6!$C23</f>
        <v>13</v>
      </c>
      <c r="F17" s="1276">
        <f>+[46]P6!$C23</f>
        <v>0</v>
      </c>
      <c r="G17" s="1276">
        <f>+[47]P6!$C23</f>
        <v>6</v>
      </c>
      <c r="H17" s="1276">
        <f>+[48]P6!$C23</f>
        <v>20</v>
      </c>
      <c r="I17" s="1276">
        <f>+[49]P6!$C23</f>
        <v>38</v>
      </c>
      <c r="J17" s="1276">
        <f>+[50]P6!$C23</f>
        <v>33</v>
      </c>
      <c r="K17" s="1276">
        <f>+[51]P6!$C23</f>
        <v>0</v>
      </c>
      <c r="L17" s="1276">
        <f>+[52]P6!$C23</f>
        <v>3</v>
      </c>
      <c r="M17" s="1276">
        <f>+[53]P6!$C23</f>
        <v>13</v>
      </c>
      <c r="N17" s="1276">
        <f>+[54]P6!$C23</f>
        <v>2</v>
      </c>
      <c r="O17" s="1276">
        <f>+[55]P6!$C23</f>
        <v>4</v>
      </c>
      <c r="P17" s="1276">
        <f>+[56]P6!$C23</f>
        <v>0</v>
      </c>
      <c r="Q17" s="1276">
        <f>+[57]P6!$C23</f>
        <v>14</v>
      </c>
      <c r="R17" s="1276">
        <f>+[58]P6!$C23</f>
        <v>28</v>
      </c>
      <c r="S17" s="1276">
        <f>+[59]P6!$C23</f>
        <v>5</v>
      </c>
      <c r="T17" s="1276">
        <f>+[60]P6!$C23</f>
        <v>1</v>
      </c>
      <c r="U17" s="1276">
        <f>+[61]P6!$C75</f>
        <v>1</v>
      </c>
      <c r="V17" s="1276">
        <f>+[62]P6!$C75</f>
        <v>0</v>
      </c>
      <c r="W17" s="1253">
        <f t="shared" si="0"/>
        <v>245</v>
      </c>
      <c r="Z17" s="337"/>
    </row>
    <row r="18" spans="1:26" s="6" customFormat="1" ht="18.75" customHeight="1">
      <c r="A18" s="465" t="s">
        <v>1155</v>
      </c>
      <c r="B18" s="1276">
        <f>+[42]P6!$C24</f>
        <v>8</v>
      </c>
      <c r="C18" s="1276">
        <f>+[43]P6!$C24</f>
        <v>1</v>
      </c>
      <c r="D18" s="1276">
        <f>+[44]P6!$C24</f>
        <v>4</v>
      </c>
      <c r="E18" s="1276">
        <f>+[45]P6!$C24</f>
        <v>0</v>
      </c>
      <c r="F18" s="1276">
        <f>+[46]P6!$C24</f>
        <v>0</v>
      </c>
      <c r="G18" s="1276">
        <f>+[47]P6!$C24</f>
        <v>1</v>
      </c>
      <c r="H18" s="1276">
        <f>+[48]P6!$C24</f>
        <v>0</v>
      </c>
      <c r="I18" s="1276">
        <f>+[49]P6!$C24</f>
        <v>2</v>
      </c>
      <c r="J18" s="1276">
        <f>+[50]P6!$C24</f>
        <v>2</v>
      </c>
      <c r="K18" s="1276">
        <f>+[51]P6!$C24</f>
        <v>0</v>
      </c>
      <c r="L18" s="1276">
        <f>+[52]P6!$C24</f>
        <v>0</v>
      </c>
      <c r="M18" s="1276">
        <f>+[53]P6!$C24</f>
        <v>2</v>
      </c>
      <c r="N18" s="1276">
        <f>+[54]P6!$C24</f>
        <v>1</v>
      </c>
      <c r="O18" s="1276">
        <f>+[55]P6!$C24</f>
        <v>0</v>
      </c>
      <c r="P18" s="1276">
        <f>+[56]P6!$C24</f>
        <v>0</v>
      </c>
      <c r="Q18" s="1276">
        <f>+[57]P6!$C24</f>
        <v>0</v>
      </c>
      <c r="R18" s="1276">
        <f>+[58]P6!$C24</f>
        <v>5</v>
      </c>
      <c r="S18" s="1276">
        <f>+[59]P6!$C24</f>
        <v>0</v>
      </c>
      <c r="T18" s="1276">
        <f>+[60]P6!$C24</f>
        <v>0</v>
      </c>
      <c r="U18" s="1276">
        <f>+[61]P6!$C76</f>
        <v>0</v>
      </c>
      <c r="V18" s="1276">
        <f>+[62]P6!$C76</f>
        <v>0</v>
      </c>
      <c r="W18" s="1253">
        <f t="shared" ref="W18:W44" si="1">SUM(B18:V18)</f>
        <v>26</v>
      </c>
      <c r="Z18" s="337"/>
    </row>
    <row r="19" spans="1:26" s="6" customFormat="1" ht="18.75" customHeight="1">
      <c r="A19" s="465" t="s">
        <v>1156</v>
      </c>
      <c r="B19" s="1276">
        <f>+[42]P6!$C25</f>
        <v>2</v>
      </c>
      <c r="C19" s="1276">
        <f>+[43]P6!$C25</f>
        <v>0</v>
      </c>
      <c r="D19" s="1276">
        <f>+[44]P6!$C25</f>
        <v>4</v>
      </c>
      <c r="E19" s="1276">
        <f>+[45]P6!$C25</f>
        <v>3</v>
      </c>
      <c r="F19" s="1276">
        <f>+[46]P6!$C25</f>
        <v>0</v>
      </c>
      <c r="G19" s="1276">
        <f>+[47]P6!$C25</f>
        <v>0</v>
      </c>
      <c r="H19" s="1276">
        <f>+[48]P6!$C25</f>
        <v>4</v>
      </c>
      <c r="I19" s="1276">
        <f>+[49]P6!$C25</f>
        <v>2</v>
      </c>
      <c r="J19" s="1276">
        <f>+[50]P6!$C25</f>
        <v>3</v>
      </c>
      <c r="K19" s="1276">
        <f>+[51]P6!$C25</f>
        <v>0</v>
      </c>
      <c r="L19" s="1276">
        <f>+[52]P6!$C25</f>
        <v>0</v>
      </c>
      <c r="M19" s="1276">
        <f>+[53]P6!$C25</f>
        <v>2</v>
      </c>
      <c r="N19" s="1276">
        <f>+[54]P6!$C25</f>
        <v>0</v>
      </c>
      <c r="O19" s="1276">
        <f>+[55]P6!$C25</f>
        <v>1</v>
      </c>
      <c r="P19" s="1276">
        <f>+[56]P6!$C25</f>
        <v>0</v>
      </c>
      <c r="Q19" s="1276">
        <f>+[57]P6!$C25</f>
        <v>0</v>
      </c>
      <c r="R19" s="1276">
        <f>+[58]P6!$C25</f>
        <v>4</v>
      </c>
      <c r="S19" s="1276">
        <f>+[59]P6!$C25</f>
        <v>8</v>
      </c>
      <c r="T19" s="1276">
        <f>+[60]P6!$C25</f>
        <v>0</v>
      </c>
      <c r="U19" s="1276">
        <f>+[61]P6!$C77</f>
        <v>121</v>
      </c>
      <c r="V19" s="1276">
        <f>+[62]P6!$C77</f>
        <v>125</v>
      </c>
      <c r="W19" s="1253">
        <f t="shared" si="1"/>
        <v>279</v>
      </c>
      <c r="Z19" s="337"/>
    </row>
    <row r="20" spans="1:26" s="6" customFormat="1" ht="18.75" customHeight="1">
      <c r="A20" s="1125" t="s">
        <v>1429</v>
      </c>
      <c r="B20" s="1276">
        <f>+[42]P6!$C26</f>
        <v>22</v>
      </c>
      <c r="C20" s="1276">
        <f>+[43]P6!$C26</f>
        <v>2</v>
      </c>
      <c r="D20" s="1276">
        <f>+[44]P6!$C26</f>
        <v>28</v>
      </c>
      <c r="E20" s="1276">
        <f>+[45]P6!$C26</f>
        <v>39</v>
      </c>
      <c r="F20" s="1276">
        <f>+[46]P6!$C26</f>
        <v>0</v>
      </c>
      <c r="G20" s="1276">
        <f>+[47]P6!$C26</f>
        <v>7</v>
      </c>
      <c r="H20" s="1276">
        <f>+[48]P6!$C26</f>
        <v>4</v>
      </c>
      <c r="I20" s="1276">
        <f>+[49]P6!$C26</f>
        <v>29</v>
      </c>
      <c r="J20" s="1276">
        <f>+[50]P6!$C26</f>
        <v>33</v>
      </c>
      <c r="K20" s="1276">
        <f>+[51]P6!$C26</f>
        <v>5</v>
      </c>
      <c r="L20" s="1276">
        <f>+[52]P6!$C26</f>
        <v>4</v>
      </c>
      <c r="M20" s="1276">
        <f>+[53]P6!$C26</f>
        <v>15</v>
      </c>
      <c r="N20" s="1276">
        <f>+[54]P6!$C26</f>
        <v>0</v>
      </c>
      <c r="O20" s="1276">
        <f>+[55]P6!$C26</f>
        <v>3</v>
      </c>
      <c r="P20" s="1276">
        <f>+[56]P6!$C26</f>
        <v>1</v>
      </c>
      <c r="Q20" s="1276">
        <f>+[57]P6!$C26</f>
        <v>9</v>
      </c>
      <c r="R20" s="1276">
        <f>+[58]P6!$C26</f>
        <v>2</v>
      </c>
      <c r="S20" s="1276">
        <f>+[59]P6!$C26</f>
        <v>3</v>
      </c>
      <c r="T20" s="1276">
        <f>+[60]P6!$C26</f>
        <v>1</v>
      </c>
      <c r="U20" s="1276">
        <f>+[61]P6!$C78</f>
        <v>17</v>
      </c>
      <c r="V20" s="1276">
        <f>+[62]P6!$C78</f>
        <v>11</v>
      </c>
      <c r="W20" s="1253">
        <f t="shared" si="1"/>
        <v>235</v>
      </c>
      <c r="Z20" s="337"/>
    </row>
    <row r="21" spans="1:26" s="6" customFormat="1" ht="18.75" customHeight="1">
      <c r="A21" s="1125" t="s">
        <v>1302</v>
      </c>
      <c r="B21" s="1276">
        <f>+[42]P6!$C27</f>
        <v>12</v>
      </c>
      <c r="C21" s="1276">
        <f>+[43]P6!$C27</f>
        <v>1</v>
      </c>
      <c r="D21" s="1276">
        <f>+[44]P6!$C27</f>
        <v>23</v>
      </c>
      <c r="E21" s="1276">
        <f>+[45]P6!$C27</f>
        <v>18</v>
      </c>
      <c r="F21" s="1276">
        <f>+[46]P6!$C27</f>
        <v>1</v>
      </c>
      <c r="G21" s="1276">
        <f>+[47]P6!$C27</f>
        <v>4</v>
      </c>
      <c r="H21" s="1276">
        <f>+[48]P6!$C27</f>
        <v>8</v>
      </c>
      <c r="I21" s="1276">
        <f>+[49]P6!$C27</f>
        <v>24</v>
      </c>
      <c r="J21" s="1276">
        <f>+[50]P6!$C27</f>
        <v>39</v>
      </c>
      <c r="K21" s="1276">
        <f>+[51]P6!$C27</f>
        <v>1</v>
      </c>
      <c r="L21" s="1276">
        <f>+[52]P6!$C27</f>
        <v>1</v>
      </c>
      <c r="M21" s="1276">
        <f>+[53]P6!$C27</f>
        <v>7</v>
      </c>
      <c r="N21" s="1276">
        <f>+[54]P6!$C27</f>
        <v>0</v>
      </c>
      <c r="O21" s="1276">
        <f>+[55]P6!$C27</f>
        <v>2</v>
      </c>
      <c r="P21" s="1276">
        <f>+[56]P6!$C27</f>
        <v>0</v>
      </c>
      <c r="Q21" s="1276">
        <f>+[57]P6!$C27</f>
        <v>3</v>
      </c>
      <c r="R21" s="1276">
        <f>+[58]P6!$C27</f>
        <v>5</v>
      </c>
      <c r="S21" s="1276">
        <f>+[59]P6!$C27</f>
        <v>1</v>
      </c>
      <c r="T21" s="1276">
        <f>+[60]P6!$C27</f>
        <v>0</v>
      </c>
      <c r="U21" s="1276">
        <f>+[61]P6!$C79</f>
        <v>15</v>
      </c>
      <c r="V21" s="1276">
        <f>+[62]P6!$C79</f>
        <v>38</v>
      </c>
      <c r="W21" s="1253">
        <f t="shared" si="1"/>
        <v>203</v>
      </c>
      <c r="Z21" s="337"/>
    </row>
    <row r="22" spans="1:26" s="6" customFormat="1" ht="18.75" customHeight="1">
      <c r="A22" s="1126" t="s">
        <v>0</v>
      </c>
      <c r="B22" s="1276">
        <f>+[42]P6!$C28</f>
        <v>11</v>
      </c>
      <c r="C22" s="1276">
        <f>+[43]P6!$C28</f>
        <v>3</v>
      </c>
      <c r="D22" s="1276">
        <f>+[44]P6!$C28</f>
        <v>38</v>
      </c>
      <c r="E22" s="1276">
        <f>+[45]P6!$C28</f>
        <v>4</v>
      </c>
      <c r="F22" s="1276">
        <f>+[46]P6!$C28</f>
        <v>0</v>
      </c>
      <c r="G22" s="1276">
        <f>+[47]P6!$C28</f>
        <v>6</v>
      </c>
      <c r="H22" s="1276">
        <f>+[48]P6!$C28</f>
        <v>0</v>
      </c>
      <c r="I22" s="1276">
        <f>+[49]P6!$C28</f>
        <v>13</v>
      </c>
      <c r="J22" s="1276">
        <f>+[50]P6!$C28</f>
        <v>20</v>
      </c>
      <c r="K22" s="1276">
        <f>+[51]P6!$C28</f>
        <v>7</v>
      </c>
      <c r="L22" s="1276">
        <f>+[52]P6!$C28</f>
        <v>2</v>
      </c>
      <c r="M22" s="1276">
        <f>+[53]P6!$C28</f>
        <v>3</v>
      </c>
      <c r="N22" s="1276">
        <f>+[54]P6!$C28</f>
        <v>0</v>
      </c>
      <c r="O22" s="1276">
        <f>+[55]P6!$C28</f>
        <v>3</v>
      </c>
      <c r="P22" s="1276">
        <f>+[56]P6!$C28</f>
        <v>0</v>
      </c>
      <c r="Q22" s="1276">
        <f>+[57]P6!$C28</f>
        <v>0</v>
      </c>
      <c r="R22" s="1276">
        <f>+[58]P6!$C28</f>
        <v>9</v>
      </c>
      <c r="S22" s="1276">
        <f>+[59]P6!$C28</f>
        <v>5</v>
      </c>
      <c r="T22" s="1276">
        <f>+[60]P6!$C28</f>
        <v>0</v>
      </c>
      <c r="U22" s="1276">
        <f>+[61]P6!$C80</f>
        <v>32</v>
      </c>
      <c r="V22" s="1276">
        <f>+[62]P6!$C80</f>
        <v>0</v>
      </c>
      <c r="W22" s="1253">
        <f t="shared" si="1"/>
        <v>156</v>
      </c>
      <c r="Z22" s="337"/>
    </row>
    <row r="23" spans="1:26" s="6" customFormat="1" ht="18.75" customHeight="1">
      <c r="A23" s="1127" t="s">
        <v>1301</v>
      </c>
      <c r="B23" s="1276">
        <f>+[42]P6!$C29</f>
        <v>46</v>
      </c>
      <c r="C23" s="1276">
        <f>+[43]P6!$C29</f>
        <v>24</v>
      </c>
      <c r="D23" s="1276">
        <f>+[44]P6!$C29</f>
        <v>39</v>
      </c>
      <c r="E23" s="1276">
        <f>+[45]P6!$C29</f>
        <v>81</v>
      </c>
      <c r="F23" s="1276">
        <f>+[46]P6!$C29</f>
        <v>2</v>
      </c>
      <c r="G23" s="1276">
        <f>+[47]P6!$C29</f>
        <v>12</v>
      </c>
      <c r="H23" s="1276">
        <f>+[48]P6!$C29</f>
        <v>18</v>
      </c>
      <c r="I23" s="1276">
        <f>+[49]P6!$C29</f>
        <v>28</v>
      </c>
      <c r="J23" s="1276">
        <f>+[50]P6!$C29</f>
        <v>93</v>
      </c>
      <c r="K23" s="1276">
        <f>+[51]P6!$C29</f>
        <v>4</v>
      </c>
      <c r="L23" s="1276">
        <f>+[52]P6!$C29</f>
        <v>14</v>
      </c>
      <c r="M23" s="1276">
        <f>+[53]P6!$C29</f>
        <v>4</v>
      </c>
      <c r="N23" s="1276">
        <f>+[54]P6!$C29</f>
        <v>0</v>
      </c>
      <c r="O23" s="1276">
        <f>+[55]P6!$C29</f>
        <v>1</v>
      </c>
      <c r="P23" s="1276">
        <f>+[56]P6!$C29</f>
        <v>0</v>
      </c>
      <c r="Q23" s="1276">
        <f>+[57]P6!$C29</f>
        <v>6</v>
      </c>
      <c r="R23" s="1276">
        <f>+[58]P6!$C29</f>
        <v>73</v>
      </c>
      <c r="S23" s="1276">
        <f>+[59]P6!$C29</f>
        <v>15</v>
      </c>
      <c r="T23" s="1276">
        <f>+[60]P6!$C29</f>
        <v>1</v>
      </c>
      <c r="U23" s="1276">
        <f>+[61]P6!$C81</f>
        <v>46</v>
      </c>
      <c r="V23" s="1276">
        <f>+[62]P6!$C81</f>
        <v>5</v>
      </c>
      <c r="W23" s="1253">
        <f t="shared" si="1"/>
        <v>512</v>
      </c>
      <c r="Z23" s="337"/>
    </row>
    <row r="24" spans="1:26" s="6" customFormat="1" ht="28.5" customHeight="1">
      <c r="A24" s="1124" t="s">
        <v>1300</v>
      </c>
      <c r="B24" s="1276">
        <f>+[42]P6!$C30</f>
        <v>5</v>
      </c>
      <c r="C24" s="1276">
        <f>+[43]P6!$C30</f>
        <v>1</v>
      </c>
      <c r="D24" s="1276">
        <f>+[44]P6!$C30</f>
        <v>2</v>
      </c>
      <c r="E24" s="1276">
        <f>+[45]P6!$C30</f>
        <v>5</v>
      </c>
      <c r="F24" s="1276">
        <f>+[46]P6!$C30</f>
        <v>0</v>
      </c>
      <c r="G24" s="1276">
        <f>+[47]P6!$C30</f>
        <v>0</v>
      </c>
      <c r="H24" s="1276">
        <f>+[48]P6!$C30</f>
        <v>4</v>
      </c>
      <c r="I24" s="1276">
        <f>+[49]P6!$C30</f>
        <v>2</v>
      </c>
      <c r="J24" s="1276">
        <f>+[50]P6!$C30</f>
        <v>11</v>
      </c>
      <c r="K24" s="1276">
        <f>+[51]P6!$C30</f>
        <v>7</v>
      </c>
      <c r="L24" s="1276">
        <f>+[52]P6!$C30</f>
        <v>2</v>
      </c>
      <c r="M24" s="1276">
        <f>+[53]P6!$C30</f>
        <v>0</v>
      </c>
      <c r="N24" s="1276">
        <f>+[54]P6!$C30</f>
        <v>0</v>
      </c>
      <c r="O24" s="1276">
        <f>+[55]P6!$C30</f>
        <v>0</v>
      </c>
      <c r="P24" s="1276">
        <f>+[56]P6!$C30</f>
        <v>0</v>
      </c>
      <c r="Q24" s="1276">
        <f>+[57]P6!$C30</f>
        <v>0</v>
      </c>
      <c r="R24" s="1276">
        <f>+[58]P6!$C30</f>
        <v>3</v>
      </c>
      <c r="S24" s="1276">
        <f>+[59]P6!$C30</f>
        <v>3</v>
      </c>
      <c r="T24" s="1276">
        <f>+[60]P6!$C30</f>
        <v>0</v>
      </c>
      <c r="U24" s="1276">
        <f>+[61]P6!$C82</f>
        <v>18</v>
      </c>
      <c r="V24" s="1276">
        <f>+[62]P6!$C82</f>
        <v>50</v>
      </c>
      <c r="W24" s="1253">
        <f t="shared" si="1"/>
        <v>113</v>
      </c>
      <c r="Z24" s="337"/>
    </row>
    <row r="25" spans="1:26" s="6" customFormat="1" ht="33.75" customHeight="1">
      <c r="A25" s="1123" t="s">
        <v>1299</v>
      </c>
      <c r="B25" s="1276">
        <f>+[42]P6!$C31</f>
        <v>2</v>
      </c>
      <c r="C25" s="1276">
        <f>+[43]P6!$C31</f>
        <v>0</v>
      </c>
      <c r="D25" s="1276">
        <f>+[44]P6!$C31</f>
        <v>3</v>
      </c>
      <c r="E25" s="1276">
        <f>+[45]P6!$C31</f>
        <v>0</v>
      </c>
      <c r="F25" s="1276">
        <f>+[46]P6!$C31</f>
        <v>0</v>
      </c>
      <c r="G25" s="1276">
        <f>+[47]P6!$C31</f>
        <v>0</v>
      </c>
      <c r="H25" s="1276">
        <f>+[48]P6!$C31</f>
        <v>1</v>
      </c>
      <c r="I25" s="1276">
        <f>+[49]P6!$C31</f>
        <v>3</v>
      </c>
      <c r="J25" s="1276">
        <f>+[50]P6!$C31</f>
        <v>2</v>
      </c>
      <c r="K25" s="1276">
        <f>+[51]P6!$C31</f>
        <v>0</v>
      </c>
      <c r="L25" s="1276">
        <f>+[52]P6!$C31</f>
        <v>0</v>
      </c>
      <c r="M25" s="1276">
        <f>+[53]P6!$C31</f>
        <v>1</v>
      </c>
      <c r="N25" s="1276">
        <f>+[54]P6!$C31</f>
        <v>0</v>
      </c>
      <c r="O25" s="1276">
        <f>+[55]P6!$C31</f>
        <v>0</v>
      </c>
      <c r="P25" s="1276">
        <f>+[56]P6!$C31</f>
        <v>1</v>
      </c>
      <c r="Q25" s="1276">
        <f>+[57]P6!$C31</f>
        <v>0</v>
      </c>
      <c r="R25" s="1276">
        <f>+[58]P6!$C31</f>
        <v>2</v>
      </c>
      <c r="S25" s="1276">
        <f>+[59]P6!$C31</f>
        <v>1</v>
      </c>
      <c r="T25" s="1276">
        <f>+[60]P6!$C31</f>
        <v>0</v>
      </c>
      <c r="U25" s="1276">
        <f>+[61]P6!$C83</f>
        <v>7</v>
      </c>
      <c r="V25" s="1276">
        <f>+[62]P6!$C83</f>
        <v>0</v>
      </c>
      <c r="W25" s="1253">
        <f t="shared" si="1"/>
        <v>23</v>
      </c>
      <c r="Z25" s="337"/>
    </row>
    <row r="26" spans="1:26" s="6" customFormat="1" ht="36.75" customHeight="1">
      <c r="A26" s="1123" t="s">
        <v>1298</v>
      </c>
      <c r="B26" s="1276">
        <f>+[42]P6!$C32</f>
        <v>86</v>
      </c>
      <c r="C26" s="1276">
        <f>+[43]P6!$C32</f>
        <v>27</v>
      </c>
      <c r="D26" s="1276">
        <f>+[44]P6!$C32</f>
        <v>135</v>
      </c>
      <c r="E26" s="1276">
        <f>+[45]P6!$C32</f>
        <v>15</v>
      </c>
      <c r="F26" s="1276">
        <f>+[46]P6!$C32</f>
        <v>1</v>
      </c>
      <c r="G26" s="1276">
        <f>+[47]P6!$C32</f>
        <v>8</v>
      </c>
      <c r="H26" s="1276">
        <f>+[48]P6!$C32</f>
        <v>38</v>
      </c>
      <c r="I26" s="1276">
        <f>+[49]P6!$C32</f>
        <v>72</v>
      </c>
      <c r="J26" s="1276">
        <f>+[50]P6!$C32</f>
        <v>234</v>
      </c>
      <c r="K26" s="1276">
        <f>+[51]P6!$C32</f>
        <v>40</v>
      </c>
      <c r="L26" s="1276">
        <f>+[52]P6!$C32</f>
        <v>30</v>
      </c>
      <c r="M26" s="1276">
        <f>+[53]P6!$C32</f>
        <v>24</v>
      </c>
      <c r="N26" s="1276">
        <f>+[54]P6!$C32</f>
        <v>0</v>
      </c>
      <c r="O26" s="1276">
        <f>+[55]P6!$C32</f>
        <v>12</v>
      </c>
      <c r="P26" s="1276">
        <f>+[56]P6!$C32</f>
        <v>2</v>
      </c>
      <c r="Q26" s="1276">
        <f>+[57]P6!$C32</f>
        <v>33</v>
      </c>
      <c r="R26" s="1276">
        <f>+[58]P6!$C32</f>
        <v>21</v>
      </c>
      <c r="S26" s="1276">
        <f>+[59]P6!$C32</f>
        <v>32</v>
      </c>
      <c r="T26" s="1276">
        <f>+[60]P6!$C32</f>
        <v>2</v>
      </c>
      <c r="U26" s="1276">
        <f>+[61]P6!$C84</f>
        <v>34</v>
      </c>
      <c r="V26" s="1276">
        <f>+[62]P6!$C84</f>
        <v>66</v>
      </c>
      <c r="W26" s="1253">
        <f t="shared" si="1"/>
        <v>912</v>
      </c>
      <c r="Z26" s="337"/>
    </row>
    <row r="27" spans="1:26" s="6" customFormat="1" ht="18.75" customHeight="1">
      <c r="A27" s="247" t="s">
        <v>1594</v>
      </c>
      <c r="B27" s="1276">
        <f>+[42]P6!$C33</f>
        <v>1</v>
      </c>
      <c r="C27" s="1276">
        <f>+[43]P6!$C33</f>
        <v>0</v>
      </c>
      <c r="D27" s="1276">
        <f>+[44]P6!$C33</f>
        <v>5</v>
      </c>
      <c r="E27" s="1276">
        <f>+[45]P6!$C33</f>
        <v>3</v>
      </c>
      <c r="F27" s="1276">
        <f>+[46]P6!$C33</f>
        <v>0</v>
      </c>
      <c r="G27" s="1276">
        <f>+[47]P6!$C33</f>
        <v>4</v>
      </c>
      <c r="H27" s="1276">
        <f>+[48]P6!$C33</f>
        <v>1</v>
      </c>
      <c r="I27" s="1276">
        <f>+[49]P6!$C33</f>
        <v>4</v>
      </c>
      <c r="J27" s="1276">
        <f>+[50]P6!$C33</f>
        <v>8</v>
      </c>
      <c r="K27" s="1276">
        <f>+[51]P6!$C33</f>
        <v>0</v>
      </c>
      <c r="L27" s="1276">
        <f>+[52]P6!$C33</f>
        <v>0</v>
      </c>
      <c r="M27" s="1276">
        <f>+[53]P6!$C33</f>
        <v>4</v>
      </c>
      <c r="N27" s="1276">
        <f>+[54]P6!$C33</f>
        <v>0</v>
      </c>
      <c r="O27" s="1276">
        <f>+[55]P6!$C33</f>
        <v>2</v>
      </c>
      <c r="P27" s="1276">
        <f>+[56]P6!$C33</f>
        <v>0</v>
      </c>
      <c r="Q27" s="1276">
        <f>+[57]P6!$C33</f>
        <v>3</v>
      </c>
      <c r="R27" s="1276">
        <f>+[58]P6!$C33</f>
        <v>9</v>
      </c>
      <c r="S27" s="1276">
        <f>+[59]P6!$C33</f>
        <v>0</v>
      </c>
      <c r="T27" s="1276">
        <f>+[60]P6!$C33</f>
        <v>0</v>
      </c>
      <c r="U27" s="1276">
        <f>+[61]P6!$C85</f>
        <v>6</v>
      </c>
      <c r="V27" s="1276">
        <f>+[62]P6!$C85</f>
        <v>0</v>
      </c>
      <c r="W27" s="1253">
        <f t="shared" si="1"/>
        <v>50</v>
      </c>
      <c r="Z27" s="337"/>
    </row>
    <row r="28" spans="1:26" s="6" customFormat="1" ht="18.75" customHeight="1">
      <c r="A28" s="247" t="s">
        <v>1595</v>
      </c>
      <c r="B28" s="1276">
        <f>+[42]P6!$C34</f>
        <v>10</v>
      </c>
      <c r="C28" s="1276">
        <f>+[43]P6!$C34</f>
        <v>12</v>
      </c>
      <c r="D28" s="1276">
        <f>+[44]P6!$C34</f>
        <v>6</v>
      </c>
      <c r="E28" s="1276">
        <f>+[45]P6!$C34</f>
        <v>0</v>
      </c>
      <c r="F28" s="1276">
        <f>+[46]P6!$C34</f>
        <v>0</v>
      </c>
      <c r="G28" s="1276">
        <f>+[47]P6!$C34</f>
        <v>2</v>
      </c>
      <c r="H28" s="1276">
        <f>+[48]P6!$C34</f>
        <v>1</v>
      </c>
      <c r="I28" s="1276">
        <f>+[49]P6!$C34</f>
        <v>4</v>
      </c>
      <c r="J28" s="1276">
        <f>+[50]P6!$C34</f>
        <v>20</v>
      </c>
      <c r="K28" s="1276">
        <f>+[51]P6!$C34</f>
        <v>0</v>
      </c>
      <c r="L28" s="1276">
        <f>+[52]P6!$C34</f>
        <v>0</v>
      </c>
      <c r="M28" s="1276">
        <f>+[53]P6!$C34</f>
        <v>3</v>
      </c>
      <c r="N28" s="1276">
        <f>+[54]P6!$C34</f>
        <v>0</v>
      </c>
      <c r="O28" s="1276">
        <f>+[55]P6!$C34</f>
        <v>0</v>
      </c>
      <c r="P28" s="1276">
        <f>+[56]P6!$C34</f>
        <v>0</v>
      </c>
      <c r="Q28" s="1276">
        <f>+[57]P6!$C34</f>
        <v>0</v>
      </c>
      <c r="R28" s="1276">
        <f>+[58]P6!$C34</f>
        <v>14</v>
      </c>
      <c r="S28" s="1276">
        <f>+[59]P6!$C34</f>
        <v>1</v>
      </c>
      <c r="T28" s="1276">
        <f>+[60]P6!$C34</f>
        <v>0</v>
      </c>
      <c r="U28" s="1276">
        <f>+[61]P6!$C86</f>
        <v>35</v>
      </c>
      <c r="V28" s="1276">
        <f>+[62]P6!$C86</f>
        <v>0</v>
      </c>
      <c r="W28" s="1253">
        <f t="shared" si="1"/>
        <v>108</v>
      </c>
      <c r="Z28" s="337"/>
    </row>
    <row r="29" spans="1:26" s="6" customFormat="1" ht="18.75" customHeight="1">
      <c r="A29" s="247" t="s">
        <v>1596</v>
      </c>
      <c r="B29" s="1276">
        <f>+[42]P6!$C35</f>
        <v>32</v>
      </c>
      <c r="C29" s="1276">
        <f>+[43]P6!$C35</f>
        <v>10</v>
      </c>
      <c r="D29" s="1276">
        <f>+[44]P6!$C35</f>
        <v>23</v>
      </c>
      <c r="E29" s="1276">
        <f>+[45]P6!$C35</f>
        <v>62</v>
      </c>
      <c r="F29" s="1276">
        <f>+[46]P6!$C35</f>
        <v>0</v>
      </c>
      <c r="G29" s="1276">
        <f>+[47]P6!$C35</f>
        <v>29</v>
      </c>
      <c r="H29" s="1276">
        <f>+[48]P6!$C35</f>
        <v>10</v>
      </c>
      <c r="I29" s="1276">
        <f>+[49]P6!$C35</f>
        <v>42</v>
      </c>
      <c r="J29" s="1276">
        <f>+[50]P6!$C35</f>
        <v>55</v>
      </c>
      <c r="K29" s="1276">
        <f>+[51]P6!$C35</f>
        <v>9</v>
      </c>
      <c r="L29" s="1276">
        <f>+[52]P6!$C35</f>
        <v>18</v>
      </c>
      <c r="M29" s="1276">
        <f>+[53]P6!$C35</f>
        <v>18</v>
      </c>
      <c r="N29" s="1276">
        <f>+[54]P6!$C35</f>
        <v>0</v>
      </c>
      <c r="O29" s="1276">
        <f>+[55]P6!$C35</f>
        <v>9</v>
      </c>
      <c r="P29" s="1276">
        <f>+[56]P6!$C35</f>
        <v>2</v>
      </c>
      <c r="Q29" s="1276">
        <f>+[57]P6!$C35</f>
        <v>3</v>
      </c>
      <c r="R29" s="1276">
        <f>+[58]P6!$C35</f>
        <v>46</v>
      </c>
      <c r="S29" s="1276">
        <f>+[59]P6!$C35</f>
        <v>24</v>
      </c>
      <c r="T29" s="1276">
        <f>+[60]P6!$C35</f>
        <v>2</v>
      </c>
      <c r="U29" s="1276">
        <f>+[61]P6!$C87</f>
        <v>2</v>
      </c>
      <c r="V29" s="1276">
        <f>+[62]P6!$C87</f>
        <v>0</v>
      </c>
      <c r="W29" s="1253">
        <f t="shared" si="1"/>
        <v>396</v>
      </c>
      <c r="Z29" s="337"/>
    </row>
    <row r="30" spans="1:26" s="6" customFormat="1" ht="18.75" customHeight="1">
      <c r="A30" s="247" t="s">
        <v>1597</v>
      </c>
      <c r="B30" s="1276">
        <f>+[42]P6!$C36</f>
        <v>0</v>
      </c>
      <c r="C30" s="1276">
        <f>+[43]P6!$C36</f>
        <v>1</v>
      </c>
      <c r="D30" s="1276">
        <f>+[44]P6!$C36</f>
        <v>0</v>
      </c>
      <c r="E30" s="1276">
        <f>+[45]P6!$C36</f>
        <v>2</v>
      </c>
      <c r="F30" s="1276">
        <f>+[46]P6!$C36</f>
        <v>1</v>
      </c>
      <c r="G30" s="1276">
        <f>+[47]P6!$C36</f>
        <v>0</v>
      </c>
      <c r="H30" s="1276">
        <f>+[48]P6!$C36</f>
        <v>0</v>
      </c>
      <c r="I30" s="1276">
        <f>+[49]P6!$C36</f>
        <v>0</v>
      </c>
      <c r="J30" s="1276">
        <f>+[50]P6!$C36</f>
        <v>2</v>
      </c>
      <c r="K30" s="1276">
        <f>+[51]P6!$C36</f>
        <v>0</v>
      </c>
      <c r="L30" s="1276">
        <f>+[52]P6!$C36</f>
        <v>0</v>
      </c>
      <c r="M30" s="1276">
        <f>+[53]P6!$C36</f>
        <v>0</v>
      </c>
      <c r="N30" s="1276">
        <f>+[54]P6!$C36</f>
        <v>0</v>
      </c>
      <c r="O30" s="1276">
        <f>+[55]P6!$C36</f>
        <v>0</v>
      </c>
      <c r="P30" s="1276">
        <f>+[56]P6!$C36</f>
        <v>0</v>
      </c>
      <c r="Q30" s="1276">
        <f>+[57]P6!$C36</f>
        <v>1</v>
      </c>
      <c r="R30" s="1276">
        <f>+[58]P6!$C36</f>
        <v>2</v>
      </c>
      <c r="S30" s="1276">
        <f>+[59]P6!$C36</f>
        <v>0</v>
      </c>
      <c r="T30" s="1276">
        <f>+[60]P6!$C36</f>
        <v>0</v>
      </c>
      <c r="U30" s="1276">
        <f>+[61]P6!$C88</f>
        <v>0</v>
      </c>
      <c r="V30" s="1276">
        <f>+[62]P6!$C88</f>
        <v>2</v>
      </c>
      <c r="W30" s="1253">
        <f t="shared" si="1"/>
        <v>11</v>
      </c>
      <c r="Z30" s="337"/>
    </row>
    <row r="31" spans="1:26" s="6" customFormat="1" ht="18.75" customHeight="1">
      <c r="A31" s="247" t="s">
        <v>1598</v>
      </c>
      <c r="B31" s="1276">
        <f>+[42]P6!$C37</f>
        <v>24</v>
      </c>
      <c r="C31" s="1276">
        <f>+[43]P6!$C37</f>
        <v>15</v>
      </c>
      <c r="D31" s="1276">
        <f>+[44]P6!$C37</f>
        <v>41</v>
      </c>
      <c r="E31" s="1276">
        <f>+[45]P6!$C37</f>
        <v>30</v>
      </c>
      <c r="F31" s="1276">
        <f>+[46]P6!$C37</f>
        <v>5</v>
      </c>
      <c r="G31" s="1276">
        <f>+[47]P6!$C37</f>
        <v>12</v>
      </c>
      <c r="H31" s="1276">
        <f>+[48]P6!$C37</f>
        <v>8</v>
      </c>
      <c r="I31" s="1276">
        <f>+[49]P6!$C37</f>
        <v>39</v>
      </c>
      <c r="J31" s="1276">
        <f>+[50]P6!$C37</f>
        <v>20</v>
      </c>
      <c r="K31" s="1276">
        <f>+[51]P6!$C37</f>
        <v>0</v>
      </c>
      <c r="L31" s="1276">
        <f>+[52]P6!$C37</f>
        <v>50</v>
      </c>
      <c r="M31" s="1276">
        <f>+[53]P6!$C37</f>
        <v>46</v>
      </c>
      <c r="N31" s="1276">
        <f>+[54]P6!$C37</f>
        <v>1</v>
      </c>
      <c r="O31" s="1276">
        <f>+[55]P6!$C37</f>
        <v>11</v>
      </c>
      <c r="P31" s="1276">
        <f>+[56]P6!$C37</f>
        <v>2</v>
      </c>
      <c r="Q31" s="1276">
        <f>+[57]P6!$C37</f>
        <v>0</v>
      </c>
      <c r="R31" s="1276">
        <f>+[58]P6!$C37</f>
        <v>110</v>
      </c>
      <c r="S31" s="1276">
        <f>+[59]P6!$C37</f>
        <v>17</v>
      </c>
      <c r="T31" s="1276">
        <f>+[60]P6!$C37</f>
        <v>2</v>
      </c>
      <c r="U31" s="1276">
        <f>+[61]P6!$C89</f>
        <v>45</v>
      </c>
      <c r="V31" s="1276">
        <f>+[62]P6!$C89</f>
        <v>0</v>
      </c>
      <c r="W31" s="1253">
        <f t="shared" si="1"/>
        <v>478</v>
      </c>
      <c r="Z31" s="337"/>
    </row>
    <row r="32" spans="1:26" s="6" customFormat="1" ht="18.75" customHeight="1">
      <c r="A32" s="247" t="s">
        <v>1599</v>
      </c>
      <c r="B32" s="1276">
        <f>+[42]P6!$C38</f>
        <v>309</v>
      </c>
      <c r="C32" s="1276">
        <f>+[43]P6!$C38</f>
        <v>45</v>
      </c>
      <c r="D32" s="1276">
        <f>+[44]P6!$C38</f>
        <v>581</v>
      </c>
      <c r="E32" s="1276">
        <f>+[45]P6!$C38</f>
        <v>322</v>
      </c>
      <c r="F32" s="1276">
        <f>+[46]P6!$C38</f>
        <v>6</v>
      </c>
      <c r="G32" s="1276">
        <f>+[47]P6!$C38</f>
        <v>144</v>
      </c>
      <c r="H32" s="1276">
        <f>+[48]P6!$C38</f>
        <v>186</v>
      </c>
      <c r="I32" s="1276">
        <f>+[49]P6!$C38</f>
        <v>518</v>
      </c>
      <c r="J32" s="1276">
        <f>+[50]P6!$C38</f>
        <v>530</v>
      </c>
      <c r="K32" s="1276">
        <f>+[51]P6!$C38</f>
        <v>106</v>
      </c>
      <c r="L32" s="1276">
        <f>+[52]P6!$C38</f>
        <v>32</v>
      </c>
      <c r="M32" s="1276">
        <f>+[53]P6!$C38</f>
        <v>191</v>
      </c>
      <c r="N32" s="1276">
        <f>+[54]P6!$C38</f>
        <v>45</v>
      </c>
      <c r="O32" s="1276">
        <f>+[55]P6!$C38</f>
        <v>85</v>
      </c>
      <c r="P32" s="1276">
        <f>+[56]P6!$C38</f>
        <v>19</v>
      </c>
      <c r="Q32" s="1276">
        <f>+[57]P6!$C38</f>
        <v>125</v>
      </c>
      <c r="R32" s="1276">
        <f>+[58]P6!$C38</f>
        <v>138</v>
      </c>
      <c r="S32" s="1276">
        <f>+[59]P6!$C38</f>
        <v>172</v>
      </c>
      <c r="T32" s="1276">
        <f>+[60]P6!$C38</f>
        <v>29</v>
      </c>
      <c r="U32" s="1276">
        <f>+[61]P6!$C90</f>
        <v>62</v>
      </c>
      <c r="V32" s="1276">
        <f>+[62]P6!$C90</f>
        <v>113</v>
      </c>
      <c r="W32" s="1253">
        <f t="shared" si="1"/>
        <v>3758</v>
      </c>
      <c r="Z32" s="337"/>
    </row>
    <row r="33" spans="1:26" s="6" customFormat="1" ht="18.75" customHeight="1">
      <c r="A33" s="1454" t="s">
        <v>1565</v>
      </c>
      <c r="B33" s="1276">
        <f>+[42]P6!$C39</f>
        <v>3</v>
      </c>
      <c r="C33" s="1276">
        <f>+[43]P6!$C39</f>
        <v>3</v>
      </c>
      <c r="D33" s="1276">
        <f>+[44]P6!$C39</f>
        <v>2</v>
      </c>
      <c r="E33" s="1276">
        <f>+[45]P6!$C39</f>
        <v>0</v>
      </c>
      <c r="F33" s="1276">
        <f>+[46]P6!$C39</f>
        <v>0</v>
      </c>
      <c r="G33" s="1276">
        <f>+[47]P6!$C39</f>
        <v>4</v>
      </c>
      <c r="H33" s="1276">
        <f>+[48]P6!$C39</f>
        <v>0</v>
      </c>
      <c r="I33" s="1276">
        <f>+[49]P6!$C39</f>
        <v>20</v>
      </c>
      <c r="J33" s="1276">
        <f>+[50]P6!$C39</f>
        <v>8</v>
      </c>
      <c r="K33" s="1276">
        <f>+[51]P6!$C39</f>
        <v>9</v>
      </c>
      <c r="L33" s="1276">
        <f>+[52]P6!$C39</f>
        <v>6</v>
      </c>
      <c r="M33" s="1276">
        <f>+[53]P6!$C39</f>
        <v>9</v>
      </c>
      <c r="N33" s="1276">
        <f>+[54]P6!$C39</f>
        <v>0</v>
      </c>
      <c r="O33" s="1276">
        <f>+[55]P6!$C39</f>
        <v>1</v>
      </c>
      <c r="P33" s="1276">
        <f>+[56]P6!$C39</f>
        <v>0</v>
      </c>
      <c r="Q33" s="1276">
        <f>+[57]P6!$C39</f>
        <v>3</v>
      </c>
      <c r="R33" s="1276">
        <f>+[58]P6!$C39</f>
        <v>3</v>
      </c>
      <c r="S33" s="1276">
        <f>+[59]P6!$C39</f>
        <v>6</v>
      </c>
      <c r="T33" s="1276">
        <f>+[60]P6!$C39</f>
        <v>3</v>
      </c>
      <c r="U33" s="1276">
        <f>+[61]P6!$C91</f>
        <v>25</v>
      </c>
      <c r="V33" s="1276">
        <f>+[62]P6!$C91</f>
        <v>155</v>
      </c>
      <c r="W33" s="1253">
        <f t="shared" si="1"/>
        <v>260</v>
      </c>
    </row>
    <row r="34" spans="1:26" s="6" customFormat="1" ht="18.75" customHeight="1">
      <c r="A34" s="1454" t="s">
        <v>1566</v>
      </c>
      <c r="B34" s="1276">
        <f>+[42]P6!$C40</f>
        <v>1</v>
      </c>
      <c r="C34" s="1276">
        <f>+[43]P6!$C40</f>
        <v>0</v>
      </c>
      <c r="D34" s="1276">
        <f>+[44]P6!$C40</f>
        <v>5</v>
      </c>
      <c r="E34" s="1276">
        <f>+[45]P6!$C40</f>
        <v>13</v>
      </c>
      <c r="F34" s="1276">
        <f>+[46]P6!$C40</f>
        <v>0</v>
      </c>
      <c r="G34" s="1276">
        <f>+[47]P6!$C40</f>
        <v>8</v>
      </c>
      <c r="H34" s="1276">
        <f>+[48]P6!$C40</f>
        <v>3</v>
      </c>
      <c r="I34" s="1276">
        <f>+[49]P6!$C40</f>
        <v>34</v>
      </c>
      <c r="J34" s="1276">
        <f>+[50]P6!$C40</f>
        <v>5</v>
      </c>
      <c r="K34" s="1276">
        <f>+[51]P6!$C40</f>
        <v>0</v>
      </c>
      <c r="L34" s="1276">
        <f>+[52]P6!$C40</f>
        <v>1</v>
      </c>
      <c r="M34" s="1276">
        <f>+[53]P6!$C40</f>
        <v>4</v>
      </c>
      <c r="N34" s="1276">
        <f>+[54]P6!$C40</f>
        <v>1</v>
      </c>
      <c r="O34" s="1276">
        <f>+[55]P6!$C40</f>
        <v>2</v>
      </c>
      <c r="P34" s="1276">
        <f>+[56]P6!$C40</f>
        <v>0</v>
      </c>
      <c r="Q34" s="1276">
        <f>+[57]P6!$C40</f>
        <v>0</v>
      </c>
      <c r="R34" s="1276">
        <f>+[58]P6!$C40</f>
        <v>2</v>
      </c>
      <c r="S34" s="1276">
        <f>+[59]P6!$C40</f>
        <v>1</v>
      </c>
      <c r="T34" s="1276">
        <f>+[60]P6!$C40</f>
        <v>2</v>
      </c>
      <c r="U34" s="1276">
        <f>+[61]P6!$C92</f>
        <v>6</v>
      </c>
      <c r="V34" s="1276">
        <f>+[62]P6!$C92</f>
        <v>41</v>
      </c>
      <c r="W34" s="1253">
        <f t="shared" si="1"/>
        <v>129</v>
      </c>
    </row>
    <row r="35" spans="1:26" s="6" customFormat="1" ht="18.75" customHeight="1">
      <c r="A35" s="1453" t="s">
        <v>1567</v>
      </c>
      <c r="B35" s="1276">
        <f>+[42]P6!$C41</f>
        <v>5</v>
      </c>
      <c r="C35" s="1276">
        <f>+[43]P6!$C41</f>
        <v>0</v>
      </c>
      <c r="D35" s="1276">
        <f>+[44]P6!$C41</f>
        <v>1</v>
      </c>
      <c r="E35" s="1276">
        <f>+[45]P6!$C41</f>
        <v>0</v>
      </c>
      <c r="F35" s="1276">
        <f>+[46]P6!$C41</f>
        <v>0</v>
      </c>
      <c r="G35" s="1276">
        <f>+[47]P6!$C41</f>
        <v>0</v>
      </c>
      <c r="H35" s="1276">
        <f>+[48]P6!$C41</f>
        <v>0</v>
      </c>
      <c r="I35" s="1276">
        <f>+[49]P6!$C41</f>
        <v>6</v>
      </c>
      <c r="J35" s="1276">
        <f>+[50]P6!$C41</f>
        <v>0</v>
      </c>
      <c r="K35" s="1276">
        <f>+[51]P6!$C41</f>
        <v>0</v>
      </c>
      <c r="L35" s="1276">
        <f>+[52]P6!$C41</f>
        <v>0</v>
      </c>
      <c r="M35" s="1276">
        <f>+[53]P6!$C41</f>
        <v>3</v>
      </c>
      <c r="N35" s="1276">
        <f>+[54]P6!$C41</f>
        <v>1</v>
      </c>
      <c r="O35" s="1276">
        <f>+[55]P6!$C41</f>
        <v>0</v>
      </c>
      <c r="P35" s="1276">
        <f>+[56]P6!$C41</f>
        <v>0</v>
      </c>
      <c r="Q35" s="1276">
        <f>+[57]P6!$C41</f>
        <v>0</v>
      </c>
      <c r="R35" s="1276">
        <f>+[58]P6!$C41</f>
        <v>0</v>
      </c>
      <c r="S35" s="1276">
        <f>+[59]P6!$C41</f>
        <v>2</v>
      </c>
      <c r="T35" s="1276">
        <f>+[60]P6!$C41</f>
        <v>0</v>
      </c>
      <c r="U35" s="1276">
        <f>+[61]P6!$C93</f>
        <v>18</v>
      </c>
      <c r="V35" s="1276">
        <f>+[62]P6!$C93</f>
        <v>37</v>
      </c>
      <c r="W35" s="1253">
        <f t="shared" si="1"/>
        <v>73</v>
      </c>
    </row>
    <row r="36" spans="1:26" s="6" customFormat="1" ht="18.75" customHeight="1">
      <c r="A36" s="465" t="s">
        <v>1</v>
      </c>
      <c r="B36" s="1276">
        <f>+[42]P6!$C42</f>
        <v>1</v>
      </c>
      <c r="C36" s="1276">
        <f>+[43]P6!$C42</f>
        <v>1</v>
      </c>
      <c r="D36" s="1276">
        <f>+[44]P6!$C42</f>
        <v>0</v>
      </c>
      <c r="E36" s="1276">
        <f>+[45]P6!$C42</f>
        <v>2</v>
      </c>
      <c r="F36" s="1276">
        <f>+[46]P6!$C42</f>
        <v>0</v>
      </c>
      <c r="G36" s="1276">
        <f>+[47]P6!$C42</f>
        <v>0</v>
      </c>
      <c r="H36" s="1276">
        <f>+[48]P6!$C42</f>
        <v>1</v>
      </c>
      <c r="I36" s="1276">
        <f>+[49]P6!$C42</f>
        <v>0</v>
      </c>
      <c r="J36" s="1276">
        <f>+[50]P6!$C42</f>
        <v>0</v>
      </c>
      <c r="K36" s="1276">
        <f>+[51]P6!$C42</f>
        <v>0</v>
      </c>
      <c r="L36" s="1276">
        <f>+[52]P6!$C42</f>
        <v>1</v>
      </c>
      <c r="M36" s="1276">
        <f>+[53]P6!$C42</f>
        <v>1</v>
      </c>
      <c r="N36" s="1276">
        <f>+[54]P6!$C42</f>
        <v>0</v>
      </c>
      <c r="O36" s="1276">
        <f>+[55]P6!$C42</f>
        <v>1</v>
      </c>
      <c r="P36" s="1276">
        <f>+[56]P6!$C42</f>
        <v>0</v>
      </c>
      <c r="Q36" s="1276">
        <f>+[57]P6!$C42</f>
        <v>0</v>
      </c>
      <c r="R36" s="1276">
        <f>+[58]P6!$C42</f>
        <v>5</v>
      </c>
      <c r="S36" s="1276">
        <f>+[59]P6!$C42</f>
        <v>14</v>
      </c>
      <c r="T36" s="1276">
        <f>+[60]P6!$C42</f>
        <v>0</v>
      </c>
      <c r="U36" s="1276">
        <f>+[61]P6!$C94</f>
        <v>184</v>
      </c>
      <c r="V36" s="1276">
        <f>+[62]P6!$C94</f>
        <v>124</v>
      </c>
      <c r="W36" s="1253">
        <f t="shared" si="1"/>
        <v>335</v>
      </c>
    </row>
    <row r="37" spans="1:26" s="6" customFormat="1" ht="18.75" customHeight="1">
      <c r="A37" s="465" t="s">
        <v>287</v>
      </c>
      <c r="B37" s="1276">
        <f>+[42]P6!$C43</f>
        <v>0</v>
      </c>
      <c r="C37" s="1276">
        <f>+[43]P6!$C43</f>
        <v>0</v>
      </c>
      <c r="D37" s="1276">
        <f>+[44]P6!$C43</f>
        <v>1</v>
      </c>
      <c r="E37" s="1276">
        <f>+[45]P6!$C43</f>
        <v>0</v>
      </c>
      <c r="F37" s="1276">
        <f>+[46]P6!$C43</f>
        <v>0</v>
      </c>
      <c r="G37" s="1276">
        <f>+[47]P6!$C43</f>
        <v>0</v>
      </c>
      <c r="H37" s="1276">
        <f>+[48]P6!$C43</f>
        <v>0</v>
      </c>
      <c r="I37" s="1276">
        <f>+[49]P6!$C43</f>
        <v>0</v>
      </c>
      <c r="J37" s="1276">
        <f>+[50]P6!$C43</f>
        <v>0</v>
      </c>
      <c r="K37" s="1276">
        <f>+[51]P6!$C43</f>
        <v>0</v>
      </c>
      <c r="L37" s="1276">
        <f>+[52]P6!$C43</f>
        <v>0</v>
      </c>
      <c r="M37" s="1276">
        <f>+[53]P6!$C43</f>
        <v>0</v>
      </c>
      <c r="N37" s="1276">
        <f>+[54]P6!$C43</f>
        <v>0</v>
      </c>
      <c r="O37" s="1276">
        <f>+[55]P6!$C43</f>
        <v>0</v>
      </c>
      <c r="P37" s="1276">
        <f>+[56]P6!$C43</f>
        <v>0</v>
      </c>
      <c r="Q37" s="1276">
        <f>+[57]P6!$C43</f>
        <v>0</v>
      </c>
      <c r="R37" s="1276">
        <f>+[58]P6!$C43</f>
        <v>0</v>
      </c>
      <c r="S37" s="1276">
        <f>+[59]P6!$C43</f>
        <v>0</v>
      </c>
      <c r="T37" s="1276">
        <f>+[60]P6!$C43</f>
        <v>0</v>
      </c>
      <c r="U37" s="1276">
        <f>+[61]P6!$C95</f>
        <v>0</v>
      </c>
      <c r="V37" s="1276">
        <f>+[62]P6!$C95</f>
        <v>0</v>
      </c>
      <c r="W37" s="1253">
        <f t="shared" si="1"/>
        <v>1</v>
      </c>
    </row>
    <row r="38" spans="1:26" s="6" customFormat="1" ht="18.75" customHeight="1">
      <c r="A38" s="465" t="s">
        <v>2</v>
      </c>
      <c r="B38" s="1276">
        <f>+[42]P6!$C44</f>
        <v>2</v>
      </c>
      <c r="C38" s="1276">
        <f>+[43]P6!$C44</f>
        <v>1</v>
      </c>
      <c r="D38" s="1276">
        <f>+[44]P6!$C44</f>
        <v>6</v>
      </c>
      <c r="E38" s="1276">
        <f>+[45]P6!$C44</f>
        <v>2</v>
      </c>
      <c r="F38" s="1276">
        <f>+[46]P6!$C44</f>
        <v>0</v>
      </c>
      <c r="G38" s="1276">
        <f>+[47]P6!$C44</f>
        <v>1</v>
      </c>
      <c r="H38" s="1276">
        <f>+[48]P6!$C44</f>
        <v>0</v>
      </c>
      <c r="I38" s="1276">
        <f>+[49]P6!$C44</f>
        <v>6</v>
      </c>
      <c r="J38" s="1276">
        <f>+[50]P6!$C44</f>
        <v>8</v>
      </c>
      <c r="K38" s="1276">
        <f>+[51]P6!$C44</f>
        <v>6</v>
      </c>
      <c r="L38" s="1276">
        <f>+[52]P6!$C44</f>
        <v>0</v>
      </c>
      <c r="M38" s="1276">
        <f>+[53]P6!$C44</f>
        <v>0</v>
      </c>
      <c r="N38" s="1276">
        <f>+[54]P6!$C44</f>
        <v>0</v>
      </c>
      <c r="O38" s="1276">
        <f>+[55]P6!$C44</f>
        <v>1</v>
      </c>
      <c r="P38" s="1276">
        <f>+[56]P6!$C44</f>
        <v>0</v>
      </c>
      <c r="Q38" s="1276">
        <f>+[57]P6!$C44</f>
        <v>0</v>
      </c>
      <c r="R38" s="1276">
        <f>+[58]P6!$C44</f>
        <v>2</v>
      </c>
      <c r="S38" s="1276">
        <f>+[59]P6!$C44</f>
        <v>0</v>
      </c>
      <c r="T38" s="1276">
        <f>+[60]P6!$C44</f>
        <v>0</v>
      </c>
      <c r="U38" s="1276">
        <f>+[61]P6!$C96</f>
        <v>3</v>
      </c>
      <c r="V38" s="1276">
        <f>+[62]P6!$C96</f>
        <v>0</v>
      </c>
      <c r="W38" s="1253">
        <f t="shared" si="1"/>
        <v>38</v>
      </c>
    </row>
    <row r="39" spans="1:26" s="6" customFormat="1" ht="18.75" customHeight="1">
      <c r="A39" s="465" t="s">
        <v>3</v>
      </c>
      <c r="B39" s="1276">
        <f>+[42]P6!$C45</f>
        <v>4</v>
      </c>
      <c r="C39" s="1276">
        <f>+[43]P6!$C45</f>
        <v>2</v>
      </c>
      <c r="D39" s="1276">
        <f>+[44]P6!$C45</f>
        <v>23</v>
      </c>
      <c r="E39" s="1276">
        <f>+[45]P6!$C45</f>
        <v>8</v>
      </c>
      <c r="F39" s="1276">
        <f>+[46]P6!$C45</f>
        <v>0</v>
      </c>
      <c r="G39" s="1276">
        <f>+[47]P6!$C45</f>
        <v>1</v>
      </c>
      <c r="H39" s="1276">
        <f>+[48]P6!$C45</f>
        <v>8</v>
      </c>
      <c r="I39" s="1276">
        <f>+[49]P6!$C45</f>
        <v>9</v>
      </c>
      <c r="J39" s="1276">
        <f>+[50]P6!$C45</f>
        <v>12</v>
      </c>
      <c r="K39" s="1276">
        <f>+[51]P6!$C45</f>
        <v>1</v>
      </c>
      <c r="L39" s="1276">
        <f>+[52]P6!$C45</f>
        <v>12</v>
      </c>
      <c r="M39" s="1276">
        <f>+[53]P6!$C45</f>
        <v>9</v>
      </c>
      <c r="N39" s="1276">
        <f>+[54]P6!$C45</f>
        <v>0</v>
      </c>
      <c r="O39" s="1276">
        <f>+[55]P6!$C45</f>
        <v>1</v>
      </c>
      <c r="P39" s="1276">
        <f>+[56]P6!$C45</f>
        <v>0</v>
      </c>
      <c r="Q39" s="1276">
        <f>+[57]P6!$C45</f>
        <v>3</v>
      </c>
      <c r="R39" s="1276">
        <f>+[58]P6!$C45</f>
        <v>7</v>
      </c>
      <c r="S39" s="1276">
        <f>+[59]P6!$C45</f>
        <v>21</v>
      </c>
      <c r="T39" s="1276">
        <f>+[60]P6!$C45</f>
        <v>0</v>
      </c>
      <c r="U39" s="1276">
        <f>+[61]P6!$C97</f>
        <v>68</v>
      </c>
      <c r="V39" s="1276">
        <f>+[62]P6!$C97</f>
        <v>69</v>
      </c>
      <c r="W39" s="1253">
        <f t="shared" si="1"/>
        <v>258</v>
      </c>
    </row>
    <row r="40" spans="1:26" s="6" customFormat="1" ht="18.75" customHeight="1">
      <c r="A40" s="465" t="s">
        <v>4</v>
      </c>
      <c r="B40" s="1276">
        <f>+[42]P6!$C46</f>
        <v>60</v>
      </c>
      <c r="C40" s="1276">
        <f>+[43]P6!$C46</f>
        <v>9</v>
      </c>
      <c r="D40" s="1276">
        <f>+[44]P6!$C46</f>
        <v>65</v>
      </c>
      <c r="E40" s="1276">
        <f>+[45]P6!$C46</f>
        <v>13</v>
      </c>
      <c r="F40" s="1276">
        <f>+[46]P6!$C46</f>
        <v>0</v>
      </c>
      <c r="G40" s="1276">
        <f>+[47]P6!$C46</f>
        <v>10</v>
      </c>
      <c r="H40" s="1276">
        <f>+[48]P6!$C46</f>
        <v>14</v>
      </c>
      <c r="I40" s="1276">
        <f>+[49]P6!$C46</f>
        <v>28</v>
      </c>
      <c r="J40" s="1276">
        <f>+[50]P6!$C46</f>
        <v>60</v>
      </c>
      <c r="K40" s="1276">
        <f>+[51]P6!$C46</f>
        <v>12</v>
      </c>
      <c r="L40" s="1276">
        <f>+[52]P6!$C46</f>
        <v>8</v>
      </c>
      <c r="M40" s="1276">
        <f>+[53]P6!$C46</f>
        <v>29</v>
      </c>
      <c r="N40" s="1276">
        <f>+[54]P6!$C46</f>
        <v>0</v>
      </c>
      <c r="O40" s="1276">
        <f>+[55]P6!$C46</f>
        <v>5</v>
      </c>
      <c r="P40" s="1276">
        <f>+[56]P6!$C46</f>
        <v>5</v>
      </c>
      <c r="Q40" s="1276">
        <f>+[57]P6!$C46</f>
        <v>18</v>
      </c>
      <c r="R40" s="1276">
        <f>+[58]P6!$C46</f>
        <v>28</v>
      </c>
      <c r="S40" s="1276">
        <f>+[59]P6!$C46</f>
        <v>46</v>
      </c>
      <c r="T40" s="1276">
        <f>+[60]P6!$C46</f>
        <v>1</v>
      </c>
      <c r="U40" s="1276">
        <f>+[61]P6!$C98</f>
        <v>155</v>
      </c>
      <c r="V40" s="1276">
        <f>+[62]P6!$C98</f>
        <v>200</v>
      </c>
      <c r="W40" s="1253">
        <f t="shared" si="1"/>
        <v>766</v>
      </c>
      <c r="Z40" s="337"/>
    </row>
    <row r="41" spans="1:26" s="6" customFormat="1" ht="18.75" customHeight="1">
      <c r="A41" s="465" t="s">
        <v>5</v>
      </c>
      <c r="B41" s="1276">
        <f>+[42]P6!$C47</f>
        <v>10</v>
      </c>
      <c r="C41" s="1276">
        <f>+[43]P6!$C47</f>
        <v>3</v>
      </c>
      <c r="D41" s="1276">
        <f>+[44]P6!$C47</f>
        <v>9</v>
      </c>
      <c r="E41" s="1276">
        <f>+[45]P6!$C47</f>
        <v>1</v>
      </c>
      <c r="F41" s="1276">
        <f>+[46]P6!$C47</f>
        <v>0</v>
      </c>
      <c r="G41" s="1276">
        <f>+[47]P6!$C47</f>
        <v>3</v>
      </c>
      <c r="H41" s="1276">
        <f>+[48]P6!$C47</f>
        <v>0</v>
      </c>
      <c r="I41" s="1276">
        <f>+[49]P6!$C47</f>
        <v>4</v>
      </c>
      <c r="J41" s="1276">
        <f>+[50]P6!$C47</f>
        <v>12</v>
      </c>
      <c r="K41" s="1276">
        <f>+[51]P6!$C47</f>
        <v>0</v>
      </c>
      <c r="L41" s="1276">
        <f>+[52]P6!$C47</f>
        <v>3</v>
      </c>
      <c r="M41" s="1276">
        <f>+[53]P6!$C47</f>
        <v>3</v>
      </c>
      <c r="N41" s="1276">
        <f>+[54]P6!$C47</f>
        <v>0</v>
      </c>
      <c r="O41" s="1276">
        <f>+[55]P6!$C47</f>
        <v>0</v>
      </c>
      <c r="P41" s="1276">
        <f>+[56]P6!$C47</f>
        <v>0</v>
      </c>
      <c r="Q41" s="1276">
        <f>+[57]P6!$C47</f>
        <v>1</v>
      </c>
      <c r="R41" s="1276">
        <f>+[58]P6!$C47</f>
        <v>3</v>
      </c>
      <c r="S41" s="1276">
        <f>+[59]P6!$C47</f>
        <v>0</v>
      </c>
      <c r="T41" s="1276">
        <f>+[60]P6!$C47</f>
        <v>0</v>
      </c>
      <c r="U41" s="1276">
        <f>+[61]P6!$C99</f>
        <v>44</v>
      </c>
      <c r="V41" s="1276">
        <f>+[62]P6!$C99</f>
        <v>39</v>
      </c>
      <c r="W41" s="1253">
        <f t="shared" si="1"/>
        <v>135</v>
      </c>
    </row>
    <row r="42" spans="1:26" s="6" customFormat="1" ht="18.75" customHeight="1">
      <c r="A42" s="465" t="s">
        <v>1600</v>
      </c>
      <c r="B42" s="1276">
        <f>+[42]P6!$C48</f>
        <v>0</v>
      </c>
      <c r="C42" s="1276">
        <f>+[43]P6!$C48</f>
        <v>0</v>
      </c>
      <c r="D42" s="1276">
        <f>+[44]P6!$C48</f>
        <v>2</v>
      </c>
      <c r="E42" s="1276">
        <f>+[45]P6!$C48</f>
        <v>27</v>
      </c>
      <c r="F42" s="1276">
        <f>+[46]P6!$C48</f>
        <v>0</v>
      </c>
      <c r="G42" s="1276">
        <f>+[47]P6!$C48</f>
        <v>3</v>
      </c>
      <c r="H42" s="1276">
        <f>+[48]P6!$C48</f>
        <v>0</v>
      </c>
      <c r="I42" s="1276">
        <f>+[49]P6!$C48</f>
        <v>0</v>
      </c>
      <c r="J42" s="1276">
        <f>+[50]P6!$C48</f>
        <v>10</v>
      </c>
      <c r="K42" s="1276">
        <f>+[51]P6!$C48</f>
        <v>0</v>
      </c>
      <c r="L42" s="1276">
        <f>+[52]P6!$C48</f>
        <v>0</v>
      </c>
      <c r="M42" s="1276">
        <f>+[53]P6!$C48</f>
        <v>1</v>
      </c>
      <c r="N42" s="1276">
        <f>+[54]P6!$C48</f>
        <v>0</v>
      </c>
      <c r="O42" s="1276">
        <f>+[55]P6!$C48</f>
        <v>0</v>
      </c>
      <c r="P42" s="1276">
        <f>+[56]P6!$C48</f>
        <v>0</v>
      </c>
      <c r="Q42" s="1276">
        <f>+[57]P6!$C48</f>
        <v>0</v>
      </c>
      <c r="R42" s="1276">
        <f>+[58]P6!$C48</f>
        <v>1</v>
      </c>
      <c r="S42" s="1276">
        <f>+[59]P6!$C48</f>
        <v>0</v>
      </c>
      <c r="T42" s="1276">
        <f>+[60]P6!$C48</f>
        <v>0</v>
      </c>
      <c r="U42" s="1276">
        <f>+[61]P6!$C100</f>
        <v>6</v>
      </c>
      <c r="V42" s="1276">
        <f>+[62]P6!$C100</f>
        <v>0</v>
      </c>
      <c r="W42" s="1253">
        <f t="shared" si="1"/>
        <v>50</v>
      </c>
    </row>
    <row r="43" spans="1:26" s="6" customFormat="1" ht="18.75" customHeight="1">
      <c r="A43" s="247" t="s">
        <v>481</v>
      </c>
      <c r="B43" s="1276">
        <f>+[42]P6!$C49</f>
        <v>147</v>
      </c>
      <c r="C43" s="1276">
        <f>+[43]P6!$C49</f>
        <v>6</v>
      </c>
      <c r="D43" s="1276">
        <f>+[44]P6!$C49</f>
        <v>23</v>
      </c>
      <c r="E43" s="1276">
        <f>+[45]P6!$C49</f>
        <v>147</v>
      </c>
      <c r="F43" s="1276">
        <f>+[46]P6!$C49</f>
        <v>6</v>
      </c>
      <c r="G43" s="1276">
        <f>+[47]P6!$C49</f>
        <v>65</v>
      </c>
      <c r="H43" s="1276">
        <f>+[48]P6!$C49</f>
        <v>8</v>
      </c>
      <c r="I43" s="1276">
        <f>+[49]P6!$C49</f>
        <v>196</v>
      </c>
      <c r="J43" s="1276">
        <f>+[50]P6!$C49</f>
        <v>46</v>
      </c>
      <c r="K43" s="1276">
        <f>+[51]P6!$C49</f>
        <v>7</v>
      </c>
      <c r="L43" s="1276">
        <f>+[52]P6!$C49</f>
        <v>138</v>
      </c>
      <c r="M43" s="1276">
        <f>+[53]P6!$C49</f>
        <v>118</v>
      </c>
      <c r="N43" s="1276">
        <f>+[54]P6!$C49</f>
        <v>4</v>
      </c>
      <c r="O43" s="1276">
        <f>+[55]P6!$C49</f>
        <v>78</v>
      </c>
      <c r="P43" s="1276">
        <f>+[56]P6!$C49</f>
        <v>2</v>
      </c>
      <c r="Q43" s="1276">
        <f>+[57]P6!$C49</f>
        <v>94</v>
      </c>
      <c r="R43" s="1276">
        <f>+[58]P6!$C49</f>
        <v>87</v>
      </c>
      <c r="S43" s="1276">
        <f>+[59]P6!$C49</f>
        <v>43</v>
      </c>
      <c r="T43" s="1276">
        <f>+[60]P6!$C49</f>
        <v>1</v>
      </c>
      <c r="U43" s="1276">
        <f>+[61]P6!$C101</f>
        <v>21</v>
      </c>
      <c r="V43" s="1276">
        <f>+[62]P6!$C101</f>
        <v>27</v>
      </c>
      <c r="W43" s="1253">
        <f t="shared" si="1"/>
        <v>1264</v>
      </c>
    </row>
    <row r="44" spans="1:26" s="6" customFormat="1" ht="18.75" customHeight="1">
      <c r="A44" s="461" t="s">
        <v>740</v>
      </c>
      <c r="B44" s="1254">
        <f>SUM(B15:B43)</f>
        <v>1183</v>
      </c>
      <c r="C44" s="1254">
        <f t="shared" ref="C44:V44" si="2">SUM(C15:C43)</f>
        <v>219</v>
      </c>
      <c r="D44" s="1254">
        <f t="shared" si="2"/>
        <v>1304</v>
      </c>
      <c r="E44" s="1254">
        <f t="shared" si="2"/>
        <v>1129</v>
      </c>
      <c r="F44" s="1254">
        <f t="shared" si="2"/>
        <v>38</v>
      </c>
      <c r="G44" s="1254">
        <f t="shared" si="2"/>
        <v>439</v>
      </c>
      <c r="H44" s="1254">
        <f t="shared" si="2"/>
        <v>402</v>
      </c>
      <c r="I44" s="1254">
        <f t="shared" si="2"/>
        <v>1480</v>
      </c>
      <c r="J44" s="1254">
        <f t="shared" si="2"/>
        <v>1561</v>
      </c>
      <c r="K44" s="1254">
        <f t="shared" si="2"/>
        <v>232</v>
      </c>
      <c r="L44" s="1254">
        <f t="shared" si="2"/>
        <v>397</v>
      </c>
      <c r="M44" s="1254">
        <f t="shared" si="2"/>
        <v>664</v>
      </c>
      <c r="N44" s="1254">
        <f t="shared" si="2"/>
        <v>74</v>
      </c>
      <c r="O44" s="1254">
        <f t="shared" si="2"/>
        <v>244</v>
      </c>
      <c r="P44" s="1254">
        <f t="shared" si="2"/>
        <v>36</v>
      </c>
      <c r="Q44" s="1254">
        <f t="shared" si="2"/>
        <v>384</v>
      </c>
      <c r="R44" s="1254">
        <f t="shared" si="2"/>
        <v>914</v>
      </c>
      <c r="S44" s="1254">
        <f t="shared" si="2"/>
        <v>495</v>
      </c>
      <c r="T44" s="1254">
        <f t="shared" si="2"/>
        <v>63</v>
      </c>
      <c r="U44" s="1254">
        <f t="shared" si="2"/>
        <v>1252</v>
      </c>
      <c r="V44" s="1254">
        <f t="shared" si="2"/>
        <v>1367</v>
      </c>
      <c r="W44" s="1255">
        <f t="shared" si="1"/>
        <v>13877</v>
      </c>
    </row>
    <row r="45" spans="1:26">
      <c r="A45" s="300" t="s">
        <v>1593</v>
      </c>
      <c r="B45" s="45"/>
      <c r="C45" s="45"/>
      <c r="D45" s="45"/>
      <c r="E45" s="45"/>
      <c r="F45" s="45"/>
      <c r="G45" s="45"/>
      <c r="H45" s="45"/>
      <c r="I45" s="45"/>
      <c r="J45" s="45"/>
      <c r="K45" s="45"/>
      <c r="L45" s="45"/>
      <c r="M45" s="45"/>
      <c r="N45" s="45"/>
      <c r="O45" s="45"/>
      <c r="P45" s="45"/>
      <c r="Q45" s="45"/>
      <c r="R45" s="45"/>
      <c r="S45" s="45"/>
      <c r="T45" s="45"/>
      <c r="U45" s="45"/>
      <c r="V45" s="45"/>
      <c r="W45" s="325"/>
    </row>
    <row r="46" spans="1:26">
      <c r="A46" s="216"/>
    </row>
    <row r="47" spans="1:26">
      <c r="A47" s="216"/>
    </row>
    <row r="48" spans="1:26">
      <c r="A48" s="216"/>
    </row>
    <row r="49" spans="1:1">
      <c r="A49" s="216"/>
    </row>
    <row r="50" spans="1:1">
      <c r="A50" s="216"/>
    </row>
    <row r="51" spans="1:1">
      <c r="A51" s="216"/>
    </row>
    <row r="52" spans="1:1">
      <c r="A52" s="216"/>
    </row>
    <row r="53" spans="1:1">
      <c r="A53" s="216"/>
    </row>
    <row r="54" spans="1:1">
      <c r="A54" s="216"/>
    </row>
  </sheetData>
  <mergeCells count="4">
    <mergeCell ref="A1:W1"/>
    <mergeCell ref="A2:W2"/>
    <mergeCell ref="A3:W3"/>
    <mergeCell ref="B6:T6"/>
  </mergeCells>
  <phoneticPr fontId="19" type="noConversion"/>
  <dataValidations count="1">
    <dataValidation allowBlank="1" showInputMessage="1" showErrorMessage="1" errorTitle="Error" error="Por favor ingrese números enteros" sqref="A20:A26"/>
  </dataValidations>
  <pageMargins left="0.78740157480314965" right="0.59055118110236227" top="0.59055118110236227" bottom="0.78740157480314965" header="0" footer="0"/>
  <pageSetup paperSize="5" scale="89"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
  <sheetViews>
    <sheetView topLeftCell="A56" zoomScale="75" workbookViewId="0">
      <selection activeCell="A18" sqref="A18"/>
    </sheetView>
  </sheetViews>
  <sheetFormatPr baseColWidth="10" defaultRowHeight="13.2"/>
  <cols>
    <col min="1" max="1" width="47.88671875" customWidth="1"/>
    <col min="2" max="7" width="12.77734375" style="1153" customWidth="1"/>
    <col min="8" max="8" width="11.77734375" customWidth="1"/>
    <col min="9" max="10" width="11" customWidth="1"/>
    <col min="11" max="13" width="9.21875" customWidth="1"/>
    <col min="14" max="14" width="9.77734375" customWidth="1"/>
  </cols>
  <sheetData>
    <row r="1" spans="1:11" ht="24.75" customHeight="1">
      <c r="A1" s="1686" t="s">
        <v>1514</v>
      </c>
      <c r="B1" s="1687"/>
      <c r="C1" s="1687"/>
      <c r="D1" s="1687"/>
      <c r="E1" s="1687"/>
      <c r="F1" s="1687"/>
      <c r="G1" s="1687"/>
      <c r="H1" s="1687"/>
      <c r="I1" s="1687"/>
      <c r="J1" s="1687"/>
      <c r="K1" s="1687"/>
    </row>
    <row r="2" spans="1:11" ht="24.75" customHeight="1">
      <c r="A2" s="1686" t="s">
        <v>1337</v>
      </c>
      <c r="B2" s="1687"/>
      <c r="C2" s="1687"/>
      <c r="D2" s="1687"/>
      <c r="E2" s="1687"/>
      <c r="F2" s="1687"/>
      <c r="G2" s="1687"/>
      <c r="H2" s="1687"/>
      <c r="I2" s="1687"/>
      <c r="J2" s="1687"/>
      <c r="K2" s="1687"/>
    </row>
    <row r="3" spans="1:11" ht="24.75" customHeight="1">
      <c r="A3" s="1156"/>
      <c r="B3" s="1156"/>
      <c r="C3" s="1156"/>
      <c r="D3" s="1156"/>
      <c r="E3" s="1156"/>
      <c r="F3" s="1156"/>
      <c r="G3" s="1156"/>
      <c r="H3" s="1156"/>
    </row>
    <row r="4" spans="1:11" ht="22.5" customHeight="1">
      <c r="A4" s="1155"/>
      <c r="B4" s="1155"/>
      <c r="C4" s="1155"/>
      <c r="D4" s="1155"/>
      <c r="E4" s="1155"/>
      <c r="F4" s="1155"/>
      <c r="G4" s="1245"/>
      <c r="H4" s="1252"/>
    </row>
    <row r="5" spans="1:11" ht="33" customHeight="1">
      <c r="B5" s="1161">
        <v>2011</v>
      </c>
      <c r="C5" s="1161">
        <v>2012</v>
      </c>
      <c r="D5" s="1161">
        <v>2013</v>
      </c>
      <c r="E5" s="1161">
        <v>2014</v>
      </c>
      <c r="F5" s="1161">
        <v>2015</v>
      </c>
      <c r="G5" s="1161">
        <v>2016</v>
      </c>
      <c r="H5" s="1161">
        <v>2017</v>
      </c>
      <c r="I5" s="1161">
        <v>2018</v>
      </c>
      <c r="J5" s="1161">
        <v>2019</v>
      </c>
      <c r="K5" s="1161">
        <v>2020</v>
      </c>
    </row>
    <row r="6" spans="1:11" ht="29.25" customHeight="1">
      <c r="A6" s="6" t="s">
        <v>1332</v>
      </c>
      <c r="B6" s="1157">
        <v>28478</v>
      </c>
      <c r="C6" s="1157">
        <v>30776</v>
      </c>
      <c r="D6" s="1157">
        <v>32019</v>
      </c>
      <c r="E6" s="1157">
        <v>33489</v>
      </c>
      <c r="F6" s="1157">
        <v>34287</v>
      </c>
      <c r="G6" s="1157">
        <v>35370</v>
      </c>
      <c r="H6" s="1157">
        <v>36201</v>
      </c>
      <c r="I6" s="1157">
        <v>36744</v>
      </c>
      <c r="J6" s="1157">
        <v>36491</v>
      </c>
      <c r="K6" s="1157">
        <v>36732</v>
      </c>
    </row>
    <row r="7" spans="1:11" ht="29.25" customHeight="1">
      <c r="A7" s="947" t="s">
        <v>1327</v>
      </c>
      <c r="B7" s="1157">
        <v>24102</v>
      </c>
      <c r="C7" s="1157">
        <v>25827</v>
      </c>
      <c r="D7" s="1157">
        <v>26490</v>
      </c>
      <c r="E7" s="1157">
        <v>27894</v>
      </c>
      <c r="F7" s="1157">
        <v>28536</v>
      </c>
      <c r="G7" s="1157">
        <v>28858</v>
      </c>
      <c r="H7" s="1157">
        <v>29246</v>
      </c>
      <c r="I7" s="1157">
        <v>29298</v>
      </c>
      <c r="J7" s="1157">
        <v>30034</v>
      </c>
      <c r="K7" s="1157">
        <v>29188</v>
      </c>
    </row>
    <row r="8" spans="1:11" ht="29.25" customHeight="1">
      <c r="A8" s="947" t="s">
        <v>1328</v>
      </c>
      <c r="B8" s="1157">
        <v>9055</v>
      </c>
      <c r="C8" s="1157">
        <v>9999</v>
      </c>
      <c r="D8" s="1157">
        <v>10949</v>
      </c>
      <c r="E8" s="1157">
        <v>11993</v>
      </c>
      <c r="F8" s="1157">
        <v>13059</v>
      </c>
      <c r="G8" s="1157">
        <v>13635</v>
      </c>
      <c r="H8" s="1157">
        <v>14378</v>
      </c>
      <c r="I8" s="1157">
        <v>14534</v>
      </c>
      <c r="J8" s="1157">
        <v>16047</v>
      </c>
      <c r="K8" s="1157">
        <v>15019</v>
      </c>
    </row>
    <row r="9" spans="1:11" ht="29.25" customHeight="1">
      <c r="A9" s="947" t="s">
        <v>1329</v>
      </c>
      <c r="B9" s="1157">
        <v>6354</v>
      </c>
      <c r="C9" s="1157">
        <v>7624</v>
      </c>
      <c r="D9" s="1157">
        <v>8694</v>
      </c>
      <c r="E9" s="1157">
        <v>9837</v>
      </c>
      <c r="F9" s="1157">
        <v>10139</v>
      </c>
      <c r="G9" s="1157">
        <v>11213</v>
      </c>
      <c r="H9" s="1157">
        <v>13118</v>
      </c>
      <c r="I9" s="1157">
        <v>11974</v>
      </c>
      <c r="J9" s="1157">
        <v>15091</v>
      </c>
      <c r="K9" s="1157">
        <v>14807</v>
      </c>
    </row>
    <row r="10" spans="1:11" ht="29.25" customHeight="1">
      <c r="A10" s="947" t="s">
        <v>1333</v>
      </c>
      <c r="B10" s="1157">
        <v>3158</v>
      </c>
      <c r="C10" s="1157">
        <v>3603</v>
      </c>
      <c r="D10" s="1157">
        <v>3321</v>
      </c>
      <c r="E10" s="1157">
        <v>4169</v>
      </c>
      <c r="F10" s="1157">
        <v>2349</v>
      </c>
      <c r="G10" s="1157">
        <v>2084</v>
      </c>
      <c r="H10" s="1157">
        <v>2610</v>
      </c>
      <c r="I10" s="1157">
        <v>2293</v>
      </c>
      <c r="J10" s="1157">
        <v>2802</v>
      </c>
      <c r="K10" s="1157">
        <v>2033</v>
      </c>
    </row>
    <row r="11" spans="1:11" ht="29.25" customHeight="1">
      <c r="A11" s="947" t="s">
        <v>1334</v>
      </c>
      <c r="B11" s="1157">
        <v>9115</v>
      </c>
      <c r="C11" s="1157">
        <v>9719</v>
      </c>
      <c r="D11" s="1157">
        <v>10860</v>
      </c>
      <c r="E11" s="1157">
        <v>11496</v>
      </c>
      <c r="F11" s="1157" t="s">
        <v>1335</v>
      </c>
      <c r="G11" s="1157" t="s">
        <v>1335</v>
      </c>
      <c r="H11" s="1157" t="s">
        <v>1335</v>
      </c>
      <c r="I11" s="1157" t="s">
        <v>1335</v>
      </c>
      <c r="J11" s="1157" t="s">
        <v>1335</v>
      </c>
      <c r="K11" s="1157" t="s">
        <v>1335</v>
      </c>
    </row>
    <row r="12" spans="1:11" ht="29.25" customHeight="1">
      <c r="A12" s="6" t="s">
        <v>1330</v>
      </c>
      <c r="B12" s="1157" t="s">
        <v>1335</v>
      </c>
      <c r="C12" s="1157">
        <v>386</v>
      </c>
      <c r="D12" s="1157">
        <v>458</v>
      </c>
      <c r="E12" s="1157">
        <v>752</v>
      </c>
      <c r="F12" s="1157">
        <v>562</v>
      </c>
      <c r="G12" s="1157">
        <v>870</v>
      </c>
      <c r="H12" s="1157">
        <v>1098</v>
      </c>
      <c r="I12" s="1157">
        <v>1033</v>
      </c>
      <c r="J12" s="1157">
        <v>1440</v>
      </c>
      <c r="K12" s="1157">
        <v>1621</v>
      </c>
    </row>
    <row r="13" spans="1:11" ht="29.25" customHeight="1">
      <c r="A13" s="6" t="s">
        <v>1331</v>
      </c>
      <c r="B13" s="1157" t="s">
        <v>1335</v>
      </c>
      <c r="C13" s="1157">
        <v>640</v>
      </c>
      <c r="D13" s="1157">
        <v>724</v>
      </c>
      <c r="E13" s="1157">
        <v>1110</v>
      </c>
      <c r="F13" s="1157">
        <v>1143</v>
      </c>
      <c r="G13" s="1157">
        <v>1368</v>
      </c>
      <c r="H13" s="1157">
        <v>1349</v>
      </c>
      <c r="I13" s="1157">
        <v>1336</v>
      </c>
      <c r="J13" s="1157">
        <v>1663</v>
      </c>
      <c r="K13" s="1157">
        <v>1601</v>
      </c>
    </row>
    <row r="14" spans="1:11" ht="18.75" customHeight="1">
      <c r="H14" s="1243"/>
      <c r="I14" s="1436"/>
      <c r="J14" s="1490"/>
      <c r="K14" s="1550"/>
    </row>
    <row r="15" spans="1:11" ht="18.75" customHeight="1">
      <c r="A15" s="1159" t="s">
        <v>1336</v>
      </c>
      <c r="B15" s="1160">
        <v>197012</v>
      </c>
      <c r="C15" s="1160">
        <v>200070</v>
      </c>
      <c r="D15" s="1160">
        <v>202925</v>
      </c>
      <c r="E15" s="1160">
        <v>205748</v>
      </c>
      <c r="F15" s="1160">
        <v>208522</v>
      </c>
      <c r="G15" s="1160">
        <v>211317</v>
      </c>
      <c r="H15" s="1160">
        <v>214600</v>
      </c>
      <c r="I15" s="1160">
        <v>218295</v>
      </c>
      <c r="J15" s="1160">
        <v>221930</v>
      </c>
      <c r="K15" s="1160">
        <v>225491</v>
      </c>
    </row>
    <row r="16" spans="1:11" ht="18.75" customHeight="1">
      <c r="A16" s="6"/>
      <c r="B16" s="669"/>
      <c r="C16" s="669"/>
      <c r="D16" s="669"/>
      <c r="E16" s="669"/>
      <c r="F16" s="669"/>
      <c r="G16" s="669"/>
    </row>
    <row r="17" spans="1:11" ht="18.75" customHeight="1">
      <c r="A17" s="1686" t="s">
        <v>1339</v>
      </c>
      <c r="B17" s="1687"/>
      <c r="C17" s="1687"/>
      <c r="D17" s="1687"/>
      <c r="E17" s="1687"/>
      <c r="F17" s="1687"/>
      <c r="G17" s="1687"/>
      <c r="H17" s="1687"/>
      <c r="I17" s="1687"/>
      <c r="J17" s="1687"/>
      <c r="K17" s="1687"/>
    </row>
    <row r="18" spans="1:11" ht="18.75" customHeight="1">
      <c r="A18" s="6"/>
      <c r="B18" s="669"/>
      <c r="C18" s="669"/>
      <c r="D18" s="669"/>
      <c r="E18" s="669"/>
      <c r="F18" s="669"/>
      <c r="G18" s="669"/>
    </row>
    <row r="19" spans="1:11" ht="28.5" customHeight="1">
      <c r="A19" s="6" t="s">
        <v>1332</v>
      </c>
      <c r="B19" s="1158">
        <f>+B6/B$15*100</f>
        <v>14.45495705845329</v>
      </c>
      <c r="C19" s="1158">
        <f t="shared" ref="C19:G19" si="0">+C6/C$15*100</f>
        <v>15.38261608437047</v>
      </c>
      <c r="D19" s="1158">
        <f t="shared" si="0"/>
        <v>15.7787359862018</v>
      </c>
      <c r="E19" s="1158">
        <f t="shared" si="0"/>
        <v>16.276707428504771</v>
      </c>
      <c r="F19" s="1158">
        <f t="shared" si="0"/>
        <v>16.442869337527934</v>
      </c>
      <c r="G19" s="1158">
        <f t="shared" si="0"/>
        <v>16.737886682093727</v>
      </c>
      <c r="H19" s="1158">
        <f t="shared" ref="H19:I19" si="1">+H6/H$15*100</f>
        <v>16.8690587138863</v>
      </c>
      <c r="I19" s="1158">
        <f t="shared" si="1"/>
        <v>16.83226826083969</v>
      </c>
      <c r="J19" s="1158">
        <f t="shared" ref="J19:K19" si="2">+J6/J$15*100</f>
        <v>16.442571982156537</v>
      </c>
      <c r="K19" s="1158">
        <f t="shared" si="2"/>
        <v>16.289785401634653</v>
      </c>
    </row>
    <row r="20" spans="1:11" ht="28.5" customHeight="1">
      <c r="A20" s="947" t="s">
        <v>1327</v>
      </c>
      <c r="B20" s="1158">
        <f t="shared" ref="B20:G24" si="3">+B7/B$15*100</f>
        <v>12.233772562077437</v>
      </c>
      <c r="C20" s="1158">
        <f t="shared" si="3"/>
        <v>12.908981856350277</v>
      </c>
      <c r="D20" s="1158">
        <f t="shared" si="3"/>
        <v>13.054084021190096</v>
      </c>
      <c r="E20" s="1158">
        <f t="shared" si="3"/>
        <v>13.557361432431907</v>
      </c>
      <c r="F20" s="1158">
        <f t="shared" si="3"/>
        <v>13.68488696636326</v>
      </c>
      <c r="G20" s="1158">
        <f t="shared" si="3"/>
        <v>13.65626049962852</v>
      </c>
      <c r="H20" s="1158">
        <f t="shared" ref="H20:I20" si="4">+H7/H$15*100</f>
        <v>13.628145386766077</v>
      </c>
      <c r="I20" s="1158">
        <f t="shared" si="4"/>
        <v>13.421287707001991</v>
      </c>
      <c r="J20" s="1158">
        <f t="shared" ref="J20:K20" si="5">+J7/J$15*100</f>
        <v>13.533096021267967</v>
      </c>
      <c r="K20" s="1158">
        <f t="shared" si="5"/>
        <v>12.944197329383433</v>
      </c>
    </row>
    <row r="21" spans="1:11" ht="28.5" customHeight="1">
      <c r="A21" s="947" t="s">
        <v>1328</v>
      </c>
      <c r="B21" s="1158">
        <f t="shared" si="3"/>
        <v>4.596166730960551</v>
      </c>
      <c r="C21" s="1158">
        <f t="shared" si="3"/>
        <v>4.9977507872244713</v>
      </c>
      <c r="D21" s="1158">
        <f t="shared" si="3"/>
        <v>5.3955895035111494</v>
      </c>
      <c r="E21" s="1158">
        <f t="shared" si="3"/>
        <v>5.8289752512782629</v>
      </c>
      <c r="F21" s="1158">
        <f t="shared" si="3"/>
        <v>6.2626485454772158</v>
      </c>
      <c r="G21" s="1158">
        <f t="shared" si="3"/>
        <v>6.45239143088346</v>
      </c>
      <c r="H21" s="1158">
        <f t="shared" ref="H21:I21" si="6">+H8/H$15*100</f>
        <v>6.6999068033550797</v>
      </c>
      <c r="I21" s="1158">
        <f t="shared" si="6"/>
        <v>6.6579628484390394</v>
      </c>
      <c r="J21" s="1158">
        <f t="shared" ref="J21:K21" si="7">+J8/J$15*100</f>
        <v>7.2306583156851261</v>
      </c>
      <c r="K21" s="1158">
        <f t="shared" si="7"/>
        <v>6.6605762535977036</v>
      </c>
    </row>
    <row r="22" spans="1:11" ht="28.5" customHeight="1">
      <c r="A22" s="947" t="s">
        <v>1329</v>
      </c>
      <c r="B22" s="1158">
        <f t="shared" si="3"/>
        <v>3.2251842527358745</v>
      </c>
      <c r="C22" s="1158">
        <f t="shared" si="3"/>
        <v>3.810666266806618</v>
      </c>
      <c r="D22" s="1158">
        <f t="shared" si="3"/>
        <v>4.2843415054823213</v>
      </c>
      <c r="E22" s="1158">
        <f t="shared" si="3"/>
        <v>4.7810914322374938</v>
      </c>
      <c r="F22" s="1158">
        <f t="shared" si="3"/>
        <v>4.8623166860091498</v>
      </c>
      <c r="G22" s="1158">
        <f t="shared" si="3"/>
        <v>5.3062460663363575</v>
      </c>
      <c r="H22" s="1158">
        <f t="shared" ref="H22:I22" si="8">+H9/H$15*100</f>
        <v>6.1127679403541473</v>
      </c>
      <c r="I22" s="1158">
        <f t="shared" si="8"/>
        <v>5.4852378661902472</v>
      </c>
      <c r="J22" s="1158">
        <f t="shared" ref="J22:K22" si="9">+J9/J$15*100</f>
        <v>6.7998918577929972</v>
      </c>
      <c r="K22" s="1158">
        <f t="shared" si="9"/>
        <v>6.5665591974846009</v>
      </c>
    </row>
    <row r="23" spans="1:11" ht="28.5" customHeight="1">
      <c r="A23" s="947" t="s">
        <v>1333</v>
      </c>
      <c r="B23" s="1158">
        <f t="shared" si="3"/>
        <v>1.6029480437739834</v>
      </c>
      <c r="C23" s="1158">
        <f t="shared" si="3"/>
        <v>1.8008696956065378</v>
      </c>
      <c r="D23" s="1158">
        <f t="shared" si="3"/>
        <v>1.6365652334606382</v>
      </c>
      <c r="E23" s="1158">
        <f t="shared" si="3"/>
        <v>2.026265139879853</v>
      </c>
      <c r="F23" s="1158">
        <f t="shared" si="3"/>
        <v>1.1264998417433174</v>
      </c>
      <c r="G23" s="1158">
        <f t="shared" si="3"/>
        <v>0.98619609401988484</v>
      </c>
      <c r="H23" s="1158">
        <f t="shared" ref="H23:I23" si="10">+H10/H$15*100</f>
        <v>1.2162162162162162</v>
      </c>
      <c r="I23" s="1158">
        <f t="shared" si="10"/>
        <v>1.0504134313658124</v>
      </c>
      <c r="J23" s="1158">
        <f t="shared" ref="J23:K23" si="11">+J10/J$15*100</f>
        <v>1.2625602667507774</v>
      </c>
      <c r="K23" s="1158">
        <f t="shared" si="11"/>
        <v>0.90158808999028783</v>
      </c>
    </row>
    <row r="24" spans="1:11" ht="28.5" customHeight="1">
      <c r="A24" s="947" t="s">
        <v>1334</v>
      </c>
      <c r="B24" s="1158">
        <f t="shared" si="3"/>
        <v>4.6266217286256675</v>
      </c>
      <c r="C24" s="1158">
        <f t="shared" si="3"/>
        <v>4.8577997700804714</v>
      </c>
      <c r="D24" s="1158">
        <f t="shared" si="3"/>
        <v>5.351730935074535</v>
      </c>
      <c r="E24" s="1158">
        <f t="shared" si="3"/>
        <v>5.5874176176682155</v>
      </c>
      <c r="F24" s="1158" t="s">
        <v>1338</v>
      </c>
      <c r="G24" s="1158" t="s">
        <v>1338</v>
      </c>
      <c r="H24" s="1158" t="s">
        <v>1338</v>
      </c>
      <c r="I24" s="1158" t="s">
        <v>1338</v>
      </c>
      <c r="J24" s="1158" t="s">
        <v>1338</v>
      </c>
      <c r="K24" s="1158" t="s">
        <v>1338</v>
      </c>
    </row>
    <row r="25" spans="1:11" ht="28.5" customHeight="1">
      <c r="A25" s="6" t="s">
        <v>1330</v>
      </c>
      <c r="B25" s="1158" t="s">
        <v>1338</v>
      </c>
      <c r="C25" s="1158" t="s">
        <v>1338</v>
      </c>
      <c r="D25" s="1158">
        <f t="shared" ref="D25:G25" si="12">+D12/D$15*100</f>
        <v>0.22569914993224097</v>
      </c>
      <c r="E25" s="1158">
        <f t="shared" si="12"/>
        <v>0.36549565487878377</v>
      </c>
      <c r="F25" s="1158">
        <f t="shared" si="12"/>
        <v>0.26951592637707289</v>
      </c>
      <c r="G25" s="1158">
        <f t="shared" si="12"/>
        <v>0.41170374366473117</v>
      </c>
      <c r="H25" s="1158">
        <f t="shared" ref="H25:I25" si="13">+H12/H$15*100</f>
        <v>0.51164958061509791</v>
      </c>
      <c r="I25" s="1158">
        <f t="shared" si="13"/>
        <v>0.47321285416523512</v>
      </c>
      <c r="J25" s="1158">
        <f t="shared" ref="J25:K25" si="14">+J12/J$15*100</f>
        <v>0.64885324201324734</v>
      </c>
      <c r="K25" s="1158">
        <f t="shared" si="14"/>
        <v>0.71887569792142481</v>
      </c>
    </row>
    <row r="26" spans="1:11" ht="28.5" customHeight="1">
      <c r="A26" s="6" t="s">
        <v>1331</v>
      </c>
      <c r="B26" s="1158" t="s">
        <v>1338</v>
      </c>
      <c r="C26" s="1158" t="s">
        <v>1338</v>
      </c>
      <c r="D26" s="1158">
        <f t="shared" ref="D26:G26" si="15">+D13/D$15*100</f>
        <v>0.35678206233830234</v>
      </c>
      <c r="E26" s="1158">
        <f t="shared" si="15"/>
        <v>0.53949491611097067</v>
      </c>
      <c r="F26" s="1158">
        <f t="shared" si="15"/>
        <v>0.54814360115479421</v>
      </c>
      <c r="G26" s="1158">
        <f t="shared" si="15"/>
        <v>0.64736864521074977</v>
      </c>
      <c r="H26" s="1158">
        <f t="shared" ref="H26:I26" si="16">+H13/H$15*100</f>
        <v>0.62861136999068035</v>
      </c>
      <c r="I26" s="1158">
        <f t="shared" si="16"/>
        <v>0.61201585011108817</v>
      </c>
      <c r="J26" s="1158">
        <f t="shared" ref="J26:K26" si="17">+J13/J$15*100</f>
        <v>0.74933537601946554</v>
      </c>
      <c r="K26" s="1158">
        <f t="shared" si="17"/>
        <v>0.71000616432584895</v>
      </c>
    </row>
    <row r="27" spans="1:11" ht="18.75" customHeight="1">
      <c r="A27" s="6"/>
      <c r="B27" s="669"/>
      <c r="C27" s="669"/>
      <c r="D27" s="669"/>
      <c r="E27" s="669"/>
      <c r="F27" s="669"/>
      <c r="G27" s="669"/>
    </row>
    <row r="28" spans="1:11" ht="18.75" customHeight="1">
      <c r="A28" s="6"/>
      <c r="B28" s="669"/>
      <c r="C28" s="669"/>
      <c r="D28" s="669"/>
      <c r="E28" s="669"/>
      <c r="F28" s="669"/>
      <c r="G28" s="669"/>
    </row>
    <row r="29" spans="1:11" ht="18.75" customHeight="1">
      <c r="A29" s="6"/>
      <c r="B29" s="669"/>
      <c r="C29" s="669"/>
      <c r="D29" s="669"/>
      <c r="E29" s="669"/>
      <c r="F29" s="669"/>
      <c r="G29" s="669"/>
    </row>
    <row r="30" spans="1:11" ht="18.75" customHeight="1">
      <c r="A30" s="6"/>
      <c r="B30" s="669"/>
      <c r="C30" s="669"/>
      <c r="D30" s="669"/>
      <c r="E30" s="669"/>
      <c r="F30" s="669"/>
      <c r="G30" s="669"/>
    </row>
    <row r="31" spans="1:11" ht="18.75" customHeight="1">
      <c r="A31" s="6"/>
      <c r="B31" s="669"/>
      <c r="C31" s="669"/>
      <c r="D31" s="669"/>
      <c r="E31" s="669"/>
      <c r="F31" s="669"/>
      <c r="G31" s="669"/>
    </row>
    <row r="32" spans="1:11" ht="18.75" customHeight="1">
      <c r="A32" s="6"/>
      <c r="B32" s="669"/>
      <c r="C32" s="669"/>
      <c r="D32" s="669"/>
      <c r="E32" s="669"/>
      <c r="F32" s="669"/>
      <c r="G32" s="669"/>
    </row>
    <row r="33" spans="1:7" ht="18.75" customHeight="1">
      <c r="A33" s="6"/>
      <c r="B33" s="669"/>
      <c r="C33" s="669"/>
      <c r="D33" s="669"/>
      <c r="E33" s="669"/>
      <c r="F33" s="669"/>
      <c r="G33" s="669"/>
    </row>
    <row r="34" spans="1:7" ht="18.75" customHeight="1">
      <c r="A34" s="6"/>
      <c r="B34" s="669"/>
      <c r="C34" s="669"/>
      <c r="D34" s="669"/>
      <c r="E34" s="669"/>
      <c r="F34" s="669"/>
      <c r="G34" s="669"/>
    </row>
    <row r="35" spans="1:7" ht="18.75" customHeight="1">
      <c r="A35" s="6"/>
      <c r="B35" s="669"/>
      <c r="C35" s="669"/>
      <c r="D35" s="669"/>
      <c r="E35" s="669"/>
      <c r="F35" s="669"/>
      <c r="G35" s="669"/>
    </row>
    <row r="36" spans="1:7" ht="18.75" customHeight="1"/>
    <row r="37" spans="1:7" ht="18.75" customHeight="1"/>
    <row r="48" spans="1:7">
      <c r="B48" s="669"/>
      <c r="C48" s="669"/>
      <c r="D48" s="669"/>
      <c r="E48" s="669"/>
      <c r="F48" s="669"/>
      <c r="G48" s="669"/>
    </row>
    <row r="49" spans="2:7">
      <c r="B49" s="669"/>
      <c r="C49" s="669"/>
      <c r="D49" s="669"/>
      <c r="E49" s="669"/>
      <c r="F49" s="669"/>
      <c r="G49" s="669"/>
    </row>
    <row r="50" spans="2:7">
      <c r="B50" s="669"/>
      <c r="C50" s="669"/>
      <c r="D50" s="669"/>
      <c r="E50" s="669"/>
      <c r="F50" s="669"/>
      <c r="G50" s="669"/>
    </row>
    <row r="51" spans="2:7">
      <c r="B51" s="669"/>
      <c r="C51" s="669"/>
      <c r="D51" s="669"/>
      <c r="E51" s="669"/>
      <c r="F51" s="669"/>
      <c r="G51" s="669"/>
    </row>
    <row r="52" spans="2:7">
      <c r="B52" s="669"/>
      <c r="C52" s="669"/>
      <c r="D52" s="669"/>
      <c r="E52" s="669"/>
      <c r="F52" s="669"/>
      <c r="G52" s="669"/>
    </row>
    <row r="53" spans="2:7">
      <c r="B53" s="669"/>
      <c r="C53" s="669"/>
      <c r="D53" s="669"/>
      <c r="E53" s="669"/>
      <c r="F53" s="669"/>
      <c r="G53" s="669"/>
    </row>
    <row r="70" spans="2:7">
      <c r="B70" s="669"/>
      <c r="C70" s="669"/>
      <c r="D70" s="669"/>
      <c r="E70" s="669"/>
      <c r="F70" s="669"/>
      <c r="G70"/>
    </row>
    <row r="71" spans="2:7">
      <c r="B71" s="669"/>
      <c r="C71" s="669"/>
      <c r="D71" s="669"/>
      <c r="E71" s="669"/>
      <c r="F71" s="669"/>
      <c r="G71" s="669"/>
    </row>
    <row r="72" spans="2:7">
      <c r="B72" s="669"/>
      <c r="C72" s="669"/>
      <c r="D72" s="669"/>
      <c r="E72" s="669"/>
      <c r="F72" s="669"/>
      <c r="G72" s="669"/>
    </row>
    <row r="73" spans="2:7">
      <c r="B73" s="669"/>
      <c r="C73" s="669"/>
      <c r="D73" s="669"/>
      <c r="E73" s="669"/>
      <c r="F73" s="669"/>
      <c r="G73" s="669"/>
    </row>
    <row r="74" spans="2:7">
      <c r="B74" s="669"/>
      <c r="C74" s="669"/>
      <c r="D74" s="669"/>
      <c r="E74" s="669"/>
      <c r="F74" s="669"/>
      <c r="G74" s="669"/>
    </row>
    <row r="75" spans="2:7">
      <c r="B75" s="669"/>
      <c r="C75" s="669"/>
      <c r="D75" s="669"/>
      <c r="E75" s="669"/>
      <c r="F75" s="669"/>
      <c r="G75" s="669"/>
    </row>
    <row r="92" spans="2:7">
      <c r="B92" s="669"/>
      <c r="C92" s="669"/>
      <c r="D92" s="669"/>
      <c r="E92" s="669"/>
      <c r="F92" s="669"/>
      <c r="G92"/>
    </row>
    <row r="93" spans="2:7">
      <c r="B93" s="669"/>
      <c r="C93" s="669"/>
      <c r="D93" s="669"/>
      <c r="E93" s="669"/>
      <c r="F93" s="669"/>
      <c r="G93" s="669"/>
    </row>
    <row r="94" spans="2:7">
      <c r="B94" s="669"/>
      <c r="C94" s="669"/>
      <c r="D94" s="669"/>
      <c r="E94" s="669"/>
      <c r="F94" s="669"/>
      <c r="G94" s="669"/>
    </row>
    <row r="95" spans="2:7">
      <c r="B95" s="669"/>
      <c r="C95" s="669"/>
      <c r="D95" s="669"/>
      <c r="E95" s="669"/>
      <c r="F95" s="669"/>
      <c r="G95" s="669"/>
    </row>
    <row r="96" spans="2:7">
      <c r="B96" s="669"/>
      <c r="C96" s="669"/>
      <c r="D96" s="669"/>
      <c r="E96" s="669"/>
      <c r="F96" s="669"/>
      <c r="G96" s="669"/>
    </row>
    <row r="97" spans="2:7">
      <c r="B97" s="669"/>
      <c r="C97" s="669"/>
      <c r="D97" s="669"/>
      <c r="E97" s="669"/>
      <c r="F97" s="669"/>
      <c r="G97" s="669"/>
    </row>
    <row r="98" spans="2:7">
      <c r="B98" s="1170"/>
      <c r="C98" s="1170"/>
      <c r="D98" s="1170"/>
      <c r="E98" s="1170"/>
      <c r="F98" s="1170"/>
      <c r="G98" s="1170"/>
    </row>
    <row r="99" spans="2:7">
      <c r="B99" s="1170"/>
      <c r="C99" s="1170"/>
      <c r="D99" s="1170"/>
      <c r="E99" s="1170"/>
      <c r="F99" s="1170"/>
      <c r="G99" s="1170"/>
    </row>
    <row r="100" spans="2:7">
      <c r="B100" s="1170"/>
      <c r="C100" s="1170"/>
      <c r="D100" s="1170"/>
      <c r="E100" s="1170"/>
      <c r="F100" s="1170"/>
      <c r="G100" s="1170"/>
    </row>
    <row r="101" spans="2:7">
      <c r="B101" s="1170"/>
      <c r="C101" s="1170"/>
      <c r="D101" s="1170"/>
      <c r="E101" s="1170"/>
      <c r="F101" s="1170"/>
      <c r="G101" s="1170"/>
    </row>
    <row r="102" spans="2:7">
      <c r="B102" s="1170"/>
      <c r="C102" s="1170"/>
      <c r="D102" s="1170"/>
      <c r="E102" s="1170"/>
      <c r="F102" s="1170"/>
      <c r="G102" s="1170"/>
    </row>
    <row r="103" spans="2:7">
      <c r="B103" s="1170"/>
      <c r="C103" s="1170"/>
      <c r="D103" s="1170"/>
      <c r="E103" s="1170"/>
      <c r="F103" s="1170"/>
      <c r="G103" s="1170"/>
    </row>
    <row r="104" spans="2:7">
      <c r="B104" s="1170"/>
      <c r="C104" s="1170"/>
      <c r="D104" s="1170"/>
      <c r="E104" s="1170"/>
      <c r="F104" s="1170"/>
      <c r="G104" s="1170"/>
    </row>
    <row r="105" spans="2:7">
      <c r="B105" s="1170"/>
      <c r="C105" s="1170"/>
      <c r="D105" s="1170"/>
      <c r="E105" s="1170"/>
      <c r="F105" s="1170"/>
      <c r="G105" s="1170"/>
    </row>
    <row r="106" spans="2:7">
      <c r="B106" s="1170"/>
      <c r="C106" s="1170"/>
      <c r="D106" s="1170"/>
      <c r="E106" s="1170"/>
      <c r="F106" s="1170"/>
      <c r="G106" s="1170"/>
    </row>
    <row r="107" spans="2:7">
      <c r="B107" s="1170"/>
      <c r="C107" s="1170"/>
      <c r="D107" s="1170"/>
      <c r="E107" s="1170"/>
      <c r="F107" s="1170"/>
      <c r="G107" s="1170"/>
    </row>
    <row r="108" spans="2:7">
      <c r="B108" s="1170"/>
      <c r="C108" s="1170"/>
      <c r="D108" s="1170"/>
      <c r="E108" s="1170"/>
      <c r="F108" s="1170"/>
      <c r="G108" s="1170"/>
    </row>
    <row r="109" spans="2:7">
      <c r="B109" s="1170"/>
      <c r="C109" s="1170"/>
      <c r="D109" s="1170"/>
      <c r="E109" s="1170"/>
      <c r="F109" s="1170"/>
      <c r="G109" s="1170"/>
    </row>
    <row r="110" spans="2:7">
      <c r="B110" s="1170"/>
      <c r="C110" s="1170"/>
      <c r="D110" s="1170"/>
      <c r="E110" s="1170"/>
      <c r="F110" s="1170"/>
      <c r="G110" s="1170"/>
    </row>
    <row r="111" spans="2:7">
      <c r="B111" s="1170"/>
      <c r="C111" s="1170"/>
      <c r="D111" s="1170"/>
      <c r="E111" s="1170"/>
      <c r="F111" s="1170"/>
      <c r="G111" s="1170"/>
    </row>
  </sheetData>
  <mergeCells count="3">
    <mergeCell ref="A17:K17"/>
    <mergeCell ref="A1:K1"/>
    <mergeCell ref="A2:K2"/>
  </mergeCells>
  <dataValidations count="1">
    <dataValidation allowBlank="1" showInputMessage="1" showErrorMessage="1" errorTitle="Error" error="Por favor ingrese números enteros" sqref="A1:A4 A17"/>
  </dataValidations>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87"/>
  <sheetViews>
    <sheetView topLeftCell="A74" workbookViewId="0">
      <selection activeCell="H31" sqref="H31"/>
    </sheetView>
  </sheetViews>
  <sheetFormatPr baseColWidth="10" defaultRowHeight="13.2"/>
  <cols>
    <col min="1" max="1" width="13.77734375" customWidth="1"/>
    <col min="2" max="2" width="20.21875" customWidth="1"/>
    <col min="3" max="7" width="9.5546875" customWidth="1"/>
  </cols>
  <sheetData>
    <row r="3" spans="1:8">
      <c r="A3" t="s">
        <v>1134</v>
      </c>
    </row>
    <row r="5" spans="1:8" ht="26.4">
      <c r="A5" s="116" t="s">
        <v>1140</v>
      </c>
      <c r="B5" s="630" t="s">
        <v>6</v>
      </c>
      <c r="C5" s="220">
        <v>2015</v>
      </c>
      <c r="D5" s="220">
        <v>2016</v>
      </c>
      <c r="E5" s="220">
        <v>2017</v>
      </c>
      <c r="F5" s="220">
        <v>2018</v>
      </c>
      <c r="G5" s="220">
        <v>2019</v>
      </c>
      <c r="H5" s="220">
        <v>2020</v>
      </c>
    </row>
    <row r="6" spans="1:8">
      <c r="A6" s="631"/>
      <c r="B6" s="632"/>
      <c r="C6" s="304"/>
      <c r="D6" s="304"/>
      <c r="E6" s="304"/>
      <c r="F6" s="304"/>
      <c r="G6" s="304"/>
      <c r="H6" s="304"/>
    </row>
    <row r="7" spans="1:8">
      <c r="A7" s="247" t="s">
        <v>929</v>
      </c>
      <c r="B7" s="1372" t="s">
        <v>1473</v>
      </c>
      <c r="C7" s="633">
        <v>9527</v>
      </c>
      <c r="D7" s="633">
        <v>9535</v>
      </c>
      <c r="E7" s="633">
        <v>9538</v>
      </c>
      <c r="F7" s="633">
        <v>9549</v>
      </c>
      <c r="G7" s="633">
        <v>6437</v>
      </c>
      <c r="H7" s="633">
        <f>+SUM('8'!$D$11:$I$13)-H9</f>
        <v>5681</v>
      </c>
    </row>
    <row r="8" spans="1:8">
      <c r="A8" s="247"/>
      <c r="B8" s="1372" t="s">
        <v>1474</v>
      </c>
      <c r="C8" s="634">
        <v>11078</v>
      </c>
      <c r="D8" s="634">
        <v>11088</v>
      </c>
      <c r="E8" s="634">
        <v>11090</v>
      </c>
      <c r="F8" s="634">
        <v>11079</v>
      </c>
      <c r="G8" s="634">
        <v>9373</v>
      </c>
      <c r="H8" s="633">
        <f>+SUM('8'!$D$10:$I$10)+SUM('8'!$D$14:$I$14)</f>
        <v>9962</v>
      </c>
    </row>
    <row r="9" spans="1:8">
      <c r="A9" s="247"/>
      <c r="B9" s="1372" t="s">
        <v>1475</v>
      </c>
      <c r="C9" s="634">
        <v>1194</v>
      </c>
      <c r="D9" s="634">
        <v>1174</v>
      </c>
      <c r="E9" s="634">
        <v>1182</v>
      </c>
      <c r="F9" s="634">
        <v>1178</v>
      </c>
      <c r="G9" s="634">
        <v>1006</v>
      </c>
      <c r="H9" s="634">
        <f>SUM('8'!$D$12:$I$12)</f>
        <v>1026</v>
      </c>
    </row>
    <row r="10" spans="1:8">
      <c r="A10" s="247" t="s">
        <v>617</v>
      </c>
      <c r="B10" s="1372" t="s">
        <v>1294</v>
      </c>
      <c r="C10" s="634">
        <v>3924</v>
      </c>
      <c r="D10" s="634">
        <v>3913</v>
      </c>
      <c r="E10" s="634">
        <v>3899</v>
      </c>
      <c r="F10" s="634">
        <v>3889</v>
      </c>
      <c r="G10" s="634">
        <v>4489</v>
      </c>
      <c r="H10" s="634">
        <f>SUM('8'!$D$17:$I$17)-H11</f>
        <v>4488</v>
      </c>
    </row>
    <row r="11" spans="1:8">
      <c r="A11" s="247"/>
      <c r="B11" s="1372" t="s">
        <v>1472</v>
      </c>
      <c r="C11" s="634">
        <v>972</v>
      </c>
      <c r="D11" s="634">
        <v>969</v>
      </c>
      <c r="E11" s="634">
        <v>968</v>
      </c>
      <c r="F11" s="634">
        <v>966</v>
      </c>
      <c r="G11" s="634">
        <v>1137</v>
      </c>
      <c r="H11" s="634">
        <f>SUM('8'!$D$20:$I$20)</f>
        <v>1154</v>
      </c>
    </row>
    <row r="12" spans="1:8">
      <c r="A12" s="247" t="s">
        <v>828</v>
      </c>
      <c r="B12" s="1372" t="s">
        <v>1284</v>
      </c>
      <c r="C12" s="634">
        <v>3118</v>
      </c>
      <c r="D12" s="634">
        <v>3072</v>
      </c>
      <c r="E12" s="634">
        <v>3027</v>
      </c>
      <c r="F12" s="634">
        <v>2984</v>
      </c>
      <c r="G12" s="634">
        <v>4592</v>
      </c>
      <c r="H12" s="634">
        <f>SUM('8'!$D$25:$I$25)</f>
        <v>4634</v>
      </c>
    </row>
    <row r="13" spans="1:8">
      <c r="A13" s="247" t="s">
        <v>618</v>
      </c>
      <c r="B13" s="1372" t="s">
        <v>1285</v>
      </c>
      <c r="C13" s="634">
        <v>2264</v>
      </c>
      <c r="D13" s="634">
        <v>2264</v>
      </c>
      <c r="E13" s="634">
        <v>2256</v>
      </c>
      <c r="F13" s="634">
        <v>2252</v>
      </c>
      <c r="G13" s="634">
        <v>3178</v>
      </c>
      <c r="H13" s="634">
        <f>SUM('8'!$D$29:$I$29)</f>
        <v>3201</v>
      </c>
    </row>
    <row r="14" spans="1:8">
      <c r="A14" s="247" t="s">
        <v>619</v>
      </c>
      <c r="B14" s="1372" t="s">
        <v>1465</v>
      </c>
      <c r="C14" s="634">
        <v>10012</v>
      </c>
      <c r="D14" s="634">
        <v>10023</v>
      </c>
      <c r="E14" s="634">
        <v>10036</v>
      </c>
      <c r="F14" s="634">
        <v>10038</v>
      </c>
      <c r="G14" s="634">
        <v>9326</v>
      </c>
      <c r="H14" s="634">
        <f>SUM('8'!$D$38:$I$38)</f>
        <v>9314</v>
      </c>
    </row>
    <row r="15" spans="1:8">
      <c r="A15" s="247"/>
      <c r="B15" s="1372" t="s">
        <v>1292</v>
      </c>
      <c r="C15" s="633">
        <v>10821</v>
      </c>
      <c r="D15" s="633">
        <v>10845</v>
      </c>
      <c r="E15" s="633">
        <v>10852</v>
      </c>
      <c r="F15" s="633">
        <v>10863</v>
      </c>
      <c r="G15" s="633">
        <v>10080</v>
      </c>
      <c r="H15" s="634">
        <f>SUM('8'!$D$37:$I$37)-H17-H14-H16</f>
        <v>10067</v>
      </c>
    </row>
    <row r="16" spans="1:8">
      <c r="A16" s="247"/>
      <c r="B16" s="1372" t="s">
        <v>1466</v>
      </c>
      <c r="C16" s="633">
        <v>1135</v>
      </c>
      <c r="D16" s="633">
        <v>1134</v>
      </c>
      <c r="E16" s="633">
        <v>1141</v>
      </c>
      <c r="F16" s="633">
        <v>1136</v>
      </c>
      <c r="G16" s="633">
        <v>1030</v>
      </c>
      <c r="H16" s="634">
        <f>SUM('8'!$D$41:$I$41)</f>
        <v>1041</v>
      </c>
    </row>
    <row r="17" spans="1:11">
      <c r="A17" s="247"/>
      <c r="B17" s="1372" t="s">
        <v>1467</v>
      </c>
      <c r="C17" s="633">
        <v>2343</v>
      </c>
      <c r="D17" s="633">
        <v>2318</v>
      </c>
      <c r="E17" s="633">
        <v>2297</v>
      </c>
      <c r="F17" s="633">
        <v>2297</v>
      </c>
      <c r="G17" s="633">
        <v>2116</v>
      </c>
      <c r="H17" s="634">
        <f>SUM('8'!$D$40:$I$40)</f>
        <v>2129</v>
      </c>
    </row>
    <row r="18" spans="1:11">
      <c r="A18" s="247" t="s">
        <v>620</v>
      </c>
      <c r="B18" s="1372" t="s">
        <v>1468</v>
      </c>
      <c r="C18" s="634">
        <v>5159</v>
      </c>
      <c r="D18" s="634">
        <v>5168</v>
      </c>
      <c r="E18" s="634">
        <v>5171</v>
      </c>
      <c r="F18" s="634">
        <v>5180</v>
      </c>
      <c r="G18" s="634">
        <v>4530</v>
      </c>
      <c r="H18" s="634">
        <f>SUM('8'!$D$43:$I$43)</f>
        <v>4503</v>
      </c>
    </row>
    <row r="19" spans="1:11">
      <c r="A19" s="247" t="s">
        <v>830</v>
      </c>
      <c r="B19" s="1372" t="s">
        <v>1288</v>
      </c>
      <c r="C19" s="634">
        <v>3972</v>
      </c>
      <c r="D19" s="634">
        <v>3954</v>
      </c>
      <c r="E19" s="634">
        <v>3933</v>
      </c>
      <c r="F19" s="634">
        <v>3915</v>
      </c>
      <c r="G19" s="634">
        <v>3845</v>
      </c>
      <c r="H19" s="634">
        <f>SUM('8'!$D$56:$I$56)-H20</f>
        <v>3839</v>
      </c>
    </row>
    <row r="20" spans="1:11">
      <c r="A20" s="247"/>
      <c r="B20" s="1372" t="s">
        <v>1469</v>
      </c>
      <c r="C20" s="634">
        <v>528</v>
      </c>
      <c r="D20" s="634">
        <v>520</v>
      </c>
      <c r="E20" s="634">
        <v>520</v>
      </c>
      <c r="F20" s="634">
        <v>516</v>
      </c>
      <c r="G20" s="634">
        <v>492</v>
      </c>
      <c r="H20" s="634">
        <f>SUM('8'!$D$58:$I$58)</f>
        <v>491</v>
      </c>
    </row>
    <row r="21" spans="1:11">
      <c r="A21" s="247" t="s">
        <v>622</v>
      </c>
      <c r="B21" s="1372" t="s">
        <v>1289</v>
      </c>
      <c r="C21" s="634">
        <v>2293</v>
      </c>
      <c r="D21" s="634">
        <v>2287</v>
      </c>
      <c r="E21" s="634">
        <v>2280</v>
      </c>
      <c r="F21" s="634">
        <v>2274</v>
      </c>
      <c r="G21" s="634">
        <v>2020</v>
      </c>
      <c r="H21" s="634">
        <f>SUM('8'!$D$61:$I$61)</f>
        <v>2010</v>
      </c>
    </row>
    <row r="22" spans="1:11">
      <c r="A22" s="247" t="s">
        <v>623</v>
      </c>
      <c r="B22" s="1372" t="s">
        <v>1470</v>
      </c>
      <c r="C22" s="634">
        <v>6814</v>
      </c>
      <c r="D22" s="634">
        <v>6757</v>
      </c>
      <c r="E22" s="634">
        <v>6696</v>
      </c>
      <c r="F22" s="634">
        <v>6644</v>
      </c>
      <c r="G22" s="634">
        <v>7095</v>
      </c>
      <c r="H22" s="634">
        <f>SUM('8'!$D$67:$I$67)</f>
        <v>7074</v>
      </c>
    </row>
    <row r="23" spans="1:11">
      <c r="A23" s="247" t="s">
        <v>624</v>
      </c>
      <c r="B23" s="1372" t="s">
        <v>1291</v>
      </c>
      <c r="C23" s="634">
        <v>3487</v>
      </c>
      <c r="D23" s="634">
        <v>3452</v>
      </c>
      <c r="E23" s="634">
        <v>3419</v>
      </c>
      <c r="F23" s="634">
        <v>3385</v>
      </c>
      <c r="G23" s="634">
        <v>3614</v>
      </c>
      <c r="H23" s="634">
        <f>SUM('8'!$D$73:$I$73)-H24</f>
        <v>3594</v>
      </c>
    </row>
    <row r="24" spans="1:11">
      <c r="A24" s="247"/>
      <c r="B24" s="1372" t="s">
        <v>1471</v>
      </c>
      <c r="C24" s="634">
        <v>410</v>
      </c>
      <c r="D24" s="634">
        <v>400</v>
      </c>
      <c r="E24" s="634">
        <v>390</v>
      </c>
      <c r="F24" s="634">
        <v>383</v>
      </c>
      <c r="G24" s="1039">
        <v>397</v>
      </c>
      <c r="H24" s="634">
        <f>SUM('8'!$D$75:$I$75)</f>
        <v>407</v>
      </c>
    </row>
    <row r="25" spans="1:11">
      <c r="A25" s="635" t="s">
        <v>625</v>
      </c>
      <c r="B25" s="296"/>
      <c r="C25" s="636">
        <v>79051</v>
      </c>
      <c r="D25" s="636">
        <v>78873</v>
      </c>
      <c r="E25" s="636">
        <v>78695</v>
      </c>
      <c r="F25" s="636">
        <v>78528</v>
      </c>
      <c r="G25" s="636">
        <v>74757</v>
      </c>
      <c r="H25" s="636">
        <f t="shared" ref="H25" si="0">SUM(H7:H24)</f>
        <v>74615</v>
      </c>
    </row>
    <row r="26" spans="1:11">
      <c r="A26" t="s">
        <v>1608</v>
      </c>
      <c r="C26" s="956"/>
      <c r="D26" s="149"/>
      <c r="E26" s="956"/>
      <c r="F26" s="149"/>
      <c r="G26" s="956"/>
    </row>
    <row r="28" spans="1:11">
      <c r="A28" t="s">
        <v>7</v>
      </c>
    </row>
    <row r="29" spans="1:11" ht="26.4">
      <c r="A29" s="116" t="s">
        <v>1140</v>
      </c>
      <c r="B29" s="630" t="s">
        <v>6</v>
      </c>
      <c r="C29" s="220">
        <v>2015</v>
      </c>
      <c r="D29" s="220">
        <v>2016</v>
      </c>
      <c r="E29" s="220">
        <v>2017</v>
      </c>
      <c r="F29" s="220">
        <v>2018</v>
      </c>
      <c r="G29" s="220">
        <v>2019</v>
      </c>
      <c r="H29" s="220">
        <f t="shared" ref="H29" si="1">+H5</f>
        <v>2020</v>
      </c>
      <c r="I29" s="236"/>
    </row>
    <row r="30" spans="1:11">
      <c r="A30" s="631"/>
      <c r="B30" s="632"/>
      <c r="C30" s="304"/>
      <c r="D30" s="304"/>
      <c r="E30" s="304"/>
      <c r="F30" s="304"/>
      <c r="G30" s="304"/>
      <c r="H30" s="304"/>
    </row>
    <row r="31" spans="1:11">
      <c r="A31" s="247" t="s">
        <v>929</v>
      </c>
      <c r="B31" s="1372" t="s">
        <v>1473</v>
      </c>
      <c r="C31" s="637">
        <v>7063</v>
      </c>
      <c r="D31" s="638">
        <v>7620</v>
      </c>
      <c r="E31" s="638">
        <v>8939</v>
      </c>
      <c r="F31" s="638">
        <v>12929</v>
      </c>
      <c r="G31" s="638">
        <v>11197</v>
      </c>
      <c r="H31" s="1458">
        <f>+SUM([9]A09!$G$21:$Z$26)+SUM([11]A09!$G$21:$Z$26)</f>
        <v>3025</v>
      </c>
      <c r="K31" s="639"/>
    </row>
    <row r="32" spans="1:11">
      <c r="A32" s="247"/>
      <c r="B32" s="1372" t="s">
        <v>1474</v>
      </c>
      <c r="C32" s="637">
        <v>3923</v>
      </c>
      <c r="D32" s="638">
        <v>3844</v>
      </c>
      <c r="E32" s="638">
        <v>4220</v>
      </c>
      <c r="F32" s="638">
        <v>5198</v>
      </c>
      <c r="G32" s="638">
        <v>4481</v>
      </c>
      <c r="H32" s="1458">
        <f>+SUM([12]A09!$G$21:$Z$26)</f>
        <v>1327</v>
      </c>
      <c r="K32" s="639"/>
    </row>
    <row r="33" spans="1:11">
      <c r="A33" s="247"/>
      <c r="B33" s="1372" t="s">
        <v>1475</v>
      </c>
      <c r="C33" s="637">
        <v>1537</v>
      </c>
      <c r="D33" s="638">
        <v>1278</v>
      </c>
      <c r="E33" s="638">
        <v>1458</v>
      </c>
      <c r="F33" s="638">
        <v>1209</v>
      </c>
      <c r="G33" s="638">
        <v>1616</v>
      </c>
      <c r="H33" s="1458">
        <f>+SUM([10]A09!$G$21:$Z$26)</f>
        <v>361</v>
      </c>
      <c r="J33" s="957"/>
    </row>
    <row r="34" spans="1:11">
      <c r="A34" s="247" t="s">
        <v>617</v>
      </c>
      <c r="B34" s="1372" t="s">
        <v>1294</v>
      </c>
      <c r="C34" s="637">
        <v>4864</v>
      </c>
      <c r="D34" s="638">
        <v>3909</v>
      </c>
      <c r="E34" s="638">
        <v>6162</v>
      </c>
      <c r="F34" s="638">
        <v>5704</v>
      </c>
      <c r="G34" s="638">
        <v>7807</v>
      </c>
      <c r="H34" s="1458">
        <f>+SUM([13]A09!$G$21:$Z$26)+SUM([40]A09!$G$21:$Z$26)</f>
        <v>964</v>
      </c>
      <c r="J34" s="639"/>
    </row>
    <row r="35" spans="1:11">
      <c r="A35" s="247"/>
      <c r="B35" s="1372" t="s">
        <v>1472</v>
      </c>
      <c r="C35" s="637">
        <v>1225</v>
      </c>
      <c r="D35" s="638">
        <v>1210</v>
      </c>
      <c r="E35" s="638">
        <v>1137</v>
      </c>
      <c r="F35" s="638">
        <v>722</v>
      </c>
      <c r="G35" s="638">
        <v>1616</v>
      </c>
      <c r="H35" s="1458">
        <f>+SUM([10]A09!$G$21:$Z$26)</f>
        <v>361</v>
      </c>
      <c r="J35" s="639"/>
    </row>
    <row r="36" spans="1:11">
      <c r="A36" s="247" t="s">
        <v>828</v>
      </c>
      <c r="B36" s="1372" t="s">
        <v>1284</v>
      </c>
      <c r="C36" s="637">
        <v>7225</v>
      </c>
      <c r="D36" s="638">
        <v>7741</v>
      </c>
      <c r="E36" s="638">
        <v>6618</v>
      </c>
      <c r="F36" s="638">
        <v>4301</v>
      </c>
      <c r="G36" s="638">
        <v>4657</v>
      </c>
      <c r="H36" s="1458">
        <f>+SUM([16]A09!$G$21:$Z$26)+SUM([17]A09!$G$21:$Z$26)</f>
        <v>1576</v>
      </c>
      <c r="J36" s="639"/>
    </row>
    <row r="37" spans="1:11">
      <c r="A37" s="247" t="s">
        <v>618</v>
      </c>
      <c r="B37" s="1372" t="s">
        <v>1285</v>
      </c>
      <c r="C37" s="637">
        <v>7177</v>
      </c>
      <c r="D37" s="638">
        <v>5333</v>
      </c>
      <c r="E37" s="638">
        <v>5445</v>
      </c>
      <c r="F37" s="638">
        <v>5060</v>
      </c>
      <c r="G37" s="638">
        <v>5659</v>
      </c>
      <c r="H37" s="1458">
        <f>+SUM([18]A09!$G$21:$Z$26)</f>
        <v>1879</v>
      </c>
    </row>
    <row r="38" spans="1:11">
      <c r="A38" s="247" t="s">
        <v>619</v>
      </c>
      <c r="B38" s="1372" t="s">
        <v>1465</v>
      </c>
      <c r="C38" s="637">
        <v>9913</v>
      </c>
      <c r="D38" s="638">
        <v>9653</v>
      </c>
      <c r="E38" s="638">
        <v>8875</v>
      </c>
      <c r="F38" s="638">
        <v>9745</v>
      </c>
      <c r="G38" s="638">
        <v>10574</v>
      </c>
      <c r="H38" s="1458">
        <f>+SUM([19]A09!$G$21:$Z$26)</f>
        <v>2784</v>
      </c>
    </row>
    <row r="39" spans="1:11">
      <c r="A39" s="247"/>
      <c r="B39" s="1372" t="s">
        <v>1292</v>
      </c>
      <c r="C39" s="637">
        <v>16283</v>
      </c>
      <c r="D39" s="638">
        <v>20077</v>
      </c>
      <c r="E39" s="638">
        <v>21224</v>
      </c>
      <c r="F39" s="638">
        <v>23287</v>
      </c>
      <c r="G39" s="638">
        <v>23611</v>
      </c>
      <c r="H39" s="1458">
        <f>+SUM([20]A09!$G$21:$Z$26)</f>
        <v>5990</v>
      </c>
    </row>
    <row r="40" spans="1:11">
      <c r="A40" s="247"/>
      <c r="B40" s="1372" t="s">
        <v>1466</v>
      </c>
      <c r="C40" s="637">
        <v>1663</v>
      </c>
      <c r="D40" s="638">
        <v>1569</v>
      </c>
      <c r="E40" s="638">
        <v>1572</v>
      </c>
      <c r="F40" s="638">
        <v>1583</v>
      </c>
      <c r="G40" s="638">
        <v>1698</v>
      </c>
      <c r="H40" s="1458">
        <f>+SUM([21]A09!$G$21:$Z$26)</f>
        <v>679</v>
      </c>
    </row>
    <row r="41" spans="1:11">
      <c r="A41" s="247"/>
      <c r="B41" s="1372" t="s">
        <v>1467</v>
      </c>
      <c r="C41" s="637">
        <v>2361</v>
      </c>
      <c r="D41" s="638">
        <v>1721</v>
      </c>
      <c r="E41" s="638">
        <v>1373</v>
      </c>
      <c r="F41" s="638">
        <v>1021</v>
      </c>
      <c r="G41" s="638">
        <v>1436</v>
      </c>
      <c r="H41" s="1458">
        <f>+SUM([22]A09!$G$21:$Z$26)</f>
        <v>378</v>
      </c>
    </row>
    <row r="42" spans="1:11">
      <c r="A42" s="247" t="s">
        <v>620</v>
      </c>
      <c r="B42" s="1372" t="s">
        <v>1468</v>
      </c>
      <c r="C42" s="637">
        <v>4420</v>
      </c>
      <c r="D42" s="638">
        <v>4316</v>
      </c>
      <c r="E42" s="638">
        <v>2731</v>
      </c>
      <c r="F42" s="638">
        <v>2758</v>
      </c>
      <c r="G42" s="638">
        <v>2667</v>
      </c>
      <c r="H42" s="1458">
        <f>+SUM([23]A09!$G$21:$Z$26)+SUM([24]A09!$G$21:$Z$26)+SUM([41]A09!$G$21:$Z$26)</f>
        <v>763</v>
      </c>
    </row>
    <row r="43" spans="1:11">
      <c r="A43" s="247" t="s">
        <v>830</v>
      </c>
      <c r="B43" s="1372" t="s">
        <v>1288</v>
      </c>
      <c r="C43" s="637">
        <v>5539</v>
      </c>
      <c r="D43" s="638">
        <v>3548</v>
      </c>
      <c r="E43" s="638">
        <v>3089</v>
      </c>
      <c r="F43" s="638">
        <v>3125</v>
      </c>
      <c r="G43" s="638">
        <v>3667</v>
      </c>
      <c r="H43" s="1458">
        <f>+SUM([25]A09!$G$21:$Z$26)+SUM([27]A09!$G$21:$Z$26)</f>
        <v>885</v>
      </c>
    </row>
    <row r="44" spans="1:11">
      <c r="A44" s="247"/>
      <c r="B44" s="1372" t="s">
        <v>1469</v>
      </c>
      <c r="C44" s="637">
        <v>882</v>
      </c>
      <c r="D44" s="638">
        <v>1075</v>
      </c>
      <c r="E44" s="638">
        <v>1351</v>
      </c>
      <c r="F44" s="638">
        <v>1514</v>
      </c>
      <c r="G44" s="638">
        <v>962</v>
      </c>
      <c r="H44" s="1458">
        <f>+SUM([26]A09!$G$21:$Z$26)</f>
        <v>381</v>
      </c>
    </row>
    <row r="45" spans="1:11">
      <c r="A45" s="247" t="s">
        <v>622</v>
      </c>
      <c r="B45" s="1372" t="s">
        <v>1289</v>
      </c>
      <c r="C45" s="637">
        <v>2385</v>
      </c>
      <c r="D45" s="638">
        <v>2672</v>
      </c>
      <c r="E45" s="638">
        <v>2974</v>
      </c>
      <c r="F45" s="638">
        <v>3959</v>
      </c>
      <c r="G45" s="638">
        <v>3222</v>
      </c>
      <c r="H45" s="1458">
        <f>+SUM([28]A09!$G$21:$Z$26)</f>
        <v>627</v>
      </c>
      <c r="I45" s="639"/>
      <c r="J45" s="957"/>
      <c r="K45" s="639"/>
    </row>
    <row r="46" spans="1:11">
      <c r="A46" s="247" t="s">
        <v>623</v>
      </c>
      <c r="B46" s="1372" t="s">
        <v>1470</v>
      </c>
      <c r="C46" s="637">
        <v>5165</v>
      </c>
      <c r="D46" s="638">
        <v>2740</v>
      </c>
      <c r="E46" s="638">
        <v>7085</v>
      </c>
      <c r="F46" s="638">
        <v>8760</v>
      </c>
      <c r="G46" s="638">
        <v>9431</v>
      </c>
      <c r="H46" s="1458">
        <f>+SUM([29]A09!$G$21:$Z$26)</f>
        <v>1941</v>
      </c>
      <c r="I46" s="639"/>
      <c r="J46" s="957"/>
      <c r="K46" s="639"/>
    </row>
    <row r="47" spans="1:11">
      <c r="A47" s="247" t="s">
        <v>624</v>
      </c>
      <c r="B47" s="1372" t="s">
        <v>1291</v>
      </c>
      <c r="C47" s="637">
        <v>3357</v>
      </c>
      <c r="D47" s="638">
        <v>4918</v>
      </c>
      <c r="E47" s="638">
        <v>6615</v>
      </c>
      <c r="F47" s="638">
        <v>7346</v>
      </c>
      <c r="G47" s="638">
        <v>10278</v>
      </c>
      <c r="H47" s="1458">
        <f>+SUM([30]A09!$G$21:$Z$26)</f>
        <v>2365</v>
      </c>
    </row>
    <row r="48" spans="1:11">
      <c r="A48" s="247"/>
      <c r="B48" s="1372" t="s">
        <v>1471</v>
      </c>
      <c r="C48" s="637">
        <v>720</v>
      </c>
      <c r="D48" s="638">
        <v>272</v>
      </c>
      <c r="E48" s="637">
        <v>325</v>
      </c>
      <c r="F48" s="637">
        <v>708</v>
      </c>
      <c r="G48" s="638">
        <v>792</v>
      </c>
      <c r="H48" s="1458">
        <f>+SUM([31]A09!$G$21:$Z$26)</f>
        <v>559</v>
      </c>
      <c r="J48" s="639"/>
    </row>
    <row r="49" spans="1:11">
      <c r="A49" s="635" t="s">
        <v>625</v>
      </c>
      <c r="B49" s="296"/>
      <c r="C49" s="640">
        <v>85702</v>
      </c>
      <c r="D49" s="640">
        <v>83496</v>
      </c>
      <c r="E49" s="640">
        <v>91193</v>
      </c>
      <c r="F49" s="640">
        <v>98929</v>
      </c>
      <c r="G49" s="640">
        <v>105371</v>
      </c>
      <c r="H49" s="1104">
        <f t="shared" ref="H49" si="2">SUM(H31:H48)</f>
        <v>26845</v>
      </c>
      <c r="I49" s="1077"/>
      <c r="J49" s="115"/>
      <c r="K49" s="115"/>
    </row>
    <row r="51" spans="1:11" ht="27.75" customHeight="1">
      <c r="A51" s="1688" t="s">
        <v>1602</v>
      </c>
      <c r="B51" s="1688"/>
      <c r="C51" s="1688"/>
      <c r="D51" s="1688"/>
      <c r="E51" s="1688"/>
      <c r="F51" s="1688"/>
      <c r="G51" s="1688"/>
      <c r="H51" s="1688"/>
    </row>
    <row r="52" spans="1:11">
      <c r="A52" s="1679" t="s">
        <v>8</v>
      </c>
      <c r="B52" s="1679"/>
      <c r="C52" s="1679"/>
      <c r="D52" s="1679"/>
      <c r="E52" s="1679"/>
      <c r="F52" s="1679"/>
      <c r="G52" s="1679"/>
      <c r="H52" s="1679"/>
    </row>
    <row r="53" spans="1:11">
      <c r="A53" s="1680" t="s">
        <v>1601</v>
      </c>
      <c r="B53" s="1680"/>
      <c r="C53" s="1680"/>
      <c r="D53" s="1680"/>
      <c r="E53" s="1680"/>
      <c r="F53" s="1680"/>
      <c r="G53" s="1680"/>
      <c r="H53" s="1680"/>
    </row>
    <row r="54" spans="1:11">
      <c r="A54" s="1"/>
      <c r="B54" s="1"/>
      <c r="C54" s="1"/>
    </row>
    <row r="55" spans="1:11">
      <c r="A55" s="1"/>
      <c r="B55" s="1"/>
      <c r="C55" s="1"/>
    </row>
    <row r="56" spans="1:11">
      <c r="A56" s="1"/>
      <c r="B56" s="1"/>
      <c r="C56" s="1"/>
    </row>
    <row r="57" spans="1:11">
      <c r="A57" s="1"/>
      <c r="B57" s="1"/>
      <c r="C57" s="1"/>
    </row>
    <row r="60" spans="1:11" ht="31.5" customHeight="1">
      <c r="A60" s="116" t="s">
        <v>1140</v>
      </c>
      <c r="B60" s="630" t="s">
        <v>9</v>
      </c>
      <c r="C60" s="220">
        <f t="shared" ref="C60:H60" si="3">+C29</f>
        <v>2015</v>
      </c>
      <c r="D60" s="220">
        <f t="shared" si="3"/>
        <v>2016</v>
      </c>
      <c r="E60" s="220">
        <f t="shared" si="3"/>
        <v>2017</v>
      </c>
      <c r="F60" s="220">
        <f t="shared" si="3"/>
        <v>2018</v>
      </c>
      <c r="G60" s="220">
        <f t="shared" si="3"/>
        <v>2019</v>
      </c>
      <c r="H60" s="220">
        <f t="shared" si="3"/>
        <v>2020</v>
      </c>
    </row>
    <row r="61" spans="1:11" s="6" customFormat="1" ht="27.75" customHeight="1">
      <c r="A61" s="247" t="s">
        <v>929</v>
      </c>
      <c r="B61" s="293" t="s">
        <v>1282</v>
      </c>
      <c r="C61" s="641">
        <f>+C31/C7</f>
        <v>0.74136664217487147</v>
      </c>
      <c r="D61" s="641">
        <f t="shared" ref="D61:H61" si="4">+D31/D7</f>
        <v>0.79916098584163608</v>
      </c>
      <c r="E61" s="641">
        <f t="shared" si="4"/>
        <v>0.93719857412455443</v>
      </c>
      <c r="F61" s="641">
        <f t="shared" si="4"/>
        <v>1.3539637658393548</v>
      </c>
      <c r="G61" s="641">
        <f t="shared" si="4"/>
        <v>1.7394749106726737</v>
      </c>
      <c r="H61" s="641">
        <f t="shared" si="4"/>
        <v>0.53247667664143639</v>
      </c>
    </row>
    <row r="62" spans="1:11" s="6" customFormat="1" ht="27.75" customHeight="1">
      <c r="A62" s="247"/>
      <c r="B62" s="293" t="s">
        <v>1283</v>
      </c>
      <c r="C62" s="641">
        <f>+C32/C8</f>
        <v>0.3541252933742553</v>
      </c>
      <c r="D62" s="641">
        <f t="shared" ref="D62:H62" si="5">+D32/D8</f>
        <v>0.3466810966810967</v>
      </c>
      <c r="E62" s="641">
        <f t="shared" si="5"/>
        <v>0.38052299368800724</v>
      </c>
      <c r="F62" s="641">
        <f t="shared" si="5"/>
        <v>0.4691759184041881</v>
      </c>
      <c r="G62" s="641">
        <f t="shared" si="5"/>
        <v>0.47807532273551689</v>
      </c>
      <c r="H62" s="641">
        <f t="shared" si="5"/>
        <v>0.13320618349728969</v>
      </c>
    </row>
    <row r="63" spans="1:11" s="6" customFormat="1" ht="27.75" customHeight="1">
      <c r="A63" s="247"/>
      <c r="B63" s="293" t="s">
        <v>381</v>
      </c>
      <c r="C63" s="641">
        <f t="shared" ref="C63:H78" si="6">+C33/C9</f>
        <v>1.2872696817420435</v>
      </c>
      <c r="D63" s="641">
        <f t="shared" si="6"/>
        <v>1.0885860306643953</v>
      </c>
      <c r="E63" s="641">
        <f t="shared" si="6"/>
        <v>1.233502538071066</v>
      </c>
      <c r="F63" s="641">
        <f t="shared" si="6"/>
        <v>1.0263157894736843</v>
      </c>
      <c r="G63" s="641">
        <f t="shared" si="6"/>
        <v>1.606361829025845</v>
      </c>
      <c r="H63" s="641">
        <f t="shared" si="6"/>
        <v>0.35185185185185186</v>
      </c>
    </row>
    <row r="64" spans="1:11" s="6" customFormat="1" ht="27.75" customHeight="1">
      <c r="A64" s="247" t="s">
        <v>617</v>
      </c>
      <c r="B64" s="293" t="s">
        <v>1294</v>
      </c>
      <c r="C64" s="641">
        <f t="shared" si="6"/>
        <v>1.2395514780835881</v>
      </c>
      <c r="D64" s="641">
        <f t="shared" si="6"/>
        <v>0.99897776641962688</v>
      </c>
      <c r="E64" s="641">
        <f t="shared" si="6"/>
        <v>1.5804052321107975</v>
      </c>
      <c r="F64" s="641">
        <f t="shared" si="6"/>
        <v>1.4667009514013885</v>
      </c>
      <c r="G64" s="641">
        <f t="shared" si="6"/>
        <v>1.7391401202940522</v>
      </c>
      <c r="H64" s="641">
        <f t="shared" si="6"/>
        <v>0.21479500891265596</v>
      </c>
    </row>
    <row r="65" spans="1:8" s="6" customFormat="1" ht="27.75" customHeight="1">
      <c r="A65" s="247"/>
      <c r="B65" s="293" t="s">
        <v>1170</v>
      </c>
      <c r="C65" s="641">
        <f t="shared" si="6"/>
        <v>1.2602880658436213</v>
      </c>
      <c r="D65" s="641">
        <f t="shared" si="6"/>
        <v>1.2487100103199174</v>
      </c>
      <c r="E65" s="641">
        <f t="shared" si="6"/>
        <v>1.1745867768595042</v>
      </c>
      <c r="F65" s="641">
        <f t="shared" si="6"/>
        <v>0.7474120082815735</v>
      </c>
      <c r="G65" s="641">
        <f t="shared" si="6"/>
        <v>1.4212840809146878</v>
      </c>
      <c r="H65" s="641">
        <f t="shared" si="6"/>
        <v>0.3128249566724437</v>
      </c>
    </row>
    <row r="66" spans="1:8" s="6" customFormat="1" ht="27.75" customHeight="1">
      <c r="A66" s="247" t="s">
        <v>828</v>
      </c>
      <c r="B66" s="293" t="s">
        <v>1284</v>
      </c>
      <c r="C66" s="641">
        <f t="shared" si="6"/>
        <v>2.3171905067350864</v>
      </c>
      <c r="D66" s="641">
        <f t="shared" si="6"/>
        <v>2.5198567708333335</v>
      </c>
      <c r="E66" s="641">
        <f t="shared" si="6"/>
        <v>2.1863230921704657</v>
      </c>
      <c r="F66" s="641">
        <f t="shared" si="6"/>
        <v>1.4413538873994638</v>
      </c>
      <c r="G66" s="641">
        <f t="shared" si="6"/>
        <v>1.0141550522648084</v>
      </c>
      <c r="H66" s="641">
        <f t="shared" si="6"/>
        <v>0.34009495036685367</v>
      </c>
    </row>
    <row r="67" spans="1:8" s="6" customFormat="1" ht="27.75" customHeight="1">
      <c r="A67" s="247" t="s">
        <v>618</v>
      </c>
      <c r="B67" s="293" t="s">
        <v>1285</v>
      </c>
      <c r="C67" s="641">
        <f t="shared" si="6"/>
        <v>3.1700530035335688</v>
      </c>
      <c r="D67" s="641">
        <f t="shared" si="6"/>
        <v>2.3555653710247348</v>
      </c>
      <c r="E67" s="641">
        <f t="shared" si="6"/>
        <v>2.4135638297872339</v>
      </c>
      <c r="F67" s="641">
        <f t="shared" si="6"/>
        <v>2.2468916518650088</v>
      </c>
      <c r="G67" s="641">
        <f t="shared" si="6"/>
        <v>1.7806796727501573</v>
      </c>
      <c r="H67" s="641">
        <f t="shared" si="6"/>
        <v>0.58700406123086535</v>
      </c>
    </row>
    <row r="68" spans="1:8" s="6" customFormat="1" ht="27.75" customHeight="1">
      <c r="A68" s="247" t="s">
        <v>619</v>
      </c>
      <c r="B68" s="293" t="s">
        <v>1293</v>
      </c>
      <c r="C68" s="641">
        <f t="shared" si="6"/>
        <v>0.99011186576108667</v>
      </c>
      <c r="D68" s="641">
        <f t="shared" si="6"/>
        <v>0.96308490471914598</v>
      </c>
      <c r="E68" s="641">
        <f t="shared" si="6"/>
        <v>0.88431646074133119</v>
      </c>
      <c r="F68" s="641">
        <f t="shared" si="6"/>
        <v>0.97081091850966328</v>
      </c>
      <c r="G68" s="641">
        <f t="shared" si="6"/>
        <v>1.1338194295517907</v>
      </c>
      <c r="H68" s="641">
        <f t="shared" si="6"/>
        <v>0.29890487438264979</v>
      </c>
    </row>
    <row r="69" spans="1:8" s="6" customFormat="1" ht="27.75" customHeight="1">
      <c r="A69" s="247"/>
      <c r="B69" s="293" t="s">
        <v>1292</v>
      </c>
      <c r="C69" s="641">
        <f t="shared" si="6"/>
        <v>1.5047592643933092</v>
      </c>
      <c r="D69" s="641">
        <f t="shared" si="6"/>
        <v>1.8512678653757493</v>
      </c>
      <c r="E69" s="641">
        <f t="shared" si="6"/>
        <v>1.9557685219314411</v>
      </c>
      <c r="F69" s="641">
        <f t="shared" si="6"/>
        <v>2.1436987940716192</v>
      </c>
      <c r="G69" s="641">
        <f t="shared" si="6"/>
        <v>2.3423611111111109</v>
      </c>
      <c r="H69" s="641">
        <f t="shared" si="6"/>
        <v>0.59501341015198173</v>
      </c>
    </row>
    <row r="70" spans="1:8" s="6" customFormat="1" ht="27.75" customHeight="1">
      <c r="A70" s="247"/>
      <c r="B70" s="293" t="s">
        <v>1205</v>
      </c>
      <c r="C70" s="641">
        <f t="shared" si="6"/>
        <v>1.4651982378854627</v>
      </c>
      <c r="D70" s="641">
        <f t="shared" si="6"/>
        <v>1.3835978835978835</v>
      </c>
      <c r="E70" s="641">
        <f t="shared" si="6"/>
        <v>1.3777388255915863</v>
      </c>
      <c r="F70" s="641">
        <f t="shared" si="6"/>
        <v>1.3934859154929577</v>
      </c>
      <c r="G70" s="641">
        <f t="shared" si="6"/>
        <v>1.6485436893203884</v>
      </c>
      <c r="H70" s="641">
        <f t="shared" si="6"/>
        <v>0.65225744476464942</v>
      </c>
    </row>
    <row r="71" spans="1:8" s="6" customFormat="1" ht="27.75" customHeight="1">
      <c r="A71" s="247"/>
      <c r="B71" s="293" t="s">
        <v>1286</v>
      </c>
      <c r="C71" s="641">
        <f t="shared" si="6"/>
        <v>1.0076824583866837</v>
      </c>
      <c r="D71" s="641">
        <f t="shared" si="6"/>
        <v>0.74245038826574639</v>
      </c>
      <c r="E71" s="641">
        <f t="shared" si="6"/>
        <v>0.59773617762298648</v>
      </c>
      <c r="F71" s="641">
        <f t="shared" si="6"/>
        <v>0.44449281671745755</v>
      </c>
      <c r="G71" s="641">
        <f t="shared" si="6"/>
        <v>0.67863894139886582</v>
      </c>
      <c r="H71" s="641">
        <f t="shared" si="6"/>
        <v>0.17754814466885863</v>
      </c>
    </row>
    <row r="72" spans="1:8" s="6" customFormat="1" ht="27.75" customHeight="1">
      <c r="A72" s="247" t="s">
        <v>620</v>
      </c>
      <c r="B72" s="293" t="s">
        <v>1287</v>
      </c>
      <c r="C72" s="641">
        <f t="shared" si="6"/>
        <v>0.8567551851133941</v>
      </c>
      <c r="D72" s="641">
        <f t="shared" si="6"/>
        <v>0.8351393188854489</v>
      </c>
      <c r="E72" s="641">
        <f t="shared" si="6"/>
        <v>0.52813769096886487</v>
      </c>
      <c r="F72" s="641">
        <f t="shared" si="6"/>
        <v>0.53243243243243243</v>
      </c>
      <c r="G72" s="641">
        <f t="shared" si="6"/>
        <v>0.58874172185430462</v>
      </c>
      <c r="H72" s="641">
        <f t="shared" si="6"/>
        <v>0.169442593826338</v>
      </c>
    </row>
    <row r="73" spans="1:8" s="6" customFormat="1" ht="27.75" customHeight="1">
      <c r="A73" s="247" t="s">
        <v>830</v>
      </c>
      <c r="B73" s="293" t="s">
        <v>1288</v>
      </c>
      <c r="C73" s="641">
        <f t="shared" si="6"/>
        <v>1.3945115810674724</v>
      </c>
      <c r="D73" s="641">
        <f t="shared" si="6"/>
        <v>0.89731917046029341</v>
      </c>
      <c r="E73" s="641">
        <f t="shared" si="6"/>
        <v>0.78540554284261377</v>
      </c>
      <c r="F73" s="641">
        <f t="shared" si="6"/>
        <v>0.79821200510855683</v>
      </c>
      <c r="G73" s="641">
        <f t="shared" si="6"/>
        <v>0.95370611183355003</v>
      </c>
      <c r="H73" s="641">
        <f t="shared" si="6"/>
        <v>0.23052878353737952</v>
      </c>
    </row>
    <row r="74" spans="1:8" s="6" customFormat="1" ht="27.75" customHeight="1">
      <c r="A74" s="247"/>
      <c r="B74" s="293" t="s">
        <v>382</v>
      </c>
      <c r="C74" s="641">
        <f t="shared" si="6"/>
        <v>1.6704545454545454</v>
      </c>
      <c r="D74" s="641">
        <f t="shared" si="6"/>
        <v>2.0673076923076925</v>
      </c>
      <c r="E74" s="641">
        <f t="shared" si="6"/>
        <v>2.5980769230769232</v>
      </c>
      <c r="F74" s="641">
        <f t="shared" si="6"/>
        <v>2.9341085271317828</v>
      </c>
      <c r="G74" s="641">
        <f t="shared" si="6"/>
        <v>1.9552845528455285</v>
      </c>
      <c r="H74" s="641">
        <f t="shared" si="6"/>
        <v>0.77596741344195519</v>
      </c>
    </row>
    <row r="75" spans="1:8" s="6" customFormat="1" ht="27.75" customHeight="1">
      <c r="A75" s="247" t="s">
        <v>622</v>
      </c>
      <c r="B75" s="293" t="s">
        <v>1289</v>
      </c>
      <c r="C75" s="641">
        <f t="shared" si="6"/>
        <v>1.0401221107719145</v>
      </c>
      <c r="D75" s="641">
        <f t="shared" si="6"/>
        <v>1.1683428071709663</v>
      </c>
      <c r="E75" s="641">
        <f t="shared" si="6"/>
        <v>1.3043859649122806</v>
      </c>
      <c r="F75" s="641">
        <f t="shared" si="6"/>
        <v>1.7409850483729112</v>
      </c>
      <c r="G75" s="641">
        <f t="shared" si="6"/>
        <v>1.5950495049504951</v>
      </c>
      <c r="H75" s="641">
        <f t="shared" si="6"/>
        <v>0.31194029850746269</v>
      </c>
    </row>
    <row r="76" spans="1:8" s="6" customFormat="1" ht="27.75" customHeight="1">
      <c r="A76" s="247" t="s">
        <v>623</v>
      </c>
      <c r="B76" s="293" t="s">
        <v>1290</v>
      </c>
      <c r="C76" s="641">
        <f t="shared" si="6"/>
        <v>0.75799823891987084</v>
      </c>
      <c r="D76" s="641">
        <f t="shared" si="6"/>
        <v>0.40550540180553502</v>
      </c>
      <c r="E76" s="641">
        <f t="shared" si="6"/>
        <v>1.0580943847072879</v>
      </c>
      <c r="F76" s="641">
        <f t="shared" si="6"/>
        <v>1.3184828416616496</v>
      </c>
      <c r="G76" s="641">
        <f t="shared" si="6"/>
        <v>1.3292459478505989</v>
      </c>
      <c r="H76" s="641">
        <f t="shared" si="6"/>
        <v>0.27438507209499574</v>
      </c>
    </row>
    <row r="77" spans="1:8" s="6" customFormat="1" ht="27.75" customHeight="1">
      <c r="A77" s="247" t="s">
        <v>624</v>
      </c>
      <c r="B77" s="293" t="s">
        <v>1291</v>
      </c>
      <c r="C77" s="641">
        <f t="shared" si="6"/>
        <v>0.96271866934327499</v>
      </c>
      <c r="D77" s="641">
        <f t="shared" si="6"/>
        <v>1.4246813441483197</v>
      </c>
      <c r="E77" s="641">
        <f t="shared" si="6"/>
        <v>1.9347762503656041</v>
      </c>
      <c r="F77" s="641">
        <f t="shared" si="6"/>
        <v>2.1701624815361891</v>
      </c>
      <c r="G77" s="641">
        <f t="shared" si="6"/>
        <v>2.8439402324294409</v>
      </c>
      <c r="H77" s="641">
        <f t="shared" si="6"/>
        <v>0.65804117974401777</v>
      </c>
    </row>
    <row r="78" spans="1:8" s="6" customFormat="1" ht="27.75" customHeight="1">
      <c r="A78" s="247"/>
      <c r="B78" s="293" t="s">
        <v>1171</v>
      </c>
      <c r="C78" s="641">
        <f t="shared" si="6"/>
        <v>1.7560975609756098</v>
      </c>
      <c r="D78" s="641">
        <f t="shared" si="6"/>
        <v>0.68</v>
      </c>
      <c r="E78" s="641">
        <f t="shared" si="6"/>
        <v>0.83333333333333337</v>
      </c>
      <c r="F78" s="641">
        <f t="shared" si="6"/>
        <v>1.8485639686684072</v>
      </c>
      <c r="G78" s="641">
        <f t="shared" si="6"/>
        <v>1.9949622166246852</v>
      </c>
      <c r="H78" s="641">
        <f t="shared" si="6"/>
        <v>1.3734643734643734</v>
      </c>
    </row>
    <row r="79" spans="1:8" s="6" customFormat="1" ht="27.75" customHeight="1">
      <c r="A79" s="296" t="s">
        <v>625</v>
      </c>
      <c r="B79" s="296"/>
      <c r="C79" s="642">
        <f>+C49/C25</f>
        <v>1.0841355580574565</v>
      </c>
      <c r="D79" s="642">
        <f t="shared" ref="D79:H79" si="7">+D49/D25</f>
        <v>1.0586132136472557</v>
      </c>
      <c r="E79" s="642">
        <f t="shared" si="7"/>
        <v>1.1588156807929348</v>
      </c>
      <c r="F79" s="642">
        <f t="shared" si="7"/>
        <v>1.2597926854115729</v>
      </c>
      <c r="G79" s="642">
        <f t="shared" si="7"/>
        <v>1.4095134903754831</v>
      </c>
      <c r="H79" s="642">
        <f t="shared" si="7"/>
        <v>0.35978020505260339</v>
      </c>
    </row>
    <row r="80" spans="1:8">
      <c r="A80" s="584" t="s">
        <v>10</v>
      </c>
    </row>
    <row r="81" spans="1:1">
      <c r="A81" s="584" t="s">
        <v>1476</v>
      </c>
    </row>
    <row r="82" spans="1:1" ht="12.75" customHeight="1">
      <c r="A82" s="584" t="s">
        <v>11</v>
      </c>
    </row>
    <row r="83" spans="1:1" ht="12.75" customHeight="1">
      <c r="A83" s="584" t="s">
        <v>12</v>
      </c>
    </row>
    <row r="84" spans="1:1" ht="12.75" customHeight="1">
      <c r="A84" s="584" t="s">
        <v>13</v>
      </c>
    </row>
    <row r="85" spans="1:1" ht="12.75" customHeight="1">
      <c r="A85" s="584" t="s">
        <v>1463</v>
      </c>
    </row>
    <row r="86" spans="1:1">
      <c r="A86" s="584" t="s">
        <v>1464</v>
      </c>
    </row>
    <row r="87" spans="1:1">
      <c r="A87" s="584"/>
    </row>
  </sheetData>
  <mergeCells count="3">
    <mergeCell ref="A51:H51"/>
    <mergeCell ref="A52:H52"/>
    <mergeCell ref="A53:H53"/>
  </mergeCells>
  <phoneticPr fontId="19" type="noConversion"/>
  <pageMargins left="1.1811023622047245" right="0.39370078740157483" top="0.98425196850393704" bottom="0.98425196850393704" header="0.51181102362204722" footer="0.51181102362204722"/>
  <pageSetup paperSize="5" scale="90" orientation="portrait"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topLeftCell="A16" zoomScale="75" workbookViewId="0">
      <selection activeCell="F44" sqref="F44"/>
    </sheetView>
  </sheetViews>
  <sheetFormatPr baseColWidth="10" defaultRowHeight="13.2"/>
  <cols>
    <col min="1" max="1" width="16" customWidth="1"/>
    <col min="2" max="2" width="14.5546875" customWidth="1"/>
    <col min="3" max="3" width="11.21875" customWidth="1"/>
    <col min="4" max="4" width="10.44140625" customWidth="1"/>
    <col min="5" max="6" width="10.5546875" customWidth="1"/>
    <col min="7" max="7" width="10.77734375" customWidth="1"/>
    <col min="8" max="9" width="9" customWidth="1"/>
    <col min="10" max="10" width="12.77734375" bestFit="1" customWidth="1"/>
    <col min="11" max="11" width="9.77734375" customWidth="1"/>
  </cols>
  <sheetData>
    <row r="1" spans="1:14">
      <c r="A1" s="80" t="s">
        <v>14</v>
      </c>
      <c r="B1" s="113"/>
      <c r="C1" s="113"/>
      <c r="D1" s="113"/>
      <c r="E1" s="113"/>
      <c r="F1" s="113"/>
      <c r="G1" s="113"/>
      <c r="H1" s="113"/>
      <c r="I1" s="113"/>
      <c r="J1" s="113"/>
      <c r="K1" s="1"/>
    </row>
    <row r="2" spans="1:14">
      <c r="A2" s="80"/>
      <c r="B2" s="113"/>
      <c r="C2" s="113"/>
      <c r="D2" s="113"/>
      <c r="E2" s="113"/>
      <c r="F2" s="113"/>
      <c r="G2" s="113"/>
      <c r="H2" s="113"/>
      <c r="I2" s="113"/>
      <c r="J2" s="113"/>
      <c r="K2" s="1"/>
    </row>
    <row r="3" spans="1:14">
      <c r="A3" s="3" t="s">
        <v>1653</v>
      </c>
      <c r="B3" s="113"/>
      <c r="C3" s="113"/>
      <c r="D3" s="113"/>
      <c r="E3" s="113"/>
      <c r="F3" s="113"/>
      <c r="G3" s="113"/>
      <c r="H3" s="113"/>
      <c r="I3" s="113"/>
      <c r="J3" s="113"/>
      <c r="K3" s="1"/>
    </row>
    <row r="6" spans="1:14" ht="19.5" customHeight="1">
      <c r="A6" s="62"/>
      <c r="B6" s="62"/>
      <c r="C6" s="288" t="s">
        <v>15</v>
      </c>
      <c r="D6" s="288"/>
      <c r="E6" s="288"/>
      <c r="F6" s="288"/>
      <c r="G6" s="288"/>
      <c r="H6" s="288"/>
      <c r="I6" s="288"/>
      <c r="J6" s="288"/>
      <c r="K6" s="273"/>
    </row>
    <row r="7" spans="1:14" ht="23.25" customHeight="1">
      <c r="A7" s="643" t="s">
        <v>16</v>
      </c>
      <c r="B7" s="643" t="s">
        <v>17</v>
      </c>
      <c r="C7" s="1244" t="s">
        <v>18</v>
      </c>
      <c r="D7" s="644" t="s">
        <v>19</v>
      </c>
      <c r="E7" s="645" t="s">
        <v>20</v>
      </c>
      <c r="F7" s="644" t="s">
        <v>21</v>
      </c>
      <c r="G7" s="645" t="s">
        <v>394</v>
      </c>
      <c r="H7" s="646" t="s">
        <v>22</v>
      </c>
      <c r="I7" s="646" t="s">
        <v>23</v>
      </c>
      <c r="J7" s="647" t="s">
        <v>1221</v>
      </c>
      <c r="K7" s="292" t="s">
        <v>637</v>
      </c>
    </row>
    <row r="8" spans="1:14" ht="16.5" customHeight="1">
      <c r="A8" s="632"/>
      <c r="B8" s="631" t="s">
        <v>24</v>
      </c>
      <c r="C8" s="649">
        <f>+SUM([33]A08!$E$12:$H$12)</f>
        <v>7072</v>
      </c>
      <c r="D8" s="649">
        <f>+SUM([5]A08!$E$12:$H$12)</f>
        <v>5207</v>
      </c>
      <c r="E8" s="649">
        <f>+SUM([38]A08!$E$27:$H$27)</f>
        <v>2935</v>
      </c>
      <c r="F8" s="649">
        <f>+SUM([36]A08!$E$27:$H$27)</f>
        <v>1650</v>
      </c>
      <c r="G8" s="649">
        <f>+SUM([37]A08!$E$12:$H$12)</f>
        <v>0</v>
      </c>
      <c r="H8" s="649">
        <f>+SUM([9]A08!$E$19:$H$19)</f>
        <v>1436</v>
      </c>
      <c r="I8" s="649">
        <f>+SUM([20]A08!$E$19:$H$19)</f>
        <v>2474</v>
      </c>
      <c r="J8" s="649">
        <f>+SUM([63]A08!$E$37:$H$37)+SUM([63]A08!$E$47:$H$47)</f>
        <v>2846</v>
      </c>
      <c r="K8" s="651">
        <f>SUM(C8:J8)</f>
        <v>23620</v>
      </c>
      <c r="M8" s="115"/>
      <c r="N8" s="115"/>
    </row>
    <row r="9" spans="1:14" ht="16.5" customHeight="1">
      <c r="A9" s="293" t="s">
        <v>864</v>
      </c>
      <c r="B9" s="247" t="s">
        <v>25</v>
      </c>
      <c r="C9" s="158">
        <f>+SUM([33]A08!$I$12:$L$12)</f>
        <v>3784</v>
      </c>
      <c r="D9" s="158">
        <f>+SUM([5]A08!$I$12:$L$12)</f>
        <v>4395</v>
      </c>
      <c r="E9" s="158">
        <f>+SUM([38]A08!$I$27:$L$27)</f>
        <v>2433</v>
      </c>
      <c r="F9" s="158">
        <f>+SUM([36]A08!$I$27:$L$27)</f>
        <v>1544</v>
      </c>
      <c r="G9" s="158">
        <f>+SUM([37]A08!$I$12:$L$12)</f>
        <v>484</v>
      </c>
      <c r="H9" s="158">
        <f>+SUM([9]A08!$I$19:$L$19)</f>
        <v>1215</v>
      </c>
      <c r="I9" s="158">
        <f>+SUM([20]A08!$I$19:$L$19)</f>
        <v>1800</v>
      </c>
      <c r="J9" s="158">
        <f>+SUM([63]A08!$I$37:$L$37)+SUM([63]A08!$I$47:$L$47)</f>
        <v>1586</v>
      </c>
      <c r="K9" s="159">
        <f>SUM(C9:J9)</f>
        <v>17241</v>
      </c>
      <c r="M9" s="115"/>
      <c r="N9" s="115"/>
    </row>
    <row r="10" spans="1:14" ht="16.5" customHeight="1">
      <c r="A10" s="191"/>
      <c r="B10" s="247" t="s">
        <v>26</v>
      </c>
      <c r="C10" s="158">
        <f>+[33]A08!$B$13</f>
        <v>5485</v>
      </c>
      <c r="D10" s="158">
        <f>+[5]A08!$B$13</f>
        <v>4921</v>
      </c>
      <c r="E10" s="158">
        <f>+[38]A08!$B$13</f>
        <v>0</v>
      </c>
      <c r="F10" s="158">
        <f>+[36]A08!$B$13</f>
        <v>0</v>
      </c>
      <c r="G10" s="158">
        <f>+[37]A08!$B$13</f>
        <v>0</v>
      </c>
      <c r="H10" s="158">
        <f>+[9]A08!$B$13</f>
        <v>0</v>
      </c>
      <c r="I10" s="158">
        <f>+[20]A08!$B$13</f>
        <v>0</v>
      </c>
      <c r="J10" s="158">
        <v>0</v>
      </c>
      <c r="K10" s="159">
        <f>SUM(C10:J10)</f>
        <v>10406</v>
      </c>
      <c r="M10" s="115"/>
      <c r="N10" s="115"/>
    </row>
    <row r="11" spans="1:14" ht="16.5" customHeight="1">
      <c r="A11" s="293"/>
      <c r="B11" s="247" t="s">
        <v>27</v>
      </c>
      <c r="C11" s="158">
        <f>+SUM([33]A08!$M$12:$AD$12)</f>
        <v>22322</v>
      </c>
      <c r="D11" s="158">
        <f>+SUM([5]A08!$M$12:$AD$12)</f>
        <v>26242</v>
      </c>
      <c r="E11" s="158">
        <f>+SUM([38]A08!$M$27:$AD$27)</f>
        <v>17512</v>
      </c>
      <c r="F11" s="158">
        <f>+SUM([36]A08!$M$27:$AD$27)</f>
        <v>9669</v>
      </c>
      <c r="G11" s="158">
        <f>+SUM([37]A08!$M$12:$AD$12)</f>
        <v>4184</v>
      </c>
      <c r="H11" s="158">
        <f>+SUM([9]A08!$M$19:$AD$19)</f>
        <v>6708</v>
      </c>
      <c r="I11" s="158">
        <f>+SUM([20]A08!$M$19:$AD$19)</f>
        <v>9557</v>
      </c>
      <c r="J11" s="158">
        <f>+SUM([63]A08!$M$37:$AD$37)+SUM([63]A08!$M$47:$AD$47)</f>
        <v>9721</v>
      </c>
      <c r="K11" s="159">
        <f>SUM(C11:J11)</f>
        <v>105915</v>
      </c>
      <c r="M11" s="115"/>
      <c r="N11" s="115"/>
    </row>
    <row r="12" spans="1:14" ht="16.5" customHeight="1">
      <c r="A12" s="293"/>
      <c r="B12" s="247" t="s">
        <v>28</v>
      </c>
      <c r="C12" s="158">
        <f>+SUM([33]A08!$AE$12:$AL$12)</f>
        <v>7415</v>
      </c>
      <c r="D12" s="158">
        <f>+SUM([5]A08!$AE$12:$AL$12)</f>
        <v>8915</v>
      </c>
      <c r="E12" s="158">
        <f>+SUM([38]A08!$AE$27:$AL$27)</f>
        <v>4400</v>
      </c>
      <c r="F12" s="158">
        <f>+SUM([36]A08!$AE$27:$AL$27)</f>
        <v>2840</v>
      </c>
      <c r="G12" s="158">
        <f>+SUM([37]A08!$AE$12:$AL$12)</f>
        <v>323</v>
      </c>
      <c r="H12" s="158">
        <f>+SUM([9]A08!$AE$19:$AL$19)</f>
        <v>1604</v>
      </c>
      <c r="I12" s="158">
        <f>+SUM([20]A08!$AE$19:$AL$19)</f>
        <v>1577</v>
      </c>
      <c r="J12" s="158">
        <f>+SUM([63]A08!$AE$37:$AL$37)+SUM([63]A08!$AE$47:$AL$47)</f>
        <v>2209</v>
      </c>
      <c r="K12" s="159">
        <f>SUM(C12:J12)</f>
        <v>29283</v>
      </c>
      <c r="M12" s="115"/>
      <c r="N12" s="115"/>
    </row>
    <row r="13" spans="1:14" ht="16.5" customHeight="1">
      <c r="A13" s="296"/>
      <c r="B13" s="635" t="s">
        <v>740</v>
      </c>
      <c r="C13" s="162">
        <f>SUM(C8:C12)</f>
        <v>46078</v>
      </c>
      <c r="D13" s="162">
        <f t="shared" ref="D13:G13" si="0">SUM(D8:D12)</f>
        <v>49680</v>
      </c>
      <c r="E13" s="162">
        <f t="shared" si="0"/>
        <v>27280</v>
      </c>
      <c r="F13" s="162">
        <f t="shared" si="0"/>
        <v>15703</v>
      </c>
      <c r="G13" s="162">
        <f t="shared" si="0"/>
        <v>4991</v>
      </c>
      <c r="H13" s="653">
        <f t="shared" ref="H13:K13" si="1">SUM(H8:H12)</f>
        <v>10963</v>
      </c>
      <c r="I13" s="653">
        <f t="shared" si="1"/>
        <v>15408</v>
      </c>
      <c r="J13" s="162">
        <f t="shared" si="1"/>
        <v>16362</v>
      </c>
      <c r="K13" s="162">
        <f t="shared" si="1"/>
        <v>186465</v>
      </c>
      <c r="M13" s="115"/>
    </row>
    <row r="14" spans="1:14" ht="16.5" customHeight="1">
      <c r="A14" s="247"/>
      <c r="B14" s="293" t="s">
        <v>24</v>
      </c>
      <c r="C14" s="157"/>
      <c r="D14" s="158"/>
      <c r="E14" s="157"/>
      <c r="F14" s="158"/>
      <c r="G14" s="157"/>
      <c r="H14" s="652"/>
      <c r="I14" s="652"/>
      <c r="J14" s="649">
        <f>+SUM([63]A08!$E$38:$H$38)+SUM([63]A08!$E$48:$H$48)</f>
        <v>0</v>
      </c>
      <c r="K14" s="159">
        <f>SUM(C14:J14)</f>
        <v>0</v>
      </c>
    </row>
    <row r="15" spans="1:14" ht="16.5" customHeight="1">
      <c r="A15" s="247"/>
      <c r="B15" s="293" t="s">
        <v>25</v>
      </c>
      <c r="C15" s="157"/>
      <c r="D15" s="158"/>
      <c r="E15" s="157"/>
      <c r="F15" s="158"/>
      <c r="G15" s="157"/>
      <c r="H15" s="652"/>
      <c r="I15" s="652"/>
      <c r="J15" s="158">
        <f>+SUM([63]A08!$I$38:$L$38)+SUM([63]A08!$I$48:$L$48)</f>
        <v>3</v>
      </c>
      <c r="K15" s="159">
        <f>SUM(C15:J15)</f>
        <v>3</v>
      </c>
    </row>
    <row r="16" spans="1:14" ht="16.5" customHeight="1">
      <c r="A16" s="247" t="s">
        <v>29</v>
      </c>
      <c r="B16" s="293" t="s">
        <v>26</v>
      </c>
      <c r="C16" s="157"/>
      <c r="D16" s="158"/>
      <c r="E16" s="157"/>
      <c r="F16" s="158"/>
      <c r="G16" s="157"/>
      <c r="H16" s="652"/>
      <c r="I16" s="652"/>
      <c r="J16" s="158">
        <v>0</v>
      </c>
      <c r="K16" s="159">
        <f>SUM(C16:J16)</f>
        <v>0</v>
      </c>
    </row>
    <row r="17" spans="1:11" ht="16.5" customHeight="1">
      <c r="A17" s="247"/>
      <c r="B17" s="293" t="s">
        <v>27</v>
      </c>
      <c r="C17" s="157"/>
      <c r="D17" s="158"/>
      <c r="E17" s="157"/>
      <c r="F17" s="158"/>
      <c r="G17" s="157"/>
      <c r="H17" s="652"/>
      <c r="I17" s="652"/>
      <c r="J17" s="158">
        <f>+SUM([63]A08!$M$38:$AD$38)+SUM([63]A08!$M$48:$AD$48)</f>
        <v>23</v>
      </c>
      <c r="K17" s="159">
        <f>SUM(C17:J17)</f>
        <v>23</v>
      </c>
    </row>
    <row r="18" spans="1:11" ht="16.5" customHeight="1">
      <c r="A18" s="247"/>
      <c r="B18" s="293" t="s">
        <v>28</v>
      </c>
      <c r="C18" s="157"/>
      <c r="D18" s="158"/>
      <c r="E18" s="157"/>
      <c r="F18" s="158"/>
      <c r="G18" s="157"/>
      <c r="H18" s="652"/>
      <c r="I18" s="652"/>
      <c r="J18" s="158">
        <f>+SUM([63]A08!$AE$38:$AL$38)+SUM([63]A08!$AE$48:$AL$48)</f>
        <v>15</v>
      </c>
      <c r="K18" s="159">
        <f>SUM(C18:J18)</f>
        <v>15</v>
      </c>
    </row>
    <row r="19" spans="1:11" ht="16.5" customHeight="1">
      <c r="A19" s="247"/>
      <c r="B19" s="296" t="s">
        <v>740</v>
      </c>
      <c r="C19" s="162">
        <f t="shared" ref="C19:K19" si="2">SUM(C14:C18)</f>
        <v>0</v>
      </c>
      <c r="D19" s="162">
        <f t="shared" si="2"/>
        <v>0</v>
      </c>
      <c r="E19" s="162">
        <f t="shared" si="2"/>
        <v>0</v>
      </c>
      <c r="F19" s="162">
        <f t="shared" si="2"/>
        <v>0</v>
      </c>
      <c r="G19" s="653">
        <f t="shared" si="2"/>
        <v>0</v>
      </c>
      <c r="H19" s="653">
        <f t="shared" si="2"/>
        <v>0</v>
      </c>
      <c r="I19" s="653">
        <f t="shared" si="2"/>
        <v>0</v>
      </c>
      <c r="J19" s="162">
        <f t="shared" si="2"/>
        <v>41</v>
      </c>
      <c r="K19" s="162">
        <f t="shared" si="2"/>
        <v>41</v>
      </c>
    </row>
    <row r="20" spans="1:11" ht="16.5" customHeight="1">
      <c r="A20" s="631"/>
      <c r="B20" s="632" t="s">
        <v>24</v>
      </c>
      <c r="C20" s="648"/>
      <c r="D20" s="649"/>
      <c r="E20" s="648"/>
      <c r="F20" s="649"/>
      <c r="G20" s="648"/>
      <c r="H20" s="650"/>
      <c r="I20" s="650"/>
      <c r="J20" s="649">
        <f>+SUM([63]A08!$E$39:$H$39)+SUM([63]A08!$E$48:$H$48)</f>
        <v>0</v>
      </c>
      <c r="K20" s="651">
        <f>SUM(C20:J20)</f>
        <v>0</v>
      </c>
    </row>
    <row r="21" spans="1:11" ht="16.5" customHeight="1">
      <c r="A21" s="247"/>
      <c r="B21" s="293" t="s">
        <v>25</v>
      </c>
      <c r="C21" s="157"/>
      <c r="D21" s="158"/>
      <c r="E21" s="157"/>
      <c r="F21" s="158"/>
      <c r="G21" s="157"/>
      <c r="H21" s="652"/>
      <c r="I21" s="652"/>
      <c r="J21" s="158">
        <f>+SUM([63]A08!$I$39:$L$39)+SUM([63]A08!$I$48:$L$48)</f>
        <v>1</v>
      </c>
      <c r="K21" s="159">
        <f>SUM(C21:J21)</f>
        <v>1</v>
      </c>
    </row>
    <row r="22" spans="1:11" ht="16.5" customHeight="1">
      <c r="A22" s="247" t="s">
        <v>30</v>
      </c>
      <c r="B22" s="293" t="s">
        <v>26</v>
      </c>
      <c r="C22" s="157"/>
      <c r="D22" s="158"/>
      <c r="E22" s="157"/>
      <c r="F22" s="158"/>
      <c r="G22" s="157"/>
      <c r="H22" s="652"/>
      <c r="I22" s="652"/>
      <c r="J22" s="158">
        <v>0</v>
      </c>
      <c r="K22" s="159">
        <f>SUM(C22:J22)</f>
        <v>0</v>
      </c>
    </row>
    <row r="23" spans="1:11" ht="16.5" customHeight="1">
      <c r="A23" s="247"/>
      <c r="B23" s="293" t="s">
        <v>27</v>
      </c>
      <c r="C23" s="157"/>
      <c r="D23" s="158"/>
      <c r="E23" s="157"/>
      <c r="F23" s="158"/>
      <c r="G23" s="157"/>
      <c r="H23" s="652"/>
      <c r="I23" s="652"/>
      <c r="J23" s="158">
        <f>+SUM([63]A08!$M$39:$AD$39)+SUM([63]A08!$M$48:$AD$48)</f>
        <v>0</v>
      </c>
      <c r="K23" s="159">
        <f>SUM(C23:J23)</f>
        <v>0</v>
      </c>
    </row>
    <row r="24" spans="1:11" ht="16.5" customHeight="1">
      <c r="A24" s="247"/>
      <c r="B24" s="293" t="s">
        <v>28</v>
      </c>
      <c r="C24" s="157"/>
      <c r="D24" s="158"/>
      <c r="E24" s="157"/>
      <c r="F24" s="158"/>
      <c r="G24" s="157"/>
      <c r="H24" s="652"/>
      <c r="I24" s="652"/>
      <c r="J24" s="158">
        <f>+SUM([63]A08!$AE$39:$AL$39)+SUM([63]A08!$AE$48:$AL$48)</f>
        <v>0</v>
      </c>
      <c r="K24" s="159">
        <f>SUM(C24:J24)</f>
        <v>0</v>
      </c>
    </row>
    <row r="25" spans="1:11" ht="16.5" customHeight="1">
      <c r="A25" s="635"/>
      <c r="B25" s="296" t="s">
        <v>740</v>
      </c>
      <c r="C25" s="162">
        <f t="shared" ref="C25:K25" si="3">SUM(C20:C24)</f>
        <v>0</v>
      </c>
      <c r="D25" s="162">
        <f t="shared" si="3"/>
        <v>0</v>
      </c>
      <c r="E25" s="162">
        <f t="shared" si="3"/>
        <v>0</v>
      </c>
      <c r="F25" s="162">
        <f t="shared" si="3"/>
        <v>0</v>
      </c>
      <c r="G25" s="653">
        <f t="shared" si="3"/>
        <v>0</v>
      </c>
      <c r="H25" s="653">
        <f t="shared" si="3"/>
        <v>0</v>
      </c>
      <c r="I25" s="653">
        <f t="shared" si="3"/>
        <v>0</v>
      </c>
      <c r="J25" s="162">
        <f t="shared" si="3"/>
        <v>1</v>
      </c>
      <c r="K25" s="162">
        <f t="shared" si="3"/>
        <v>1</v>
      </c>
    </row>
    <row r="26" spans="1:11" ht="16.5" customHeight="1">
      <c r="A26" s="631"/>
      <c r="B26" s="632" t="s">
        <v>24</v>
      </c>
      <c r="C26" s="648"/>
      <c r="D26" s="649"/>
      <c r="E26" s="648"/>
      <c r="F26" s="649"/>
      <c r="G26" s="648"/>
      <c r="H26" s="650"/>
      <c r="I26" s="650"/>
      <c r="J26" s="649">
        <f>+SUM([63]A08!$E$40:$H$40)+SUM([63]A08!$E$48:$H$48)</f>
        <v>0</v>
      </c>
      <c r="K26" s="651">
        <f>SUM(C26:J26)</f>
        <v>0</v>
      </c>
    </row>
    <row r="27" spans="1:11" ht="16.5" customHeight="1">
      <c r="A27" s="247"/>
      <c r="B27" s="293" t="s">
        <v>25</v>
      </c>
      <c r="C27" s="157"/>
      <c r="D27" s="158"/>
      <c r="E27" s="157"/>
      <c r="F27" s="158"/>
      <c r="G27" s="157"/>
      <c r="H27" s="652"/>
      <c r="I27" s="652"/>
      <c r="J27" s="158">
        <f>+SUM([63]A08!$I$40:$L$40)+SUM([63]A08!$I$48:$L$48)</f>
        <v>1</v>
      </c>
      <c r="K27" s="159">
        <f>SUM(C27:J27)</f>
        <v>1</v>
      </c>
    </row>
    <row r="28" spans="1:11" ht="16.5" customHeight="1">
      <c r="A28" s="247" t="s">
        <v>1178</v>
      </c>
      <c r="B28" s="293" t="s">
        <v>26</v>
      </c>
      <c r="C28" s="157"/>
      <c r="D28" s="158"/>
      <c r="E28" s="157"/>
      <c r="F28" s="158"/>
      <c r="G28" s="157"/>
      <c r="H28" s="652"/>
      <c r="I28" s="652"/>
      <c r="J28" s="158">
        <v>0</v>
      </c>
      <c r="K28" s="159">
        <f>SUM(C28:J28)</f>
        <v>0</v>
      </c>
    </row>
    <row r="29" spans="1:11" ht="16.5" customHeight="1">
      <c r="A29" s="247"/>
      <c r="B29" s="293" t="s">
        <v>27</v>
      </c>
      <c r="C29" s="157"/>
      <c r="D29" s="158"/>
      <c r="E29" s="157"/>
      <c r="F29" s="158"/>
      <c r="G29" s="157"/>
      <c r="H29" s="652"/>
      <c r="I29" s="652"/>
      <c r="J29" s="158">
        <f>+SUM([63]A08!$M$40:$AD$40)+SUM([63]A08!$M$48:$AD$48)</f>
        <v>0</v>
      </c>
      <c r="K29" s="159">
        <f>SUM(C29:J29)</f>
        <v>0</v>
      </c>
    </row>
    <row r="30" spans="1:11" ht="16.5" customHeight="1">
      <c r="A30" s="247"/>
      <c r="B30" s="293" t="s">
        <v>28</v>
      </c>
      <c r="C30" s="157"/>
      <c r="D30" s="158"/>
      <c r="E30" s="157"/>
      <c r="F30" s="158"/>
      <c r="G30" s="157"/>
      <c r="H30" s="652"/>
      <c r="I30" s="652"/>
      <c r="J30" s="158">
        <f>+SUM([63]A08!$AE$40:$AL$40)+SUM([63]A08!$AE$48:$AL$48)</f>
        <v>0</v>
      </c>
      <c r="K30" s="159">
        <f>SUM(C30:J30)</f>
        <v>0</v>
      </c>
    </row>
    <row r="31" spans="1:11" ht="16.5" customHeight="1">
      <c r="A31" s="635"/>
      <c r="B31" s="296" t="s">
        <v>740</v>
      </c>
      <c r="C31" s="162">
        <f t="shared" ref="C31:K31" si="4">SUM(C26:C30)</f>
        <v>0</v>
      </c>
      <c r="D31" s="162">
        <f t="shared" si="4"/>
        <v>0</v>
      </c>
      <c r="E31" s="162">
        <f t="shared" si="4"/>
        <v>0</v>
      </c>
      <c r="F31" s="162">
        <f t="shared" si="4"/>
        <v>0</v>
      </c>
      <c r="G31" s="653">
        <f t="shared" si="4"/>
        <v>0</v>
      </c>
      <c r="H31" s="653">
        <f t="shared" si="4"/>
        <v>0</v>
      </c>
      <c r="I31" s="653">
        <f t="shared" si="4"/>
        <v>0</v>
      </c>
      <c r="J31" s="162">
        <f t="shared" si="4"/>
        <v>1</v>
      </c>
      <c r="K31" s="162">
        <f t="shared" si="4"/>
        <v>1</v>
      </c>
    </row>
    <row r="32" spans="1:11" ht="16.5" customHeight="1">
      <c r="A32" s="247"/>
      <c r="B32" s="293" t="s">
        <v>24</v>
      </c>
      <c r="C32" s="157"/>
      <c r="D32" s="158"/>
      <c r="E32" s="157"/>
      <c r="F32" s="158"/>
      <c r="G32" s="157"/>
      <c r="H32" s="652"/>
      <c r="I32" s="652"/>
      <c r="J32" s="649">
        <f>+SUM([63]A08!$E$41:$H$41)+SUM([63]A08!$E$48:$H$48)</f>
        <v>60</v>
      </c>
      <c r="K32" s="159">
        <f>SUM(C32:J32)</f>
        <v>60</v>
      </c>
    </row>
    <row r="33" spans="1:14" ht="16.5" customHeight="1">
      <c r="A33" s="247"/>
      <c r="B33" s="293" t="s">
        <v>25</v>
      </c>
      <c r="C33" s="157"/>
      <c r="D33" s="158"/>
      <c r="E33" s="157"/>
      <c r="F33" s="158"/>
      <c r="G33" s="157"/>
      <c r="H33" s="652"/>
      <c r="I33" s="652"/>
      <c r="J33" s="158">
        <f>+SUM([63]A08!$I$41:$L$41)+SUM([63]A08!$I$48:$L$48)</f>
        <v>128</v>
      </c>
      <c r="K33" s="159">
        <f>SUM(C33:J33)</f>
        <v>128</v>
      </c>
    </row>
    <row r="34" spans="1:14" ht="16.5" customHeight="1">
      <c r="A34" s="247" t="s">
        <v>31</v>
      </c>
      <c r="B34" s="293" t="s">
        <v>26</v>
      </c>
      <c r="C34" s="157"/>
      <c r="D34" s="158"/>
      <c r="E34" s="157"/>
      <c r="F34" s="158"/>
      <c r="G34" s="157"/>
      <c r="H34" s="652"/>
      <c r="I34" s="652"/>
      <c r="J34" s="158">
        <v>0</v>
      </c>
      <c r="K34" s="159">
        <f>SUM(C34:J34)</f>
        <v>0</v>
      </c>
    </row>
    <row r="35" spans="1:14" ht="16.5" customHeight="1">
      <c r="A35" s="247"/>
      <c r="B35" s="293" t="s">
        <v>27</v>
      </c>
      <c r="C35" s="157"/>
      <c r="D35" s="158"/>
      <c r="E35" s="157"/>
      <c r="F35" s="158"/>
      <c r="G35" s="157"/>
      <c r="H35" s="652"/>
      <c r="I35" s="652"/>
      <c r="J35" s="158">
        <f>+SUM([63]A08!$M$41:$AD$41)+SUM([63]A08!$M$48:$AD$48)</f>
        <v>1003</v>
      </c>
      <c r="K35" s="159">
        <f>SUM(C35:J35)</f>
        <v>1003</v>
      </c>
    </row>
    <row r="36" spans="1:14" ht="16.5" customHeight="1">
      <c r="A36" s="247"/>
      <c r="B36" s="293" t="s">
        <v>28</v>
      </c>
      <c r="C36" s="157"/>
      <c r="D36" s="158"/>
      <c r="E36" s="157"/>
      <c r="F36" s="158"/>
      <c r="G36" s="157"/>
      <c r="H36" s="652"/>
      <c r="I36" s="652"/>
      <c r="J36" s="158">
        <f>+SUM([63]A08!$AE$41:$AL$41)+SUM([63]A08!$AE$48:$AL$48)</f>
        <v>301</v>
      </c>
      <c r="K36" s="159">
        <f>SUM(C36:J36)</f>
        <v>301</v>
      </c>
    </row>
    <row r="37" spans="1:14" ht="16.5" customHeight="1">
      <c r="A37" s="247"/>
      <c r="B37" s="296" t="s">
        <v>740</v>
      </c>
      <c r="C37" s="162">
        <f t="shared" ref="C37:K37" si="5">SUM(C32:C36)</f>
        <v>0</v>
      </c>
      <c r="D37" s="162">
        <f t="shared" si="5"/>
        <v>0</v>
      </c>
      <c r="E37" s="162">
        <f t="shared" si="5"/>
        <v>0</v>
      </c>
      <c r="F37" s="162">
        <f t="shared" si="5"/>
        <v>0</v>
      </c>
      <c r="G37" s="653">
        <f t="shared" si="5"/>
        <v>0</v>
      </c>
      <c r="H37" s="653">
        <f t="shared" si="5"/>
        <v>0</v>
      </c>
      <c r="I37" s="653">
        <f t="shared" si="5"/>
        <v>0</v>
      </c>
      <c r="J37" s="162">
        <f t="shared" si="5"/>
        <v>1492</v>
      </c>
      <c r="K37" s="162">
        <f t="shared" si="5"/>
        <v>1492</v>
      </c>
    </row>
    <row r="38" spans="1:14" ht="16.5" customHeight="1">
      <c r="A38" s="631"/>
      <c r="B38" s="632" t="s">
        <v>24</v>
      </c>
      <c r="C38" s="650">
        <f t="shared" ref="C38:G39" si="6">+C32+C20+C14+C8</f>
        <v>7072</v>
      </c>
      <c r="D38" s="649">
        <f t="shared" si="6"/>
        <v>5207</v>
      </c>
      <c r="E38" s="648">
        <f t="shared" si="6"/>
        <v>2935</v>
      </c>
      <c r="F38" s="649">
        <f t="shared" si="6"/>
        <v>1650</v>
      </c>
      <c r="G38" s="650">
        <f t="shared" si="6"/>
        <v>0</v>
      </c>
      <c r="H38" s="650">
        <f>+H32+H20+H14+H8+H26</f>
        <v>1436</v>
      </c>
      <c r="I38" s="649">
        <f>+I32+I20+I14+I8+I26</f>
        <v>2474</v>
      </c>
      <c r="J38" s="654">
        <f>+J32+J20+J14+J8</f>
        <v>2906</v>
      </c>
      <c r="K38" s="651">
        <f>SUM(C38:J38)</f>
        <v>23680</v>
      </c>
      <c r="N38" s="152"/>
    </row>
    <row r="39" spans="1:14" ht="16.5" customHeight="1">
      <c r="A39" s="247"/>
      <c r="B39" s="293" t="s">
        <v>25</v>
      </c>
      <c r="C39" s="652">
        <f t="shared" si="6"/>
        <v>3784</v>
      </c>
      <c r="D39" s="158">
        <f t="shared" si="6"/>
        <v>4395</v>
      </c>
      <c r="E39" s="157">
        <f t="shared" si="6"/>
        <v>2433</v>
      </c>
      <c r="F39" s="158">
        <f t="shared" si="6"/>
        <v>1544</v>
      </c>
      <c r="G39" s="652">
        <f t="shared" si="6"/>
        <v>484</v>
      </c>
      <c r="H39" s="158">
        <f>+H33+H21+H15+H9+H27</f>
        <v>1215</v>
      </c>
      <c r="I39" s="158">
        <f>+I33+I21+I15+I9+I27</f>
        <v>1800</v>
      </c>
      <c r="J39" s="160">
        <f>+J33+J21+J15+J9</f>
        <v>1718</v>
      </c>
      <c r="K39" s="159">
        <f>SUM(C39:J39)</f>
        <v>17373</v>
      </c>
      <c r="N39" s="152"/>
    </row>
    <row r="40" spans="1:14" ht="16.5" customHeight="1">
      <c r="A40" s="247" t="s">
        <v>832</v>
      </c>
      <c r="B40" s="293" t="s">
        <v>26</v>
      </c>
      <c r="C40" s="652">
        <f t="shared" ref="C40:F42" si="7">+C34+C22+C16+C10</f>
        <v>5485</v>
      </c>
      <c r="D40" s="158">
        <f t="shared" si="7"/>
        <v>4921</v>
      </c>
      <c r="E40" s="157">
        <f t="shared" si="7"/>
        <v>0</v>
      </c>
      <c r="F40" s="158">
        <f t="shared" si="7"/>
        <v>0</v>
      </c>
      <c r="G40" s="157"/>
      <c r="H40" s="158"/>
      <c r="I40" s="158">
        <f>+I34+I22+I16+I10+I28</f>
        <v>0</v>
      </c>
      <c r="J40" s="160">
        <f>+J34+J22+J16+J10</f>
        <v>0</v>
      </c>
      <c r="K40" s="159">
        <f>SUM(C40:J40)</f>
        <v>10406</v>
      </c>
      <c r="N40" s="152"/>
    </row>
    <row r="41" spans="1:14" ht="16.5" customHeight="1">
      <c r="A41" s="247"/>
      <c r="B41" s="293" t="s">
        <v>27</v>
      </c>
      <c r="C41" s="652">
        <f t="shared" si="7"/>
        <v>22322</v>
      </c>
      <c r="D41" s="158">
        <f t="shared" si="7"/>
        <v>26242</v>
      </c>
      <c r="E41" s="157">
        <f t="shared" si="7"/>
        <v>17512</v>
      </c>
      <c r="F41" s="158">
        <f t="shared" si="7"/>
        <v>9669</v>
      </c>
      <c r="G41" s="157">
        <f>+G35+G23+G17+G11</f>
        <v>4184</v>
      </c>
      <c r="H41" s="158">
        <f>+H35+H23+H17+H11</f>
        <v>6708</v>
      </c>
      <c r="I41" s="158">
        <f>+I35+I23+I17+I11+I29</f>
        <v>9557</v>
      </c>
      <c r="J41" s="160">
        <f>+J35+J23+J17+J11</f>
        <v>10747</v>
      </c>
      <c r="K41" s="159">
        <f>SUM(C41:J41)</f>
        <v>106941</v>
      </c>
      <c r="N41" s="152"/>
    </row>
    <row r="42" spans="1:14" ht="16.5" customHeight="1">
      <c r="A42" s="247"/>
      <c r="B42" s="293" t="s">
        <v>28</v>
      </c>
      <c r="C42" s="158">
        <f t="shared" si="7"/>
        <v>7415</v>
      </c>
      <c r="D42" s="158">
        <f t="shared" si="7"/>
        <v>8915</v>
      </c>
      <c r="E42" s="158">
        <f t="shared" si="7"/>
        <v>4400</v>
      </c>
      <c r="F42" s="158">
        <f t="shared" si="7"/>
        <v>2840</v>
      </c>
      <c r="G42" s="652">
        <f>+G36+G24+G18+G12</f>
        <v>323</v>
      </c>
      <c r="H42" s="158">
        <f>+H36+H24+H18+H12</f>
        <v>1604</v>
      </c>
      <c r="I42" s="158">
        <f>+I36+I24+I18+I12+I30</f>
        <v>1577</v>
      </c>
      <c r="J42" s="160">
        <f>+J36+J24+J18+J12</f>
        <v>2525</v>
      </c>
      <c r="K42" s="159">
        <f>SUM(C42:J42)</f>
        <v>29599</v>
      </c>
      <c r="N42" s="152"/>
    </row>
    <row r="43" spans="1:14" ht="16.5" customHeight="1" thickBot="1">
      <c r="A43" s="1016"/>
      <c r="B43" s="1017" t="s">
        <v>740</v>
      </c>
      <c r="C43" s="1018">
        <f t="shared" ref="C43:K43" si="8">SUM(C38:C42)</f>
        <v>46078</v>
      </c>
      <c r="D43" s="158">
        <f t="shared" si="8"/>
        <v>49680</v>
      </c>
      <c r="E43" s="1018">
        <f t="shared" si="8"/>
        <v>27280</v>
      </c>
      <c r="F43" s="158">
        <f t="shared" si="8"/>
        <v>15703</v>
      </c>
      <c r="G43" s="1019">
        <f t="shared" si="8"/>
        <v>4991</v>
      </c>
      <c r="H43" s="1018">
        <f t="shared" si="8"/>
        <v>10963</v>
      </c>
      <c r="I43" s="1018">
        <f t="shared" si="8"/>
        <v>15408</v>
      </c>
      <c r="J43" s="1020">
        <f t="shared" si="8"/>
        <v>17896</v>
      </c>
      <c r="K43" s="1018">
        <f t="shared" si="8"/>
        <v>187999</v>
      </c>
    </row>
    <row r="44" spans="1:14" ht="16.5" customHeight="1">
      <c r="A44" s="247"/>
      <c r="B44" s="627" t="s">
        <v>1215</v>
      </c>
      <c r="C44" s="157">
        <f>+[33]A08!$B57</f>
        <v>202</v>
      </c>
      <c r="D44" s="649">
        <f>+[5]A08!$B57</f>
        <v>193</v>
      </c>
      <c r="E44" s="157">
        <f>+[38]A08!$B57</f>
        <v>8</v>
      </c>
      <c r="F44" s="649">
        <f>+[36]A08!$B57</f>
        <v>4</v>
      </c>
      <c r="G44" s="157">
        <f>+[37]A08!$B57</f>
        <v>2</v>
      </c>
      <c r="H44" s="652"/>
      <c r="I44" s="158"/>
      <c r="J44" s="160"/>
      <c r="K44" s="159">
        <f t="shared" ref="K44:K49" si="9">SUM(C44:J44)</f>
        <v>409</v>
      </c>
    </row>
    <row r="45" spans="1:14">
      <c r="A45" s="247"/>
      <c r="B45" s="627" t="s">
        <v>1216</v>
      </c>
      <c r="C45" s="157">
        <f>+[33]A08!$B58</f>
        <v>1075</v>
      </c>
      <c r="D45" s="158">
        <f>+[5]A08!$B58</f>
        <v>1498</v>
      </c>
      <c r="E45" s="157">
        <f>+[38]A08!$B58</f>
        <v>142</v>
      </c>
      <c r="F45" s="158">
        <f>+[36]A08!$B58</f>
        <v>69</v>
      </c>
      <c r="G45" s="157">
        <f>+[37]A08!$B58</f>
        <v>25</v>
      </c>
      <c r="H45" s="158"/>
      <c r="I45" s="158"/>
      <c r="J45" s="160"/>
      <c r="K45" s="159">
        <f t="shared" si="9"/>
        <v>2809</v>
      </c>
    </row>
    <row r="46" spans="1:14">
      <c r="A46" s="247" t="s">
        <v>1214</v>
      </c>
      <c r="B46" s="627" t="s">
        <v>1217</v>
      </c>
      <c r="C46" s="157">
        <f>+[33]A08!$B59</f>
        <v>24683</v>
      </c>
      <c r="D46" s="158">
        <f>+[5]A08!$B59</f>
        <v>20854</v>
      </c>
      <c r="E46" s="157">
        <f>+[38]A08!$B59</f>
        <v>10812</v>
      </c>
      <c r="F46" s="158">
        <f>+[36]A08!$B59</f>
        <v>4353</v>
      </c>
      <c r="G46" s="157">
        <f>+[37]A08!$B59</f>
        <v>861</v>
      </c>
      <c r="H46" s="158"/>
      <c r="I46" s="158"/>
      <c r="J46" s="160"/>
      <c r="K46" s="159">
        <f t="shared" si="9"/>
        <v>61563</v>
      </c>
      <c r="L46" s="655"/>
    </row>
    <row r="47" spans="1:14">
      <c r="A47" s="247"/>
      <c r="B47" s="627" t="s">
        <v>1218</v>
      </c>
      <c r="C47" s="157">
        <f>+[33]A08!$B60</f>
        <v>14347</v>
      </c>
      <c r="D47" s="158">
        <f>+[5]A08!$B60</f>
        <v>20216</v>
      </c>
      <c r="E47" s="157">
        <f>+[38]A08!$B60</f>
        <v>15814</v>
      </c>
      <c r="F47" s="158">
        <f>+[36]A08!$B60</f>
        <v>10783</v>
      </c>
      <c r="G47" s="157">
        <f>+[37]A08!$B60</f>
        <v>4035</v>
      </c>
      <c r="H47" s="158"/>
      <c r="I47" s="158"/>
      <c r="J47" s="160"/>
      <c r="K47" s="159">
        <f t="shared" si="9"/>
        <v>65195</v>
      </c>
    </row>
    <row r="48" spans="1:14">
      <c r="A48" s="247"/>
      <c r="B48" s="627" t="s">
        <v>1219</v>
      </c>
      <c r="C48" s="157">
        <f>+[33]A08!$B61</f>
        <v>266</v>
      </c>
      <c r="D48" s="158">
        <f>+[5]A08!$B61</f>
        <v>1998</v>
      </c>
      <c r="E48" s="157">
        <f>+[38]A08!$B61</f>
        <v>213</v>
      </c>
      <c r="F48" s="158">
        <f>+[36]A08!$B61</f>
        <v>288</v>
      </c>
      <c r="G48" s="157">
        <f>+[37]A08!$B61</f>
        <v>67</v>
      </c>
      <c r="H48" s="158"/>
      <c r="I48" s="158"/>
      <c r="J48" s="160"/>
      <c r="K48" s="159">
        <f t="shared" si="9"/>
        <v>2832</v>
      </c>
    </row>
    <row r="49" spans="1:11">
      <c r="A49" s="247"/>
      <c r="B49" s="627" t="s">
        <v>1220</v>
      </c>
      <c r="C49" s="157">
        <f>+[33]A08!$B62</f>
        <v>20</v>
      </c>
      <c r="D49" s="158">
        <f>+[5]A08!$B62</f>
        <v>0</v>
      </c>
      <c r="E49" s="157">
        <f>+[38]A08!$B62</f>
        <v>291</v>
      </c>
      <c r="F49" s="158">
        <f>+[36]A08!$B62</f>
        <v>206</v>
      </c>
      <c r="G49" s="157">
        <f>+[37]A08!$B62</f>
        <v>1</v>
      </c>
      <c r="H49" s="158"/>
      <c r="I49" s="158"/>
      <c r="J49" s="160"/>
      <c r="K49" s="159">
        <f t="shared" si="9"/>
        <v>518</v>
      </c>
    </row>
    <row r="50" spans="1:11" ht="18.75" customHeight="1">
      <c r="A50" s="635"/>
      <c r="B50" s="206" t="s">
        <v>740</v>
      </c>
      <c r="C50" s="653">
        <f>SUM(C44:C49)</f>
        <v>40593</v>
      </c>
      <c r="D50" s="162">
        <f>SUM(D44:D49)</f>
        <v>44759</v>
      </c>
      <c r="E50" s="1442">
        <f t="shared" ref="E50:G50" si="10">SUM(E44:E49)</f>
        <v>27280</v>
      </c>
      <c r="F50" s="162">
        <f t="shared" si="10"/>
        <v>15703</v>
      </c>
      <c r="G50" s="1442">
        <f t="shared" si="10"/>
        <v>4991</v>
      </c>
      <c r="H50" s="162">
        <f t="shared" ref="H50:J50" si="11">SUM(H44:H48)</f>
        <v>0</v>
      </c>
      <c r="I50" s="162">
        <f t="shared" si="11"/>
        <v>0</v>
      </c>
      <c r="J50" s="161">
        <f t="shared" si="11"/>
        <v>0</v>
      </c>
      <c r="K50" s="162">
        <f>SUM(K44:K49)</f>
        <v>133326</v>
      </c>
    </row>
    <row r="51" spans="1:11">
      <c r="A51" s="6" t="s">
        <v>1239</v>
      </c>
      <c r="B51" s="6"/>
      <c r="C51" s="6"/>
      <c r="D51" s="6"/>
      <c r="E51" s="6"/>
      <c r="F51" s="6"/>
      <c r="G51" s="6"/>
      <c r="H51" s="6"/>
      <c r="I51" s="6"/>
      <c r="J51" s="6"/>
      <c r="K51" s="6"/>
    </row>
    <row r="52" spans="1:11">
      <c r="A52" s="6"/>
      <c r="B52" s="6"/>
      <c r="C52" s="6"/>
      <c r="D52" s="6"/>
      <c r="E52" s="6"/>
      <c r="F52" s="6"/>
      <c r="G52" s="6"/>
      <c r="H52" s="6"/>
      <c r="I52" s="6"/>
      <c r="J52" s="6"/>
      <c r="K52" s="6"/>
    </row>
    <row r="53" spans="1:11">
      <c r="A53" s="6"/>
      <c r="B53" s="6"/>
      <c r="C53" s="6"/>
      <c r="D53" s="6"/>
      <c r="E53" s="6"/>
      <c r="F53" s="6"/>
      <c r="G53" s="6"/>
      <c r="H53" s="6"/>
      <c r="I53" s="6"/>
      <c r="J53" s="6"/>
      <c r="K53" s="6"/>
    </row>
    <row r="54" spans="1:11">
      <c r="A54" s="6"/>
      <c r="B54" s="6"/>
      <c r="C54" s="6"/>
      <c r="D54" s="6"/>
      <c r="E54" s="6"/>
      <c r="F54" s="6"/>
      <c r="G54" s="6"/>
      <c r="H54" s="6"/>
      <c r="I54" s="6"/>
      <c r="J54" s="6"/>
      <c r="K54" s="6"/>
    </row>
    <row r="55" spans="1:11">
      <c r="A55" s="6"/>
      <c r="B55" s="6"/>
      <c r="C55" s="6"/>
      <c r="D55" s="6"/>
      <c r="E55" s="6"/>
      <c r="F55" s="6"/>
      <c r="G55" s="6"/>
      <c r="H55" s="6"/>
      <c r="I55" s="6"/>
      <c r="J55" s="6"/>
      <c r="K55" s="6"/>
    </row>
    <row r="56" spans="1:11">
      <c r="A56" s="6"/>
      <c r="B56" s="6"/>
      <c r="C56" s="6"/>
      <c r="D56" s="6"/>
      <c r="E56" s="6"/>
      <c r="F56" s="6"/>
      <c r="G56" s="6"/>
      <c r="H56" s="6"/>
      <c r="I56" s="6"/>
      <c r="J56" s="6"/>
      <c r="K56" s="6"/>
    </row>
    <row r="57" spans="1:11">
      <c r="A57" s="6"/>
      <c r="B57" s="6"/>
      <c r="C57" s="6"/>
      <c r="D57" s="6"/>
      <c r="E57" s="6"/>
      <c r="F57" s="6"/>
      <c r="G57" s="6"/>
      <c r="H57" s="6"/>
      <c r="I57" s="6"/>
      <c r="J57" s="6"/>
      <c r="K57" s="6"/>
    </row>
    <row r="58" spans="1:11">
      <c r="A58" s="6"/>
      <c r="B58" s="6"/>
      <c r="C58" s="6"/>
      <c r="D58" s="6"/>
      <c r="E58" s="6"/>
      <c r="F58" s="6"/>
      <c r="G58" s="6"/>
      <c r="H58" s="6"/>
      <c r="I58" s="6"/>
      <c r="J58" s="6"/>
      <c r="K58" s="6"/>
    </row>
    <row r="59" spans="1:11">
      <c r="A59" s="6"/>
      <c r="B59" s="6"/>
      <c r="C59" s="6"/>
      <c r="D59" s="6"/>
      <c r="E59" s="6"/>
      <c r="F59" s="6"/>
      <c r="G59" s="6"/>
      <c r="H59" s="6"/>
      <c r="I59" s="6"/>
      <c r="J59" s="6"/>
      <c r="K59" s="6"/>
    </row>
    <row r="60" spans="1:11">
      <c r="A60" s="6"/>
      <c r="B60" s="6"/>
      <c r="C60" s="6"/>
      <c r="D60" s="6"/>
      <c r="E60" s="6"/>
      <c r="F60" s="6"/>
      <c r="G60" s="6"/>
      <c r="H60" s="6"/>
      <c r="I60" s="6"/>
      <c r="J60" s="6"/>
      <c r="K60" s="6"/>
    </row>
    <row r="61" spans="1:11">
      <c r="A61" s="6"/>
      <c r="B61" s="6"/>
      <c r="C61" s="6"/>
      <c r="D61" s="6"/>
      <c r="E61" s="6"/>
      <c r="F61" s="6"/>
      <c r="G61" s="6"/>
      <c r="H61" s="6"/>
      <c r="I61" s="6"/>
      <c r="J61" s="6"/>
      <c r="K61" s="6"/>
    </row>
    <row r="62" spans="1:11">
      <c r="A62" s="6"/>
      <c r="B62" s="6"/>
      <c r="C62" s="6"/>
      <c r="D62" s="6"/>
      <c r="E62" s="6"/>
      <c r="F62" s="6"/>
      <c r="G62" s="6"/>
      <c r="H62" s="6"/>
      <c r="I62" s="6"/>
      <c r="J62" s="6"/>
      <c r="K62" s="6"/>
    </row>
    <row r="63" spans="1:11">
      <c r="A63" s="6"/>
      <c r="B63" s="6"/>
      <c r="C63" s="6"/>
      <c r="D63" s="6"/>
      <c r="E63" s="6"/>
      <c r="F63" s="6"/>
      <c r="G63" s="6"/>
      <c r="H63" s="6"/>
      <c r="I63" s="6"/>
      <c r="J63" s="6"/>
      <c r="K63" s="6"/>
    </row>
    <row r="64" spans="1:11">
      <c r="A64" s="6"/>
      <c r="B64" s="6"/>
      <c r="C64" s="6"/>
      <c r="D64" s="6"/>
      <c r="E64" s="6"/>
      <c r="F64" s="6"/>
      <c r="G64" s="6"/>
      <c r="H64" s="6"/>
      <c r="I64" s="6"/>
      <c r="J64" s="6"/>
      <c r="K64" s="6"/>
    </row>
    <row r="65" spans="1:11">
      <c r="A65" s="6"/>
      <c r="B65" s="6"/>
      <c r="C65" s="6"/>
      <c r="D65" s="6"/>
      <c r="E65" s="6"/>
      <c r="F65" s="6"/>
      <c r="G65" s="6"/>
      <c r="H65" s="6"/>
      <c r="I65" s="6"/>
      <c r="J65" s="6"/>
      <c r="K65" s="6"/>
    </row>
    <row r="66" spans="1:11">
      <c r="A66" s="6"/>
      <c r="B66" s="6"/>
      <c r="C66" s="6" t="s">
        <v>1431</v>
      </c>
      <c r="D66" s="6"/>
      <c r="E66" s="6"/>
      <c r="F66" s="6"/>
      <c r="G66" s="6"/>
      <c r="H66" s="6"/>
      <c r="I66" s="6"/>
      <c r="J66" s="6"/>
      <c r="K66" s="6"/>
    </row>
    <row r="69" spans="1:11">
      <c r="H69">
        <v>2014</v>
      </c>
      <c r="I69">
        <v>2015</v>
      </c>
      <c r="J69">
        <v>2016</v>
      </c>
    </row>
    <row r="70" spans="1:11">
      <c r="B70" s="627" t="s">
        <v>1215</v>
      </c>
      <c r="J70">
        <v>263</v>
      </c>
    </row>
    <row r="71" spans="1:11">
      <c r="B71" s="627" t="s">
        <v>1216</v>
      </c>
      <c r="J71">
        <v>1601</v>
      </c>
    </row>
    <row r="72" spans="1:11">
      <c r="B72" s="627" t="s">
        <v>1217</v>
      </c>
      <c r="J72">
        <v>57253</v>
      </c>
    </row>
    <row r="73" spans="1:11">
      <c r="B73" s="627" t="s">
        <v>1218</v>
      </c>
      <c r="J73">
        <v>78759</v>
      </c>
    </row>
    <row r="74" spans="1:11">
      <c r="B74" s="627" t="s">
        <v>1219</v>
      </c>
      <c r="J74">
        <v>3065</v>
      </c>
    </row>
    <row r="75" spans="1:11">
      <c r="B75" s="627" t="s">
        <v>1220</v>
      </c>
      <c r="J75">
        <v>2</v>
      </c>
    </row>
    <row r="76" spans="1:11">
      <c r="B76" s="206" t="s">
        <v>740</v>
      </c>
      <c r="J76">
        <v>140943</v>
      </c>
    </row>
    <row r="79" spans="1:11">
      <c r="B79" s="1257" t="s">
        <v>1432</v>
      </c>
      <c r="J79" s="222">
        <f>+SUM(J73:J75)/J76*100</f>
        <v>58.05609359812123</v>
      </c>
    </row>
    <row r="87" spans="2:10">
      <c r="B87" s="1258" t="s">
        <v>511</v>
      </c>
      <c r="J87" s="1274">
        <f t="shared" ref="J87:J92" si="12">+K44/K$50</f>
        <v>3.067668721779698E-3</v>
      </c>
    </row>
    <row r="88" spans="2:10">
      <c r="J88" s="1274">
        <f t="shared" si="12"/>
        <v>2.1068658776232693E-2</v>
      </c>
    </row>
    <row r="89" spans="2:10">
      <c r="J89" s="1274">
        <f t="shared" si="12"/>
        <v>0.46174789613428741</v>
      </c>
    </row>
    <row r="90" spans="2:10">
      <c r="J90" s="1274">
        <f t="shared" si="12"/>
        <v>0.48898939441669292</v>
      </c>
    </row>
    <row r="91" spans="2:10">
      <c r="J91" s="1274">
        <f t="shared" si="12"/>
        <v>2.1241168264254533E-2</v>
      </c>
    </row>
    <row r="92" spans="2:10">
      <c r="J92" s="1274">
        <f t="shared" si="12"/>
        <v>3.8852136867527716E-3</v>
      </c>
    </row>
  </sheetData>
  <phoneticPr fontId="19" type="noConversion"/>
  <pageMargins left="0.78740157480314965" right="0.19685039370078741" top="0.78740157480314965" bottom="0.98425196850393704" header="0.51181102362204722" footer="0.51181102362204722"/>
  <pageSetup paperSize="5" scale="75" orientation="portrait" horizontalDpi="300" verticalDpi="300" r:id="rId1"/>
  <headerFooter alignWithMargins="0">
    <oddHeader xml:space="preserve">&amp;R
</oddHeader>
  </headerFooter>
  <ignoredErrors>
    <ignoredError sqref="K13 K19:K37 I41:K43" formula="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9" zoomScale="75" workbookViewId="0">
      <selection activeCell="O36" sqref="O36"/>
    </sheetView>
  </sheetViews>
  <sheetFormatPr baseColWidth="10" defaultRowHeight="13.2"/>
  <cols>
    <col min="1" max="1" width="16" customWidth="1"/>
    <col min="2" max="16" width="9" customWidth="1"/>
  </cols>
  <sheetData>
    <row r="1" spans="1:16" ht="15.75" customHeight="1">
      <c r="A1" s="4" t="s">
        <v>32</v>
      </c>
      <c r="B1" s="113"/>
      <c r="C1" s="113"/>
      <c r="D1" s="113"/>
      <c r="E1" s="113"/>
      <c r="F1" s="113"/>
      <c r="G1" s="1"/>
      <c r="H1" s="1"/>
      <c r="I1" s="1"/>
      <c r="J1" s="1"/>
      <c r="K1" s="1"/>
      <c r="L1" s="1"/>
      <c r="M1" s="1"/>
      <c r="N1" s="1"/>
      <c r="O1" s="1"/>
      <c r="P1" s="1"/>
    </row>
    <row r="2" spans="1:16" ht="15.75" customHeight="1">
      <c r="A2" s="80" t="s">
        <v>33</v>
      </c>
      <c r="B2" s="113"/>
      <c r="C2" s="113"/>
      <c r="D2" s="113"/>
      <c r="E2" s="113"/>
      <c r="F2" s="113"/>
      <c r="G2" s="1"/>
      <c r="H2" s="1"/>
      <c r="I2" s="1"/>
      <c r="J2" s="1"/>
      <c r="K2" s="1"/>
      <c r="L2" s="1"/>
      <c r="M2" s="1"/>
      <c r="N2" s="1"/>
      <c r="O2" s="1"/>
      <c r="P2" s="1"/>
    </row>
    <row r="3" spans="1:16" ht="15.75" customHeight="1">
      <c r="A3" s="4" t="s">
        <v>1652</v>
      </c>
      <c r="B3" s="113"/>
      <c r="C3" s="113"/>
      <c r="D3" s="113"/>
      <c r="E3" s="113"/>
      <c r="F3" s="113"/>
      <c r="G3" s="1"/>
      <c r="H3" s="1"/>
      <c r="I3" s="1"/>
      <c r="J3" s="1"/>
      <c r="K3" s="1"/>
      <c r="L3" s="1"/>
      <c r="M3" s="1"/>
      <c r="N3" s="1"/>
      <c r="O3" s="1"/>
      <c r="P3" s="1"/>
    </row>
    <row r="4" spans="1:16" ht="15.75" customHeight="1">
      <c r="A4" s="4"/>
      <c r="B4" s="113"/>
      <c r="C4" s="113"/>
      <c r="D4" s="113"/>
      <c r="E4" s="113"/>
      <c r="F4" s="113"/>
      <c r="G4" s="1"/>
      <c r="H4" s="1"/>
      <c r="I4" s="1"/>
      <c r="J4" s="1"/>
      <c r="K4" s="1"/>
      <c r="L4" s="1"/>
      <c r="M4" s="1"/>
      <c r="N4" s="1"/>
      <c r="O4" s="1"/>
      <c r="P4" s="1"/>
    </row>
    <row r="5" spans="1:16" ht="9.75" customHeight="1"/>
    <row r="6" spans="1:16" ht="22.5" customHeight="1">
      <c r="A6" s="62"/>
      <c r="B6" s="288" t="s">
        <v>34</v>
      </c>
      <c r="C6" s="288"/>
      <c r="D6" s="288"/>
      <c r="E6" s="288"/>
      <c r="F6" s="288"/>
      <c r="G6" s="272" t="s">
        <v>1134</v>
      </c>
      <c r="H6" s="288"/>
      <c r="I6" s="288"/>
      <c r="J6" s="288"/>
      <c r="K6" s="288"/>
      <c r="L6" s="272" t="s">
        <v>35</v>
      </c>
      <c r="M6" s="273"/>
      <c r="N6" s="273"/>
      <c r="O6" s="273"/>
      <c r="P6" s="273"/>
    </row>
    <row r="7" spans="1:16" ht="22.5" customHeight="1">
      <c r="A7" s="88" t="s">
        <v>17</v>
      </c>
      <c r="B7" s="656">
        <v>2016</v>
      </c>
      <c r="C7" s="656">
        <v>2017</v>
      </c>
      <c r="D7" s="656">
        <v>2018</v>
      </c>
      <c r="E7" s="656">
        <v>2019</v>
      </c>
      <c r="F7" s="656">
        <v>2020</v>
      </c>
      <c r="G7" s="656">
        <f t="shared" ref="G7:P7" si="0">+B7</f>
        <v>2016</v>
      </c>
      <c r="H7" s="656">
        <f t="shared" si="0"/>
        <v>2017</v>
      </c>
      <c r="I7" s="656">
        <f t="shared" si="0"/>
        <v>2018</v>
      </c>
      <c r="J7" s="656">
        <f t="shared" si="0"/>
        <v>2019</v>
      </c>
      <c r="K7" s="656">
        <f t="shared" si="0"/>
        <v>2020</v>
      </c>
      <c r="L7" s="656">
        <f t="shared" si="0"/>
        <v>2016</v>
      </c>
      <c r="M7" s="656">
        <f t="shared" si="0"/>
        <v>2017</v>
      </c>
      <c r="N7" s="656">
        <f t="shared" si="0"/>
        <v>2018</v>
      </c>
      <c r="O7" s="656">
        <f t="shared" si="0"/>
        <v>2019</v>
      </c>
      <c r="P7" s="656">
        <f t="shared" si="0"/>
        <v>2020</v>
      </c>
    </row>
    <row r="8" spans="1:16" ht="22.5" customHeight="1">
      <c r="A8" s="332" t="s">
        <v>24</v>
      </c>
      <c r="B8" s="657">
        <v>69582</v>
      </c>
      <c r="C8" s="657">
        <v>66429</v>
      </c>
      <c r="D8" s="657">
        <v>64411</v>
      </c>
      <c r="E8" s="657">
        <v>65269</v>
      </c>
      <c r="F8" s="157">
        <f>+'67'!K8</f>
        <v>23620</v>
      </c>
      <c r="G8" s="649">
        <v>38987</v>
      </c>
      <c r="H8" s="650">
        <v>39056</v>
      </c>
      <c r="I8" s="650">
        <v>38884</v>
      </c>
      <c r="J8" s="650">
        <v>38639</v>
      </c>
      <c r="K8" s="649">
        <f>SUM('8'!D87:G87)</f>
        <v>38378</v>
      </c>
      <c r="L8" s="999">
        <f t="shared" ref="L8:P12" si="1">+B8/G8</f>
        <v>1.7847487624079821</v>
      </c>
      <c r="M8" s="658">
        <f t="shared" si="1"/>
        <v>1.7008654240065546</v>
      </c>
      <c r="N8" s="658">
        <f t="shared" si="1"/>
        <v>1.6564911017385042</v>
      </c>
      <c r="O8" s="658">
        <f t="shared" si="1"/>
        <v>1.6892000310567044</v>
      </c>
      <c r="P8" s="658">
        <f t="shared" si="1"/>
        <v>0.61545677210902083</v>
      </c>
    </row>
    <row r="9" spans="1:16" ht="22.5" customHeight="1">
      <c r="A9" s="92" t="s">
        <v>25</v>
      </c>
      <c r="B9" s="659">
        <v>44585</v>
      </c>
      <c r="C9" s="659">
        <v>42919</v>
      </c>
      <c r="D9" s="659">
        <v>40425</v>
      </c>
      <c r="E9" s="659">
        <v>39766</v>
      </c>
      <c r="F9" s="157">
        <f>+'67'!K9</f>
        <v>17241</v>
      </c>
      <c r="G9" s="158">
        <v>37713</v>
      </c>
      <c r="H9" s="652">
        <v>37359</v>
      </c>
      <c r="I9" s="652">
        <v>37286</v>
      </c>
      <c r="J9" s="652">
        <v>37355</v>
      </c>
      <c r="K9" s="158">
        <f>SUM('8'!H87:I87)</f>
        <v>37486</v>
      </c>
      <c r="L9" s="998">
        <f t="shared" si="1"/>
        <v>1.182218333200753</v>
      </c>
      <c r="M9" s="660">
        <f t="shared" si="1"/>
        <v>1.1488262533793732</v>
      </c>
      <c r="N9" s="660">
        <f t="shared" si="1"/>
        <v>1.0841870943517675</v>
      </c>
      <c r="O9" s="660">
        <f t="shared" si="1"/>
        <v>1.0645428992102797</v>
      </c>
      <c r="P9" s="660">
        <f t="shared" si="1"/>
        <v>0.45993170783759268</v>
      </c>
    </row>
    <row r="10" spans="1:16" ht="22.5" customHeight="1">
      <c r="A10" s="92" t="s">
        <v>26</v>
      </c>
      <c r="B10" s="659">
        <v>17254</v>
      </c>
      <c r="C10" s="659">
        <v>16451</v>
      </c>
      <c r="D10" s="659">
        <v>16542</v>
      </c>
      <c r="E10" s="659">
        <v>14969</v>
      </c>
      <c r="F10" s="157">
        <f>+'67'!K10</f>
        <v>10406</v>
      </c>
      <c r="G10" s="158"/>
      <c r="H10" s="652"/>
      <c r="I10" s="652"/>
      <c r="J10" s="652"/>
      <c r="K10" s="158"/>
      <c r="L10" s="998"/>
      <c r="M10" s="661"/>
      <c r="N10" s="660"/>
      <c r="O10" s="661"/>
      <c r="P10" s="661"/>
    </row>
    <row r="11" spans="1:16" ht="22.5" customHeight="1">
      <c r="A11" s="92" t="s">
        <v>27</v>
      </c>
      <c r="B11" s="659">
        <v>142972</v>
      </c>
      <c r="C11" s="659">
        <v>142887</v>
      </c>
      <c r="D11" s="659">
        <v>139765</v>
      </c>
      <c r="E11" s="659">
        <v>134297</v>
      </c>
      <c r="F11" s="157">
        <f>+'67'!K11</f>
        <v>105915</v>
      </c>
      <c r="G11" s="158">
        <v>161233</v>
      </c>
      <c r="H11" s="652">
        <v>163467</v>
      </c>
      <c r="I11" s="652">
        <v>165869</v>
      </c>
      <c r="J11" s="652">
        <v>168226</v>
      </c>
      <c r="K11" s="158">
        <f>SUM('8'!J87:K87)</f>
        <v>170444</v>
      </c>
      <c r="L11" s="998">
        <f t="shared" si="1"/>
        <v>0.88674154794614002</v>
      </c>
      <c r="M11" s="660">
        <f t="shared" si="1"/>
        <v>0.87410302996935163</v>
      </c>
      <c r="N11" s="660">
        <f t="shared" si="1"/>
        <v>0.84262279268579421</v>
      </c>
      <c r="O11" s="660">
        <f t="shared" si="1"/>
        <v>0.79831298372427573</v>
      </c>
      <c r="P11" s="660">
        <f t="shared" si="1"/>
        <v>0.62140644434535686</v>
      </c>
    </row>
    <row r="12" spans="1:16" ht="22.5" customHeight="1">
      <c r="A12" s="92" t="s">
        <v>28</v>
      </c>
      <c r="B12" s="659">
        <v>39236</v>
      </c>
      <c r="C12" s="659">
        <v>39802</v>
      </c>
      <c r="D12" s="659">
        <v>39295</v>
      </c>
      <c r="E12" s="659">
        <v>39814</v>
      </c>
      <c r="F12" s="157">
        <f>+'67'!K12</f>
        <v>29283</v>
      </c>
      <c r="G12" s="158">
        <v>31306</v>
      </c>
      <c r="H12" s="652">
        <v>32571</v>
      </c>
      <c r="I12" s="652">
        <v>34025</v>
      </c>
      <c r="J12" s="652">
        <v>35497</v>
      </c>
      <c r="K12" s="158">
        <f>+'8'!L87</f>
        <v>37058</v>
      </c>
      <c r="L12" s="998">
        <f t="shared" si="1"/>
        <v>1.2533060755126813</v>
      </c>
      <c r="M12" s="660">
        <f t="shared" ref="M12:P13" si="2">+C12/H12</f>
        <v>1.2220073071136901</v>
      </c>
      <c r="N12" s="660">
        <f t="shared" si="2"/>
        <v>1.154886113152094</v>
      </c>
      <c r="O12" s="660">
        <f t="shared" si="2"/>
        <v>1.1216159112037638</v>
      </c>
      <c r="P12" s="660">
        <f t="shared" si="2"/>
        <v>0.7901937503373091</v>
      </c>
    </row>
    <row r="13" spans="1:16" ht="22.5" customHeight="1">
      <c r="A13" s="14" t="s">
        <v>740</v>
      </c>
      <c r="B13" s="662">
        <f>SUM(B8:B12)</f>
        <v>313629</v>
      </c>
      <c r="C13" s="662">
        <f>SUM(C8:C12)</f>
        <v>308488</v>
      </c>
      <c r="D13" s="662">
        <f>SUM(D8:D12)</f>
        <v>300438</v>
      </c>
      <c r="E13" s="662">
        <f>SUM(E8:E12)</f>
        <v>294115</v>
      </c>
      <c r="F13" s="663">
        <f>SUM(F8:F12)</f>
        <v>186465</v>
      </c>
      <c r="G13" s="662">
        <f>SUM(G8:G12)-G10</f>
        <v>269239</v>
      </c>
      <c r="H13" s="662">
        <f>SUM(H8:H12)-H10</f>
        <v>272453</v>
      </c>
      <c r="I13" s="162">
        <f>SUM(I8:I12)-I10</f>
        <v>276064</v>
      </c>
      <c r="J13" s="162">
        <f>SUM(J8:J12)-J10</f>
        <v>279717</v>
      </c>
      <c r="K13" s="162">
        <f>SUM(K8:K12)-K10</f>
        <v>283366</v>
      </c>
      <c r="L13" s="664">
        <f>+B13/G13</f>
        <v>1.1648721024814384</v>
      </c>
      <c r="M13" s="664">
        <f>+C13/H13</f>
        <v>1.1322613441584419</v>
      </c>
      <c r="N13" s="664">
        <f t="shared" si="2"/>
        <v>1.0882911208995016</v>
      </c>
      <c r="O13" s="664">
        <f t="shared" si="2"/>
        <v>1.0514734535262427</v>
      </c>
      <c r="P13" s="664">
        <f t="shared" si="2"/>
        <v>0.65803589703775334</v>
      </c>
    </row>
    <row r="14" spans="1:16" ht="17.25" customHeight="1">
      <c r="A14" s="300"/>
      <c r="B14" s="93"/>
      <c r="C14" s="93"/>
      <c r="D14" s="93"/>
      <c r="E14" s="93"/>
      <c r="F14" s="93"/>
      <c r="G14" s="93"/>
      <c r="H14" s="93"/>
      <c r="I14" s="93"/>
      <c r="J14" s="93"/>
      <c r="K14" s="93"/>
      <c r="L14" s="665"/>
      <c r="M14" s="665"/>
      <c r="N14" s="665"/>
      <c r="O14" s="665"/>
      <c r="P14" s="665"/>
    </row>
    <row r="15" spans="1:16" ht="18" customHeight="1">
      <c r="A15" s="300"/>
      <c r="B15" s="93"/>
      <c r="C15" s="666"/>
      <c r="D15" s="93"/>
      <c r="E15" s="93"/>
      <c r="F15" s="93"/>
      <c r="G15" s="667"/>
      <c r="H15" s="93"/>
      <c r="I15" s="93"/>
      <c r="J15" s="93"/>
      <c r="K15" s="93"/>
      <c r="L15" s="665"/>
      <c r="M15" s="665"/>
      <c r="N15" s="665"/>
      <c r="O15" s="665"/>
      <c r="P15" s="665"/>
    </row>
    <row r="16" spans="1:16" ht="16.5" customHeight="1">
      <c r="G16" s="667"/>
    </row>
    <row r="17" spans="1:6">
      <c r="A17" s="6"/>
      <c r="B17" s="6"/>
      <c r="C17" s="6"/>
      <c r="D17" s="6"/>
      <c r="E17" s="6"/>
      <c r="F17" s="6"/>
    </row>
    <row r="18" spans="1:6">
      <c r="A18" s="6"/>
      <c r="B18" s="6"/>
      <c r="C18" s="6"/>
      <c r="D18" s="6"/>
      <c r="E18" s="6"/>
      <c r="F18" s="6"/>
    </row>
    <row r="19" spans="1:6">
      <c r="A19" s="6"/>
      <c r="B19" s="6"/>
      <c r="C19" s="6"/>
      <c r="D19" s="6"/>
      <c r="E19" s="6"/>
      <c r="F19" s="6"/>
    </row>
    <row r="20" spans="1:6">
      <c r="A20" s="6"/>
      <c r="B20" s="6"/>
      <c r="C20" s="6"/>
      <c r="D20" s="6"/>
      <c r="E20" s="6"/>
      <c r="F20" s="6"/>
    </row>
    <row r="21" spans="1:6">
      <c r="A21" s="6"/>
      <c r="B21" s="6"/>
      <c r="C21" s="6"/>
      <c r="D21" s="6"/>
      <c r="E21" s="6"/>
      <c r="F21" s="6"/>
    </row>
    <row r="22" spans="1:6">
      <c r="A22" s="6"/>
      <c r="B22" s="6"/>
      <c r="C22" s="6"/>
      <c r="D22" s="6"/>
      <c r="E22" s="6"/>
      <c r="F22" s="6"/>
    </row>
    <row r="23" spans="1:6">
      <c r="A23" s="6"/>
      <c r="B23" s="6"/>
      <c r="C23" s="6"/>
      <c r="D23" s="6"/>
      <c r="E23" s="6"/>
      <c r="F23" s="6"/>
    </row>
    <row r="24" spans="1:6">
      <c r="A24" s="6"/>
      <c r="B24" s="6"/>
      <c r="C24" s="6"/>
      <c r="D24" s="6"/>
      <c r="E24" s="6"/>
      <c r="F24" s="6"/>
    </row>
    <row r="25" spans="1:6">
      <c r="A25" s="6"/>
      <c r="B25" s="6"/>
      <c r="C25" s="6"/>
      <c r="D25" s="6"/>
      <c r="E25" s="6"/>
      <c r="F25" s="6"/>
    </row>
    <row r="26" spans="1:6">
      <c r="A26" s="6"/>
      <c r="B26" s="6"/>
      <c r="C26" s="6"/>
      <c r="D26" s="6"/>
      <c r="E26" s="6"/>
      <c r="F26" s="6"/>
    </row>
    <row r="27" spans="1:6">
      <c r="A27" s="6"/>
      <c r="B27" s="6"/>
      <c r="C27" s="6"/>
      <c r="D27" s="6"/>
      <c r="E27" s="6"/>
      <c r="F27" s="6"/>
    </row>
    <row r="28" spans="1:6">
      <c r="A28" s="6"/>
      <c r="B28" s="6"/>
      <c r="C28" s="6"/>
      <c r="D28" s="6"/>
      <c r="E28" s="6"/>
      <c r="F28" s="6"/>
    </row>
    <row r="29" spans="1:6">
      <c r="A29" s="6"/>
      <c r="B29" s="6"/>
      <c r="C29" s="6"/>
      <c r="D29" s="6"/>
      <c r="E29" s="6"/>
      <c r="F29" s="6"/>
    </row>
    <row r="30" spans="1:6">
      <c r="A30" s="6"/>
      <c r="B30" s="6"/>
      <c r="C30" s="6"/>
      <c r="D30" s="6"/>
      <c r="E30" s="6"/>
      <c r="F30" s="6"/>
    </row>
    <row r="31" spans="1:6">
      <c r="A31" s="6"/>
      <c r="B31" s="6"/>
      <c r="C31" s="6"/>
      <c r="D31" s="6"/>
      <c r="E31" s="6"/>
      <c r="F31" s="6"/>
    </row>
    <row r="32" spans="1:6">
      <c r="A32" s="6"/>
      <c r="B32" s="6"/>
      <c r="C32" s="6"/>
      <c r="D32" s="6"/>
      <c r="E32" s="6"/>
      <c r="F32" s="6"/>
    </row>
    <row r="33" spans="1:6">
      <c r="A33" s="6"/>
      <c r="B33" s="6"/>
      <c r="C33" s="6"/>
      <c r="D33" s="6"/>
      <c r="E33" s="6"/>
      <c r="F33" s="6"/>
    </row>
    <row r="34" spans="1:6">
      <c r="A34" s="6"/>
      <c r="B34" s="6"/>
      <c r="C34" s="6"/>
      <c r="D34" s="6"/>
      <c r="E34" s="6"/>
      <c r="F34" s="6"/>
    </row>
    <row r="35" spans="1:6">
      <c r="A35" s="6"/>
      <c r="B35" s="6"/>
      <c r="C35" s="6"/>
      <c r="D35" s="6"/>
      <c r="E35" s="6"/>
      <c r="F35" s="6"/>
    </row>
    <row r="36" spans="1:6">
      <c r="A36" s="6"/>
      <c r="B36" s="6"/>
      <c r="C36" s="6"/>
      <c r="D36" s="6"/>
      <c r="E36" s="6"/>
      <c r="F36" s="6"/>
    </row>
    <row r="37" spans="1:6">
      <c r="A37" s="6"/>
      <c r="B37" s="6"/>
      <c r="C37" s="6"/>
      <c r="D37" s="6"/>
      <c r="E37" s="6"/>
      <c r="F37" s="6"/>
    </row>
    <row r="38" spans="1:6">
      <c r="A38" s="6"/>
      <c r="B38" s="6"/>
      <c r="C38" s="6"/>
      <c r="D38" s="6"/>
      <c r="E38" s="6"/>
      <c r="F38" s="6"/>
    </row>
    <row r="39" spans="1:6">
      <c r="A39" s="6"/>
      <c r="B39" s="6"/>
      <c r="C39" s="6"/>
      <c r="D39" s="6"/>
      <c r="E39" s="6"/>
      <c r="F39" s="6"/>
    </row>
    <row r="40" spans="1:6">
      <c r="A40" s="6"/>
      <c r="B40" s="6"/>
      <c r="C40" s="6"/>
      <c r="D40" s="6"/>
      <c r="E40" s="6"/>
      <c r="F40" s="6"/>
    </row>
    <row r="41" spans="1:6">
      <c r="A41" s="6"/>
      <c r="B41" s="6"/>
      <c r="C41" s="6"/>
      <c r="D41" s="6"/>
      <c r="E41" s="6"/>
      <c r="F41" s="6"/>
    </row>
    <row r="42" spans="1:6">
      <c r="A42" s="6"/>
      <c r="B42" s="6"/>
      <c r="C42" s="6"/>
      <c r="D42" s="6"/>
      <c r="E42" s="6"/>
      <c r="F42" s="6"/>
    </row>
  </sheetData>
  <phoneticPr fontId="19" type="noConversion"/>
  <pageMargins left="1.9685039370078741" right="0.19685039370078741" top="0.59055118110236227" bottom="0.59055118110236227" header="0.51181102362204722" footer="0.51181102362204722"/>
  <pageSetup paperSize="5" scale="85" orientation="landscape"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topLeftCell="A7" workbookViewId="0">
      <selection activeCell="G8" sqref="G8:G9"/>
    </sheetView>
  </sheetViews>
  <sheetFormatPr baseColWidth="10" defaultRowHeight="13.2"/>
  <cols>
    <col min="1" max="1" width="23" customWidth="1"/>
    <col min="2" max="5" width="8" style="236" customWidth="1"/>
    <col min="6" max="6" width="7.77734375" style="236" customWidth="1"/>
    <col min="7" max="7" width="7.77734375" customWidth="1"/>
  </cols>
  <sheetData>
    <row r="1" spans="1:12">
      <c r="A1" s="1689" t="s">
        <v>36</v>
      </c>
      <c r="B1" s="1689"/>
      <c r="C1" s="1689"/>
      <c r="D1" s="1689"/>
      <c r="E1" s="1689"/>
      <c r="F1" s="1689"/>
      <c r="G1" s="1689"/>
    </row>
    <row r="2" spans="1:12">
      <c r="A2" s="80"/>
      <c r="B2" s="668"/>
      <c r="C2" s="668"/>
      <c r="D2" s="668"/>
      <c r="E2" s="668"/>
      <c r="F2" s="668"/>
    </row>
    <row r="3" spans="1:12">
      <c r="A3" s="1689" t="s">
        <v>33</v>
      </c>
      <c r="B3" s="1689"/>
      <c r="C3" s="1689"/>
      <c r="D3" s="1689"/>
      <c r="E3" s="1689"/>
      <c r="F3" s="1689"/>
      <c r="G3" s="1689"/>
    </row>
    <row r="4" spans="1:12">
      <c r="A4" s="113"/>
      <c r="B4" s="668"/>
      <c r="C4" s="668"/>
      <c r="D4" s="668"/>
      <c r="E4" s="668"/>
      <c r="F4" s="668"/>
    </row>
    <row r="5" spans="1:12">
      <c r="A5" s="113"/>
      <c r="B5" s="668"/>
      <c r="C5" s="668"/>
      <c r="D5" s="668"/>
      <c r="E5" s="668"/>
      <c r="F5" s="668"/>
    </row>
    <row r="6" spans="1:12">
      <c r="A6" s="113"/>
      <c r="B6" s="668"/>
      <c r="C6" s="668"/>
      <c r="D6" s="668"/>
      <c r="E6" s="668"/>
      <c r="F6" s="668"/>
    </row>
    <row r="7" spans="1:12" ht="21" customHeight="1">
      <c r="A7" s="65" t="s">
        <v>835</v>
      </c>
      <c r="B7" s="49">
        <v>2015</v>
      </c>
      <c r="C7" s="49">
        <v>2016</v>
      </c>
      <c r="D7" s="49">
        <v>2017</v>
      </c>
      <c r="E7" s="49">
        <v>2018</v>
      </c>
      <c r="F7" s="49">
        <v>2019</v>
      </c>
      <c r="G7" s="49">
        <v>2020</v>
      </c>
    </row>
    <row r="8" spans="1:12" ht="21" customHeight="1">
      <c r="A8" s="65" t="s">
        <v>37</v>
      </c>
      <c r="B8" s="70">
        <v>76526</v>
      </c>
      <c r="C8" s="70">
        <v>74245</v>
      </c>
      <c r="D8" s="70">
        <v>70255</v>
      </c>
      <c r="E8" s="70">
        <v>66809</v>
      </c>
      <c r="F8" s="70">
        <v>64708</v>
      </c>
      <c r="G8" s="70">
        <f>+'67'!C13</f>
        <v>46078</v>
      </c>
      <c r="J8" t="s">
        <v>38</v>
      </c>
      <c r="L8" s="152">
        <f>+G8/$G$16*100</f>
        <v>24.711339929745531</v>
      </c>
    </row>
    <row r="9" spans="1:12" ht="21" customHeight="1">
      <c r="A9" s="65" t="s">
        <v>39</v>
      </c>
      <c r="B9" s="70">
        <v>86259</v>
      </c>
      <c r="C9" s="70">
        <v>83952</v>
      </c>
      <c r="D9" s="70">
        <v>81437</v>
      </c>
      <c r="E9" s="70">
        <v>74629</v>
      </c>
      <c r="F9" s="70">
        <v>73920</v>
      </c>
      <c r="G9" s="70">
        <f>+'67'!D13</f>
        <v>49680</v>
      </c>
      <c r="J9" t="s">
        <v>40</v>
      </c>
      <c r="L9" s="152">
        <f t="shared" ref="L9:L15" si="0">+G9/$G$16*100</f>
        <v>26.64306974499236</v>
      </c>
    </row>
    <row r="10" spans="1:12" ht="21" customHeight="1">
      <c r="A10" s="65" t="s">
        <v>41</v>
      </c>
      <c r="B10" s="70">
        <v>45981</v>
      </c>
      <c r="C10" s="70">
        <v>42159</v>
      </c>
      <c r="D10" s="70">
        <v>49677</v>
      </c>
      <c r="E10" s="70">
        <v>50155</v>
      </c>
      <c r="F10" s="70">
        <v>44541</v>
      </c>
      <c r="G10" s="70">
        <f>+'67'!E13</f>
        <v>27280</v>
      </c>
      <c r="J10" t="s">
        <v>42</v>
      </c>
      <c r="L10" s="152">
        <f t="shared" si="0"/>
        <v>14.630091438071489</v>
      </c>
    </row>
    <row r="11" spans="1:12" ht="21" customHeight="1">
      <c r="A11" s="65" t="s">
        <v>43</v>
      </c>
      <c r="B11" s="70">
        <v>4560</v>
      </c>
      <c r="C11" s="70">
        <v>4614</v>
      </c>
      <c r="D11" s="70">
        <v>4910</v>
      </c>
      <c r="E11" s="70">
        <v>5315</v>
      </c>
      <c r="F11" s="70">
        <v>5996</v>
      </c>
      <c r="G11" s="70">
        <f>+'67'!G13</f>
        <v>4991</v>
      </c>
      <c r="J11" t="s">
        <v>44</v>
      </c>
      <c r="L11" s="152">
        <f t="shared" si="0"/>
        <v>2.6766417290108064</v>
      </c>
    </row>
    <row r="12" spans="1:12" ht="21" customHeight="1">
      <c r="A12" s="65" t="s">
        <v>45</v>
      </c>
      <c r="B12" s="70">
        <v>25904</v>
      </c>
      <c r="C12" s="70">
        <v>25798</v>
      </c>
      <c r="D12" s="70">
        <v>21867</v>
      </c>
      <c r="E12" s="70">
        <v>21584</v>
      </c>
      <c r="F12" s="70">
        <v>21693</v>
      </c>
      <c r="G12" s="70">
        <f>+'67'!F13</f>
        <v>15703</v>
      </c>
      <c r="J12" t="s">
        <v>435</v>
      </c>
      <c r="L12" s="152">
        <f t="shared" si="0"/>
        <v>8.4214195693561802</v>
      </c>
    </row>
    <row r="13" spans="1:12" ht="21" customHeight="1">
      <c r="A13" s="65" t="s">
        <v>46</v>
      </c>
      <c r="B13" s="70">
        <v>29385</v>
      </c>
      <c r="C13" s="70">
        <v>27632</v>
      </c>
      <c r="D13" s="70">
        <v>28549</v>
      </c>
      <c r="E13" s="70">
        <v>29320</v>
      </c>
      <c r="F13" s="70">
        <v>28600</v>
      </c>
      <c r="G13" s="70">
        <f>+'67'!I13</f>
        <v>15408</v>
      </c>
      <c r="J13" t="s">
        <v>47</v>
      </c>
      <c r="L13" s="152">
        <f t="shared" si="0"/>
        <v>8.2632129354034269</v>
      </c>
    </row>
    <row r="14" spans="1:12" ht="21" customHeight="1">
      <c r="A14" s="65" t="s">
        <v>48</v>
      </c>
      <c r="B14" s="70">
        <v>30021</v>
      </c>
      <c r="C14" s="70">
        <v>25719</v>
      </c>
      <c r="D14" s="70">
        <v>21949</v>
      </c>
      <c r="E14" s="70">
        <v>21707</v>
      </c>
      <c r="F14" s="70">
        <v>21590</v>
      </c>
      <c r="G14" s="70">
        <f>+'67'!H13</f>
        <v>10963</v>
      </c>
      <c r="J14" t="s">
        <v>49</v>
      </c>
      <c r="L14" s="152">
        <f t="shared" si="0"/>
        <v>5.8793875526238164</v>
      </c>
    </row>
    <row r="15" spans="1:12" ht="21" customHeight="1">
      <c r="A15" s="65" t="s">
        <v>50</v>
      </c>
      <c r="B15" s="70">
        <v>31179</v>
      </c>
      <c r="C15" s="70">
        <v>29510</v>
      </c>
      <c r="D15" s="70">
        <v>29844</v>
      </c>
      <c r="E15" s="70">
        <v>30919</v>
      </c>
      <c r="F15" s="70">
        <v>33067</v>
      </c>
      <c r="G15" s="70">
        <f>+'67'!J13</f>
        <v>16362</v>
      </c>
      <c r="J15" t="s">
        <v>51</v>
      </c>
      <c r="L15" s="152">
        <f t="shared" si="0"/>
        <v>8.774837100796395</v>
      </c>
    </row>
    <row r="16" spans="1:12" ht="21" customHeight="1">
      <c r="A16" s="65" t="s">
        <v>517</v>
      </c>
      <c r="B16" s="70">
        <f t="shared" ref="B16:G16" si="1">SUM(B8:B15)</f>
        <v>329815</v>
      </c>
      <c r="C16" s="70">
        <f t="shared" si="1"/>
        <v>313629</v>
      </c>
      <c r="D16" s="70">
        <f t="shared" si="1"/>
        <v>308488</v>
      </c>
      <c r="E16" s="70">
        <f t="shared" si="1"/>
        <v>300438</v>
      </c>
      <c r="F16" s="70">
        <f t="shared" si="1"/>
        <v>294115</v>
      </c>
      <c r="G16" s="70">
        <f t="shared" si="1"/>
        <v>186465</v>
      </c>
    </row>
    <row r="17" spans="1:6">
      <c r="A17" s="6"/>
      <c r="B17" s="669"/>
      <c r="C17" s="669"/>
      <c r="D17" s="669"/>
      <c r="E17" s="669"/>
      <c r="F17" s="669"/>
    </row>
    <row r="18" spans="1:6">
      <c r="A18" s="6"/>
      <c r="B18" s="669"/>
      <c r="C18" s="669"/>
      <c r="D18" s="669"/>
      <c r="E18" s="669"/>
      <c r="F18" s="669"/>
    </row>
    <row r="19" spans="1:6">
      <c r="A19" s="6"/>
      <c r="B19" s="669"/>
      <c r="C19" s="669"/>
      <c r="D19" s="669"/>
      <c r="E19" s="669"/>
      <c r="F19" s="669"/>
    </row>
    <row r="20" spans="1:6">
      <c r="A20" s="6"/>
      <c r="B20" s="669"/>
      <c r="C20" s="669"/>
      <c r="D20" s="669"/>
      <c r="E20" s="669"/>
      <c r="F20" s="669"/>
    </row>
    <row r="21" spans="1:6">
      <c r="A21" s="6"/>
      <c r="B21" s="669"/>
      <c r="C21" s="669"/>
      <c r="D21" s="669"/>
      <c r="E21" s="669"/>
      <c r="F21" s="669"/>
    </row>
    <row r="22" spans="1:6">
      <c r="A22" s="6"/>
      <c r="B22" s="669"/>
      <c r="C22" s="669"/>
      <c r="D22" s="669"/>
      <c r="E22" s="669"/>
      <c r="F22" s="669"/>
    </row>
    <row r="23" spans="1:6">
      <c r="A23" s="6"/>
      <c r="B23" s="669"/>
      <c r="C23" s="669"/>
      <c r="D23" s="669"/>
      <c r="E23" s="669"/>
      <c r="F23" s="669"/>
    </row>
    <row r="24" spans="1:6">
      <c r="A24" s="6"/>
      <c r="B24" s="669"/>
      <c r="C24" s="669"/>
      <c r="D24" s="669"/>
      <c r="E24" s="669"/>
      <c r="F24" s="669"/>
    </row>
    <row r="25" spans="1:6">
      <c r="A25" s="6"/>
      <c r="B25" s="669"/>
      <c r="C25" s="669"/>
      <c r="D25" s="669"/>
      <c r="E25" s="669"/>
      <c r="F25" s="669"/>
    </row>
    <row r="26" spans="1:6">
      <c r="A26" s="6"/>
      <c r="B26" s="669"/>
      <c r="C26" s="669"/>
      <c r="D26" s="669"/>
      <c r="E26" s="669"/>
      <c r="F26" s="669"/>
    </row>
    <row r="27" spans="1:6">
      <c r="A27" s="6"/>
      <c r="B27" s="669"/>
      <c r="C27" s="669"/>
      <c r="D27" s="669"/>
      <c r="E27" s="669"/>
      <c r="F27" s="669"/>
    </row>
    <row r="28" spans="1:6">
      <c r="A28" s="6"/>
      <c r="B28" s="669"/>
      <c r="C28" s="669"/>
      <c r="D28" s="669"/>
      <c r="E28" s="669"/>
      <c r="F28" s="669"/>
    </row>
    <row r="29" spans="1:6">
      <c r="A29" s="6"/>
      <c r="B29" s="669"/>
      <c r="C29" s="669"/>
      <c r="D29" s="669"/>
      <c r="E29" s="669"/>
      <c r="F29" s="669"/>
    </row>
    <row r="30" spans="1:6">
      <c r="A30" s="6"/>
      <c r="B30" s="669"/>
      <c r="C30" s="669"/>
      <c r="D30" s="669"/>
      <c r="E30" s="669"/>
      <c r="F30" s="669"/>
    </row>
    <row r="31" spans="1:6">
      <c r="A31" s="6"/>
      <c r="B31" s="669"/>
      <c r="C31" s="669"/>
      <c r="D31" s="669"/>
      <c r="E31" s="669"/>
      <c r="F31" s="669"/>
    </row>
    <row r="32" spans="1:6">
      <c r="A32" s="6"/>
      <c r="B32" s="669"/>
      <c r="C32" s="669"/>
      <c r="D32" s="669"/>
      <c r="E32" s="669"/>
      <c r="F32" s="669"/>
    </row>
    <row r="33" spans="1:6">
      <c r="A33" s="6"/>
      <c r="B33" s="669"/>
      <c r="C33" s="669"/>
      <c r="D33" s="669"/>
      <c r="E33" s="669"/>
      <c r="F33" s="669"/>
    </row>
    <row r="34" spans="1:6">
      <c r="A34" s="6"/>
      <c r="B34" s="669"/>
      <c r="C34" s="669"/>
      <c r="D34" s="669"/>
      <c r="E34" s="669"/>
      <c r="F34" s="669"/>
    </row>
    <row r="35" spans="1:6">
      <c r="A35" s="6"/>
      <c r="B35" s="669"/>
      <c r="C35" s="669"/>
      <c r="D35" s="669"/>
      <c r="E35" s="669"/>
      <c r="F35" s="669"/>
    </row>
    <row r="36" spans="1:6">
      <c r="A36" s="6"/>
      <c r="B36" s="669"/>
      <c r="C36" s="669"/>
      <c r="D36" s="669"/>
      <c r="E36" s="669"/>
      <c r="F36" s="669"/>
    </row>
    <row r="37" spans="1:6">
      <c r="A37" s="6"/>
      <c r="B37" s="669"/>
      <c r="C37" s="669"/>
      <c r="D37" s="669"/>
      <c r="E37" s="669"/>
      <c r="F37" s="669"/>
    </row>
    <row r="38" spans="1:6">
      <c r="A38" s="6"/>
      <c r="B38" s="669"/>
      <c r="C38" s="669"/>
      <c r="D38" s="669"/>
      <c r="E38" s="669"/>
      <c r="F38" s="669"/>
    </row>
    <row r="39" spans="1:6">
      <c r="A39" s="6"/>
      <c r="B39" s="669"/>
      <c r="C39" s="669"/>
      <c r="D39" s="669"/>
      <c r="E39" s="669"/>
      <c r="F39" s="669"/>
    </row>
    <row r="40" spans="1:6">
      <c r="A40" s="6"/>
      <c r="B40" s="669"/>
      <c r="C40" s="669"/>
      <c r="D40" s="669"/>
      <c r="E40" s="669"/>
      <c r="F40" s="669"/>
    </row>
    <row r="41" spans="1:6">
      <c r="A41" s="6"/>
      <c r="B41" s="669"/>
      <c r="C41" s="669"/>
      <c r="D41" s="669"/>
      <c r="E41" s="669"/>
      <c r="F41" s="669"/>
    </row>
    <row r="42" spans="1:6">
      <c r="A42" s="6"/>
      <c r="B42" s="669"/>
      <c r="C42" s="669"/>
      <c r="D42" s="669"/>
      <c r="E42" s="669"/>
      <c r="F42" s="669"/>
    </row>
    <row r="43" spans="1:6">
      <c r="A43" s="6"/>
      <c r="B43" s="669"/>
      <c r="C43" s="669"/>
      <c r="D43" s="669"/>
      <c r="E43" s="669"/>
      <c r="F43" s="669"/>
    </row>
  </sheetData>
  <mergeCells count="2">
    <mergeCell ref="A1:G1"/>
    <mergeCell ref="A3:G3"/>
  </mergeCells>
  <phoneticPr fontId="19" type="noConversion"/>
  <pageMargins left="1.5748031496062993" right="0.19685039370078741" top="0.78740157480314965" bottom="0.98425196850393704" header="0.51181102362204722" footer="0.51181102362204722"/>
  <pageSetup paperSize="5"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topLeftCell="A10" zoomScale="75" workbookViewId="0">
      <selection activeCell="Y46" sqref="Y46"/>
    </sheetView>
  </sheetViews>
  <sheetFormatPr baseColWidth="10" defaultRowHeight="13.2"/>
  <cols>
    <col min="2" max="2" width="21.77734375" customWidth="1"/>
    <col min="3" max="21" width="4.77734375" customWidth="1"/>
    <col min="22" max="29" width="6" customWidth="1"/>
  </cols>
  <sheetData>
    <row r="1" spans="1:21" ht="18" customHeight="1">
      <c r="A1" s="31" t="s">
        <v>430</v>
      </c>
      <c r="B1" s="1"/>
      <c r="C1" s="12"/>
      <c r="D1" s="12"/>
      <c r="E1" s="12"/>
      <c r="F1" s="12"/>
      <c r="G1" s="12"/>
      <c r="H1" s="12"/>
      <c r="I1" s="12"/>
      <c r="J1" s="12"/>
      <c r="K1" s="12"/>
      <c r="L1" s="12"/>
      <c r="M1" s="12"/>
      <c r="N1" s="12"/>
      <c r="O1" s="12"/>
      <c r="P1" s="12"/>
      <c r="Q1" s="12"/>
      <c r="R1" s="12"/>
      <c r="S1" s="12"/>
      <c r="T1" s="12"/>
      <c r="U1" s="12"/>
    </row>
    <row r="4" spans="1:21" ht="117.75" customHeight="1">
      <c r="B4" s="39" t="s">
        <v>431</v>
      </c>
      <c r="C4" s="40" t="s">
        <v>432</v>
      </c>
      <c r="D4" s="40" t="s">
        <v>1278</v>
      </c>
      <c r="E4" s="40" t="s">
        <v>1281</v>
      </c>
      <c r="F4" s="40" t="s">
        <v>426</v>
      </c>
      <c r="G4" s="40" t="s">
        <v>422</v>
      </c>
      <c r="H4" s="40" t="s">
        <v>429</v>
      </c>
      <c r="I4" s="40" t="s">
        <v>433</v>
      </c>
      <c r="J4" s="40" t="s">
        <v>1280</v>
      </c>
      <c r="K4" s="40" t="s">
        <v>1279</v>
      </c>
      <c r="L4" s="40" t="s">
        <v>413</v>
      </c>
      <c r="M4" s="40" t="s">
        <v>394</v>
      </c>
      <c r="N4" s="40" t="s">
        <v>435</v>
      </c>
      <c r="O4" s="40" t="s">
        <v>436</v>
      </c>
      <c r="P4" s="40" t="s">
        <v>411</v>
      </c>
      <c r="Q4" s="40" t="s">
        <v>416</v>
      </c>
      <c r="R4" s="40" t="s">
        <v>437</v>
      </c>
      <c r="S4" s="40" t="s">
        <v>438</v>
      </c>
      <c r="T4" s="40" t="s">
        <v>418</v>
      </c>
      <c r="U4" s="41" t="s">
        <v>439</v>
      </c>
    </row>
    <row r="5" spans="1:21">
      <c r="B5" s="36" t="s">
        <v>432</v>
      </c>
      <c r="C5" s="33">
        <v>0</v>
      </c>
      <c r="D5" s="13"/>
      <c r="E5" s="13"/>
      <c r="F5" s="13"/>
      <c r="G5" s="13"/>
      <c r="H5" s="13"/>
      <c r="I5" s="13"/>
      <c r="J5" s="13"/>
      <c r="K5" s="13"/>
      <c r="L5" s="13"/>
      <c r="M5" s="13"/>
      <c r="N5" s="13"/>
      <c r="O5" s="13"/>
      <c r="P5" s="13"/>
      <c r="Q5" s="13"/>
      <c r="R5" s="13"/>
      <c r="S5" s="13"/>
      <c r="T5" s="13"/>
      <c r="U5" s="11"/>
    </row>
    <row r="6" spans="1:21">
      <c r="B6" s="36" t="s">
        <v>1278</v>
      </c>
      <c r="C6" s="32">
        <v>1</v>
      </c>
      <c r="D6" s="33">
        <v>0</v>
      </c>
      <c r="E6" s="13"/>
      <c r="F6" s="13"/>
      <c r="G6" s="13"/>
      <c r="H6" s="13"/>
      <c r="I6" s="13"/>
      <c r="J6" s="13"/>
      <c r="K6" s="13"/>
      <c r="L6" s="13"/>
      <c r="M6" s="13"/>
      <c r="N6" s="13"/>
      <c r="O6" s="13"/>
      <c r="P6" s="13"/>
      <c r="Q6" s="13"/>
      <c r="R6" s="13"/>
      <c r="S6" s="13"/>
      <c r="T6" s="13"/>
      <c r="U6" s="14"/>
    </row>
    <row r="7" spans="1:21">
      <c r="B7" s="36" t="s">
        <v>642</v>
      </c>
      <c r="C7" s="233">
        <v>1</v>
      </c>
      <c r="D7" s="33"/>
      <c r="E7" s="13"/>
      <c r="F7" s="13"/>
      <c r="G7" s="13"/>
      <c r="H7" s="13"/>
      <c r="I7" s="13"/>
      <c r="J7" s="13"/>
      <c r="K7" s="13"/>
      <c r="L7" s="13"/>
      <c r="M7" s="13"/>
      <c r="N7" s="13"/>
      <c r="O7" s="13"/>
      <c r="P7" s="13"/>
      <c r="Q7" s="13"/>
      <c r="R7" s="13"/>
      <c r="S7" s="13"/>
      <c r="T7" s="13"/>
      <c r="U7" s="14"/>
    </row>
    <row r="8" spans="1:21">
      <c r="B8" s="36" t="s">
        <v>1513</v>
      </c>
      <c r="C8" s="32">
        <v>1</v>
      </c>
      <c r="D8" s="33">
        <v>1</v>
      </c>
      <c r="E8" s="13"/>
      <c r="F8" s="13"/>
      <c r="G8" s="13"/>
      <c r="H8" s="13"/>
      <c r="I8" s="13"/>
      <c r="J8" s="13"/>
      <c r="K8" s="13"/>
      <c r="L8" s="13"/>
      <c r="M8" s="13"/>
      <c r="N8" s="13"/>
      <c r="O8" s="13"/>
      <c r="P8" s="13"/>
      <c r="Q8" s="13"/>
      <c r="R8" s="13"/>
      <c r="S8" s="13"/>
      <c r="T8" s="13"/>
      <c r="U8" s="14"/>
    </row>
    <row r="9" spans="1:21">
      <c r="B9" s="36" t="s">
        <v>1277</v>
      </c>
      <c r="C9" s="32">
        <v>0</v>
      </c>
      <c r="D9" s="32">
        <v>1</v>
      </c>
      <c r="E9" s="33">
        <v>0</v>
      </c>
      <c r="F9" s="13"/>
      <c r="G9" s="13"/>
      <c r="H9" s="13"/>
      <c r="I9" s="13"/>
      <c r="J9" s="13"/>
      <c r="K9" s="13"/>
      <c r="L9" s="13"/>
      <c r="M9" s="13"/>
      <c r="N9" s="13"/>
      <c r="O9" s="13"/>
      <c r="P9" s="13"/>
      <c r="Q9" s="13"/>
      <c r="R9" s="13"/>
      <c r="S9" s="13"/>
      <c r="T9" s="13"/>
      <c r="U9" s="14"/>
    </row>
    <row r="10" spans="1:21">
      <c r="B10" s="36" t="s">
        <v>420</v>
      </c>
      <c r="C10" s="32">
        <v>30</v>
      </c>
      <c r="D10" s="32">
        <v>31</v>
      </c>
      <c r="E10" s="32">
        <v>30</v>
      </c>
      <c r="F10" s="13"/>
      <c r="G10" s="13"/>
      <c r="H10" s="13"/>
      <c r="I10" s="13"/>
      <c r="J10" s="13"/>
      <c r="K10" s="13"/>
      <c r="L10" s="13"/>
      <c r="M10" s="13"/>
      <c r="N10" s="13"/>
      <c r="O10" s="13"/>
      <c r="P10" s="13"/>
      <c r="Q10" s="13"/>
      <c r="R10" s="13"/>
      <c r="S10" s="13"/>
      <c r="T10" s="13"/>
      <c r="U10" s="14"/>
    </row>
    <row r="11" spans="1:21">
      <c r="B11" s="36" t="s">
        <v>426</v>
      </c>
      <c r="C11" s="32">
        <v>5</v>
      </c>
      <c r="D11" s="32">
        <v>6</v>
      </c>
      <c r="E11" s="32">
        <v>5</v>
      </c>
      <c r="F11" s="33">
        <v>0</v>
      </c>
      <c r="G11" s="13"/>
      <c r="H11" s="13"/>
      <c r="I11" s="13"/>
      <c r="J11" s="13"/>
      <c r="K11" s="13"/>
      <c r="L11" s="13"/>
      <c r="M11" s="13"/>
      <c r="N11" s="13"/>
      <c r="O11" s="13"/>
      <c r="P11" s="13"/>
      <c r="Q11" s="13"/>
      <c r="R11" s="13"/>
      <c r="S11" s="13"/>
      <c r="T11" s="13"/>
      <c r="U11" s="14"/>
    </row>
    <row r="12" spans="1:21">
      <c r="B12" s="36" t="s">
        <v>641</v>
      </c>
      <c r="C12" s="32">
        <v>13</v>
      </c>
      <c r="D12" s="32">
        <v>14</v>
      </c>
      <c r="E12" s="32">
        <v>13</v>
      </c>
      <c r="F12" s="32">
        <v>8</v>
      </c>
      <c r="G12" s="13"/>
      <c r="H12" s="13"/>
      <c r="I12" s="13"/>
      <c r="J12" s="13"/>
      <c r="K12" s="13"/>
      <c r="L12" s="13"/>
      <c r="M12" s="13"/>
      <c r="N12" s="13"/>
      <c r="O12" s="13"/>
      <c r="P12" s="13"/>
      <c r="Q12" s="13"/>
      <c r="R12" s="13"/>
      <c r="S12" s="13"/>
      <c r="T12" s="13"/>
      <c r="U12" s="14"/>
    </row>
    <row r="13" spans="1:21">
      <c r="B13" s="36" t="s">
        <v>425</v>
      </c>
      <c r="C13" s="32">
        <v>9</v>
      </c>
      <c r="D13" s="32">
        <v>10</v>
      </c>
      <c r="E13" s="32">
        <v>9</v>
      </c>
      <c r="F13" s="32">
        <v>4</v>
      </c>
      <c r="G13" s="13"/>
      <c r="H13" s="13"/>
      <c r="I13" s="13"/>
      <c r="J13" s="13"/>
      <c r="K13" s="13"/>
      <c r="L13" s="13"/>
      <c r="M13" s="13"/>
      <c r="N13" s="13"/>
      <c r="O13" s="13"/>
      <c r="P13" s="13"/>
      <c r="Q13" s="13"/>
      <c r="R13" s="13"/>
      <c r="S13" s="13"/>
      <c r="T13" s="13"/>
      <c r="U13" s="14"/>
    </row>
    <row r="14" spans="1:21">
      <c r="B14" s="36" t="s">
        <v>427</v>
      </c>
      <c r="C14" s="32">
        <v>20</v>
      </c>
      <c r="D14" s="32">
        <v>21</v>
      </c>
      <c r="E14" s="32">
        <v>20</v>
      </c>
      <c r="F14" s="32">
        <v>15</v>
      </c>
      <c r="G14" s="13"/>
      <c r="H14" s="13"/>
      <c r="I14" s="13"/>
      <c r="J14" s="13"/>
      <c r="K14" s="13"/>
      <c r="L14" s="13"/>
      <c r="M14" s="13"/>
      <c r="N14" s="13"/>
      <c r="O14" s="13"/>
      <c r="P14" s="13"/>
      <c r="Q14" s="13"/>
      <c r="R14" s="13"/>
      <c r="S14" s="13"/>
      <c r="T14" s="13"/>
      <c r="U14" s="14"/>
    </row>
    <row r="15" spans="1:21">
      <c r="B15" s="36" t="s">
        <v>428</v>
      </c>
      <c r="C15" s="32">
        <v>34</v>
      </c>
      <c r="D15" s="32">
        <v>35</v>
      </c>
      <c r="E15" s="32">
        <v>34</v>
      </c>
      <c r="F15" s="32">
        <v>29</v>
      </c>
      <c r="G15" s="13"/>
      <c r="H15" s="13"/>
      <c r="I15" s="13"/>
      <c r="J15" s="13"/>
      <c r="K15" s="13"/>
      <c r="L15" s="13"/>
      <c r="M15" s="13"/>
      <c r="N15" s="13"/>
      <c r="O15" s="13"/>
      <c r="P15" s="13"/>
      <c r="Q15" s="13"/>
      <c r="R15" s="13"/>
      <c r="S15" s="13"/>
      <c r="T15" s="13"/>
      <c r="U15" s="14"/>
    </row>
    <row r="16" spans="1:21">
      <c r="B16" s="36" t="s">
        <v>422</v>
      </c>
      <c r="C16" s="32">
        <v>4</v>
      </c>
      <c r="D16" s="32">
        <v>3</v>
      </c>
      <c r="E16" s="32">
        <v>4</v>
      </c>
      <c r="F16" s="32">
        <v>9</v>
      </c>
      <c r="G16" s="33">
        <v>0</v>
      </c>
      <c r="H16" s="13"/>
      <c r="I16" s="13"/>
      <c r="J16" s="13"/>
      <c r="K16" s="13"/>
      <c r="L16" s="13"/>
      <c r="M16" s="13"/>
      <c r="N16" s="13"/>
      <c r="O16" s="13"/>
      <c r="P16" s="13"/>
      <c r="Q16" s="13"/>
      <c r="R16" s="13"/>
      <c r="S16" s="13"/>
      <c r="T16" s="13"/>
      <c r="U16" s="14"/>
    </row>
    <row r="17" spans="2:21">
      <c r="B17" s="36" t="s">
        <v>421</v>
      </c>
      <c r="C17" s="32">
        <v>7</v>
      </c>
      <c r="D17" s="32">
        <v>6</v>
      </c>
      <c r="E17" s="32">
        <v>7</v>
      </c>
      <c r="F17" s="32">
        <v>8</v>
      </c>
      <c r="G17" s="32">
        <v>3</v>
      </c>
      <c r="H17" s="13"/>
      <c r="I17" s="13"/>
      <c r="J17" s="13"/>
      <c r="K17" s="13"/>
      <c r="L17" s="13"/>
      <c r="M17" s="13"/>
      <c r="N17" s="13"/>
      <c r="O17" s="13"/>
      <c r="P17" s="13"/>
      <c r="Q17" s="13"/>
      <c r="R17" s="13"/>
      <c r="S17" s="13"/>
      <c r="T17" s="13"/>
      <c r="U17" s="14"/>
    </row>
    <row r="18" spans="2:21">
      <c r="B18" s="36" t="s">
        <v>429</v>
      </c>
      <c r="C18" s="32">
        <v>12</v>
      </c>
      <c r="D18" s="32">
        <v>11</v>
      </c>
      <c r="E18" s="32">
        <v>12</v>
      </c>
      <c r="F18" s="32">
        <v>17</v>
      </c>
      <c r="G18" s="32">
        <v>4</v>
      </c>
      <c r="H18" s="33">
        <v>0</v>
      </c>
      <c r="I18" s="13"/>
      <c r="J18" s="13"/>
      <c r="K18" s="13"/>
      <c r="L18" s="13"/>
      <c r="M18" s="13"/>
      <c r="N18" s="13"/>
      <c r="O18" s="13"/>
      <c r="P18" s="13"/>
      <c r="Q18" s="13"/>
      <c r="R18" s="13"/>
      <c r="S18" s="13"/>
      <c r="T18" s="13"/>
      <c r="U18" s="14"/>
    </row>
    <row r="19" spans="2:21">
      <c r="B19" s="36" t="s">
        <v>433</v>
      </c>
      <c r="C19" s="32">
        <v>16</v>
      </c>
      <c r="D19" s="32">
        <v>17</v>
      </c>
      <c r="E19" s="32">
        <v>16</v>
      </c>
      <c r="F19" s="32">
        <v>18</v>
      </c>
      <c r="G19" s="32">
        <v>20</v>
      </c>
      <c r="H19" s="32">
        <v>12</v>
      </c>
      <c r="I19" s="33">
        <v>0</v>
      </c>
      <c r="J19" s="13"/>
      <c r="K19" s="13"/>
      <c r="L19" s="13"/>
      <c r="M19" s="13"/>
      <c r="N19" s="13"/>
      <c r="O19" s="13"/>
      <c r="P19" s="13"/>
      <c r="Q19" s="13"/>
      <c r="R19" s="13"/>
      <c r="S19" s="13"/>
      <c r="T19" s="13"/>
      <c r="U19" s="14"/>
    </row>
    <row r="20" spans="2:21">
      <c r="B20" s="36" t="s">
        <v>1280</v>
      </c>
      <c r="C20" s="32">
        <v>16</v>
      </c>
      <c r="D20" s="32">
        <v>17</v>
      </c>
      <c r="E20" s="32">
        <v>17</v>
      </c>
      <c r="F20" s="32">
        <v>18</v>
      </c>
      <c r="G20" s="32">
        <v>19</v>
      </c>
      <c r="H20" s="32">
        <v>11</v>
      </c>
      <c r="I20" s="32">
        <v>1</v>
      </c>
      <c r="J20" s="232">
        <v>0</v>
      </c>
      <c r="K20" s="13"/>
      <c r="L20" s="13"/>
      <c r="M20" s="13"/>
      <c r="N20" s="13"/>
      <c r="O20" s="13"/>
      <c r="P20" s="13"/>
      <c r="Q20" s="13"/>
      <c r="R20" s="13"/>
      <c r="S20" s="13"/>
      <c r="T20" s="13"/>
      <c r="U20" s="14"/>
    </row>
    <row r="21" spans="2:21">
      <c r="B21" s="36" t="s">
        <v>1443</v>
      </c>
      <c r="C21" s="32">
        <v>16</v>
      </c>
      <c r="D21" s="32">
        <v>17</v>
      </c>
      <c r="E21" s="32">
        <v>17</v>
      </c>
      <c r="F21" s="32">
        <v>18</v>
      </c>
      <c r="G21" s="32">
        <v>19</v>
      </c>
      <c r="H21" s="32">
        <v>11</v>
      </c>
      <c r="I21" s="32">
        <v>1</v>
      </c>
      <c r="J21" s="232">
        <v>0</v>
      </c>
      <c r="K21" s="13"/>
      <c r="L21" s="13"/>
      <c r="M21" s="13"/>
      <c r="N21" s="13"/>
      <c r="O21" s="13"/>
      <c r="P21" s="13"/>
      <c r="Q21" s="13"/>
      <c r="R21" s="13"/>
      <c r="S21" s="13"/>
      <c r="T21" s="13"/>
      <c r="U21" s="14"/>
    </row>
    <row r="22" spans="2:21">
      <c r="B22" s="36" t="s">
        <v>1279</v>
      </c>
      <c r="C22" s="32">
        <v>16</v>
      </c>
      <c r="D22" s="32">
        <v>17</v>
      </c>
      <c r="E22" s="32">
        <v>17</v>
      </c>
      <c r="F22" s="32">
        <v>18</v>
      </c>
      <c r="G22" s="32">
        <v>19</v>
      </c>
      <c r="H22" s="32">
        <v>11</v>
      </c>
      <c r="I22" s="32">
        <v>1</v>
      </c>
      <c r="J22" s="232">
        <v>1</v>
      </c>
      <c r="K22" s="232">
        <v>0</v>
      </c>
      <c r="L22" s="13"/>
      <c r="M22" s="13"/>
      <c r="N22" s="13"/>
      <c r="O22" s="13"/>
      <c r="P22" s="13"/>
      <c r="Q22" s="13"/>
      <c r="R22" s="13"/>
      <c r="S22" s="13"/>
      <c r="T22" s="13"/>
      <c r="U22" s="14"/>
    </row>
    <row r="23" spans="2:21">
      <c r="B23" s="36" t="s">
        <v>413</v>
      </c>
      <c r="C23" s="32">
        <v>10</v>
      </c>
      <c r="D23" s="32">
        <v>11</v>
      </c>
      <c r="E23" s="32">
        <v>10</v>
      </c>
      <c r="F23" s="32">
        <v>15</v>
      </c>
      <c r="G23" s="32">
        <v>13</v>
      </c>
      <c r="H23" s="32">
        <v>5</v>
      </c>
      <c r="I23" s="32">
        <v>6</v>
      </c>
      <c r="J23" s="233">
        <v>5</v>
      </c>
      <c r="K23" s="233">
        <v>5</v>
      </c>
      <c r="L23" s="33">
        <v>0</v>
      </c>
      <c r="M23" s="13"/>
      <c r="N23" s="13"/>
      <c r="O23" s="13"/>
      <c r="P23" s="13"/>
      <c r="Q23" s="13"/>
      <c r="R23" s="13"/>
      <c r="S23" s="13"/>
      <c r="T23" s="13"/>
      <c r="U23" s="14"/>
    </row>
    <row r="24" spans="2:21">
      <c r="B24" s="36" t="s">
        <v>765</v>
      </c>
      <c r="C24" s="32">
        <v>26</v>
      </c>
      <c r="D24" s="32">
        <v>27</v>
      </c>
      <c r="E24" s="32">
        <v>27</v>
      </c>
      <c r="F24" s="32">
        <v>28</v>
      </c>
      <c r="G24" s="32">
        <v>29</v>
      </c>
      <c r="H24" s="32">
        <v>21</v>
      </c>
      <c r="I24" s="32">
        <v>11</v>
      </c>
      <c r="J24" s="233">
        <v>11</v>
      </c>
      <c r="K24" s="233">
        <v>10</v>
      </c>
      <c r="L24" s="32">
        <v>15</v>
      </c>
      <c r="M24" s="33">
        <v>14</v>
      </c>
      <c r="N24" s="13"/>
      <c r="O24" s="13"/>
      <c r="P24" s="13"/>
      <c r="Q24" s="13"/>
      <c r="R24" s="13"/>
      <c r="S24" s="13"/>
      <c r="T24" s="13"/>
      <c r="U24" s="14"/>
    </row>
    <row r="25" spans="2:21">
      <c r="B25" s="36" t="s">
        <v>394</v>
      </c>
      <c r="C25" s="32">
        <v>32</v>
      </c>
      <c r="D25" s="32">
        <v>33</v>
      </c>
      <c r="E25" s="32">
        <v>32</v>
      </c>
      <c r="F25" s="32">
        <v>34</v>
      </c>
      <c r="G25" s="32">
        <v>37</v>
      </c>
      <c r="H25" s="32">
        <v>28</v>
      </c>
      <c r="I25" s="32">
        <v>16</v>
      </c>
      <c r="J25" s="233">
        <v>17</v>
      </c>
      <c r="K25" s="233">
        <v>17</v>
      </c>
      <c r="L25" s="32">
        <v>20</v>
      </c>
      <c r="M25" s="33">
        <v>0</v>
      </c>
      <c r="N25" s="13"/>
      <c r="O25" s="13"/>
      <c r="P25" s="13"/>
      <c r="Q25" s="13"/>
      <c r="R25" s="13"/>
      <c r="S25" s="13"/>
      <c r="T25" s="13"/>
      <c r="U25" s="14"/>
    </row>
    <row r="26" spans="2:21">
      <c r="B26" s="36" t="s">
        <v>435</v>
      </c>
      <c r="C26" s="32">
        <v>30</v>
      </c>
      <c r="D26" s="32">
        <v>31</v>
      </c>
      <c r="E26" s="32">
        <v>30</v>
      </c>
      <c r="F26" s="32">
        <v>32</v>
      </c>
      <c r="G26" s="32">
        <v>35</v>
      </c>
      <c r="H26" s="32">
        <v>26</v>
      </c>
      <c r="I26" s="32">
        <v>14</v>
      </c>
      <c r="J26" s="233">
        <v>15</v>
      </c>
      <c r="K26" s="233">
        <v>15</v>
      </c>
      <c r="L26" s="32">
        <v>20</v>
      </c>
      <c r="M26" s="32">
        <v>2</v>
      </c>
      <c r="N26" s="33">
        <v>0</v>
      </c>
      <c r="O26" s="13"/>
      <c r="P26" s="13"/>
      <c r="Q26" s="13"/>
      <c r="R26" s="13"/>
      <c r="S26" s="13"/>
      <c r="T26" s="13"/>
      <c r="U26" s="14"/>
    </row>
    <row r="27" spans="2:21">
      <c r="B27" s="36" t="s">
        <v>436</v>
      </c>
      <c r="C27" s="32">
        <v>30</v>
      </c>
      <c r="D27" s="32">
        <v>31</v>
      </c>
      <c r="E27" s="32">
        <v>30</v>
      </c>
      <c r="F27" s="32">
        <v>32</v>
      </c>
      <c r="G27" s="32">
        <v>35</v>
      </c>
      <c r="H27" s="32">
        <v>21</v>
      </c>
      <c r="I27" s="32">
        <v>14</v>
      </c>
      <c r="J27" s="233">
        <v>15</v>
      </c>
      <c r="K27" s="233">
        <v>15</v>
      </c>
      <c r="L27" s="32">
        <v>20</v>
      </c>
      <c r="M27" s="32">
        <v>2</v>
      </c>
      <c r="N27" s="32">
        <v>0</v>
      </c>
      <c r="O27" s="33">
        <v>0</v>
      </c>
      <c r="P27" s="13"/>
      <c r="Q27" s="13"/>
      <c r="R27" s="13"/>
      <c r="S27" s="13"/>
      <c r="T27" s="13"/>
      <c r="U27" s="14"/>
    </row>
    <row r="28" spans="2:21">
      <c r="B28" s="36" t="s">
        <v>1440</v>
      </c>
      <c r="C28" s="32">
        <v>29</v>
      </c>
      <c r="D28" s="32">
        <v>30</v>
      </c>
      <c r="E28" s="32">
        <v>29</v>
      </c>
      <c r="F28" s="32">
        <v>31</v>
      </c>
      <c r="G28" s="32">
        <v>34</v>
      </c>
      <c r="H28" s="32">
        <v>20</v>
      </c>
      <c r="I28" s="32">
        <v>13</v>
      </c>
      <c r="J28" s="233">
        <v>14</v>
      </c>
      <c r="K28" s="233">
        <v>14</v>
      </c>
      <c r="L28" s="32">
        <v>19</v>
      </c>
      <c r="M28" s="32">
        <v>9</v>
      </c>
      <c r="N28" s="32">
        <v>8</v>
      </c>
      <c r="O28" s="33">
        <v>8</v>
      </c>
      <c r="P28" s="13"/>
      <c r="Q28" s="13"/>
      <c r="R28" s="13"/>
      <c r="S28" s="13"/>
      <c r="T28" s="13"/>
      <c r="U28" s="14"/>
    </row>
    <row r="29" spans="2:21">
      <c r="B29" s="36" t="s">
        <v>406</v>
      </c>
      <c r="C29" s="32">
        <v>40</v>
      </c>
      <c r="D29" s="32">
        <v>41</v>
      </c>
      <c r="E29" s="32">
        <v>40</v>
      </c>
      <c r="F29" s="32">
        <v>42</v>
      </c>
      <c r="G29" s="32">
        <v>45</v>
      </c>
      <c r="H29" s="32">
        <v>38</v>
      </c>
      <c r="I29" s="32">
        <v>24</v>
      </c>
      <c r="J29" s="233">
        <v>25</v>
      </c>
      <c r="K29" s="233">
        <v>25</v>
      </c>
      <c r="L29" s="32">
        <v>30</v>
      </c>
      <c r="M29" s="32">
        <v>12</v>
      </c>
      <c r="N29" s="32">
        <v>10</v>
      </c>
      <c r="O29" s="32">
        <v>10</v>
      </c>
      <c r="P29" s="13"/>
      <c r="Q29" s="13"/>
      <c r="R29" s="13"/>
      <c r="S29" s="13"/>
      <c r="T29" s="13"/>
      <c r="U29" s="14"/>
    </row>
    <row r="30" spans="2:21">
      <c r="B30" s="36" t="s">
        <v>407</v>
      </c>
      <c r="C30" s="32">
        <v>38</v>
      </c>
      <c r="D30" s="32">
        <v>39</v>
      </c>
      <c r="E30" s="32">
        <v>38</v>
      </c>
      <c r="F30" s="32">
        <v>40</v>
      </c>
      <c r="G30" s="32">
        <v>45</v>
      </c>
      <c r="H30" s="32">
        <v>36</v>
      </c>
      <c r="I30" s="32">
        <v>22</v>
      </c>
      <c r="J30" s="233">
        <v>22</v>
      </c>
      <c r="K30" s="233">
        <v>22</v>
      </c>
      <c r="L30" s="32">
        <v>28</v>
      </c>
      <c r="M30" s="32">
        <v>10</v>
      </c>
      <c r="N30" s="32">
        <v>8</v>
      </c>
      <c r="O30" s="32">
        <v>8</v>
      </c>
      <c r="P30" s="13"/>
      <c r="Q30" s="13"/>
      <c r="R30" s="13"/>
      <c r="S30" s="13"/>
      <c r="T30" s="13"/>
      <c r="U30" s="14"/>
    </row>
    <row r="31" spans="2:21">
      <c r="B31" s="36" t="s">
        <v>408</v>
      </c>
      <c r="C31" s="32">
        <v>26</v>
      </c>
      <c r="D31" s="32">
        <v>27</v>
      </c>
      <c r="E31" s="32">
        <v>26</v>
      </c>
      <c r="F31" s="32">
        <v>28</v>
      </c>
      <c r="G31" s="32">
        <v>30</v>
      </c>
      <c r="H31" s="32">
        <v>25</v>
      </c>
      <c r="I31" s="32">
        <v>6</v>
      </c>
      <c r="J31" s="233">
        <v>10</v>
      </c>
      <c r="K31" s="233">
        <v>9</v>
      </c>
      <c r="L31" s="32">
        <v>12</v>
      </c>
      <c r="M31" s="32">
        <v>12</v>
      </c>
      <c r="N31" s="32">
        <v>10</v>
      </c>
      <c r="O31" s="32">
        <v>10</v>
      </c>
      <c r="P31" s="13"/>
      <c r="Q31" s="13"/>
      <c r="R31" s="13"/>
      <c r="S31" s="13"/>
      <c r="T31" s="13"/>
      <c r="U31" s="14"/>
    </row>
    <row r="32" spans="2:21">
      <c r="B32" s="36" t="s">
        <v>440</v>
      </c>
      <c r="C32" s="32">
        <v>26</v>
      </c>
      <c r="D32" s="32">
        <v>27</v>
      </c>
      <c r="E32" s="32">
        <v>26</v>
      </c>
      <c r="F32" s="32">
        <v>28</v>
      </c>
      <c r="G32" s="32">
        <v>30</v>
      </c>
      <c r="H32" s="32">
        <v>25</v>
      </c>
      <c r="I32" s="32">
        <v>10</v>
      </c>
      <c r="J32" s="233">
        <v>11</v>
      </c>
      <c r="K32" s="233">
        <v>11</v>
      </c>
      <c r="L32" s="32">
        <v>16</v>
      </c>
      <c r="M32" s="32">
        <v>14</v>
      </c>
      <c r="N32" s="32">
        <v>12</v>
      </c>
      <c r="O32" s="32">
        <v>12</v>
      </c>
      <c r="P32" s="13"/>
      <c r="Q32" s="13"/>
      <c r="R32" s="13"/>
      <c r="S32" s="13"/>
      <c r="T32" s="13"/>
      <c r="U32" s="14"/>
    </row>
    <row r="33" spans="2:21">
      <c r="B33" s="36" t="s">
        <v>411</v>
      </c>
      <c r="C33" s="32">
        <v>10</v>
      </c>
      <c r="D33" s="32">
        <v>11</v>
      </c>
      <c r="E33" s="32">
        <v>10</v>
      </c>
      <c r="F33" s="32">
        <v>7</v>
      </c>
      <c r="G33" s="32">
        <v>14</v>
      </c>
      <c r="H33" s="32">
        <v>19</v>
      </c>
      <c r="I33" s="32">
        <v>9</v>
      </c>
      <c r="J33" s="233">
        <v>10</v>
      </c>
      <c r="K33" s="233">
        <v>10</v>
      </c>
      <c r="L33" s="32">
        <v>15</v>
      </c>
      <c r="M33" s="32">
        <v>25</v>
      </c>
      <c r="N33" s="32">
        <v>23</v>
      </c>
      <c r="O33" s="32">
        <v>23</v>
      </c>
      <c r="P33" s="33">
        <v>0</v>
      </c>
      <c r="Q33" s="13"/>
      <c r="R33" s="13"/>
      <c r="S33" s="13"/>
      <c r="T33" s="13"/>
      <c r="U33" s="14"/>
    </row>
    <row r="34" spans="2:21">
      <c r="B34" s="36" t="s">
        <v>643</v>
      </c>
      <c r="C34" s="32">
        <v>8</v>
      </c>
      <c r="D34" s="32">
        <v>9</v>
      </c>
      <c r="E34" s="32">
        <v>8</v>
      </c>
      <c r="F34" s="32">
        <v>6</v>
      </c>
      <c r="G34" s="32">
        <v>13</v>
      </c>
      <c r="H34" s="32">
        <v>18</v>
      </c>
      <c r="I34" s="32">
        <v>8</v>
      </c>
      <c r="J34" s="233">
        <v>9</v>
      </c>
      <c r="K34" s="233">
        <v>9</v>
      </c>
      <c r="L34" s="32">
        <v>14</v>
      </c>
      <c r="M34" s="32">
        <v>24</v>
      </c>
      <c r="N34" s="32">
        <v>22</v>
      </c>
      <c r="O34" s="32">
        <v>22</v>
      </c>
      <c r="P34" s="33">
        <v>1</v>
      </c>
      <c r="Q34" s="13"/>
      <c r="R34" s="13"/>
      <c r="S34" s="13"/>
      <c r="T34" s="13"/>
      <c r="U34" s="14"/>
    </row>
    <row r="35" spans="2:21">
      <c r="B35" s="36" t="s">
        <v>410</v>
      </c>
      <c r="C35" s="32">
        <v>20</v>
      </c>
      <c r="D35" s="32">
        <v>21</v>
      </c>
      <c r="E35" s="32">
        <v>20</v>
      </c>
      <c r="F35" s="32">
        <v>17</v>
      </c>
      <c r="G35" s="32">
        <v>27</v>
      </c>
      <c r="H35" s="32">
        <v>29</v>
      </c>
      <c r="I35" s="32">
        <v>19</v>
      </c>
      <c r="J35" s="233">
        <v>20</v>
      </c>
      <c r="K35" s="233">
        <v>20</v>
      </c>
      <c r="L35" s="32">
        <v>24</v>
      </c>
      <c r="M35" s="32">
        <v>34</v>
      </c>
      <c r="N35" s="32">
        <v>32</v>
      </c>
      <c r="O35" s="32">
        <v>32</v>
      </c>
      <c r="P35" s="32">
        <v>10</v>
      </c>
      <c r="Q35" s="13"/>
      <c r="R35" s="13"/>
      <c r="S35" s="13"/>
      <c r="T35" s="13"/>
      <c r="U35" s="14"/>
    </row>
    <row r="36" spans="2:21">
      <c r="B36" s="36" t="s">
        <v>416</v>
      </c>
      <c r="C36" s="32">
        <v>28</v>
      </c>
      <c r="D36" s="32">
        <v>29</v>
      </c>
      <c r="E36" s="32">
        <v>28</v>
      </c>
      <c r="F36" s="32">
        <v>30</v>
      </c>
      <c r="G36" s="32">
        <v>32</v>
      </c>
      <c r="H36" s="32">
        <v>24</v>
      </c>
      <c r="I36" s="32">
        <v>13</v>
      </c>
      <c r="J36" s="233">
        <v>12</v>
      </c>
      <c r="K36" s="233">
        <v>12</v>
      </c>
      <c r="L36" s="32">
        <v>15</v>
      </c>
      <c r="M36" s="32">
        <v>28</v>
      </c>
      <c r="N36" s="32">
        <v>26</v>
      </c>
      <c r="O36" s="32">
        <v>26</v>
      </c>
      <c r="P36" s="32">
        <v>20</v>
      </c>
      <c r="Q36" s="33">
        <v>0</v>
      </c>
      <c r="R36" s="13"/>
      <c r="S36" s="13"/>
      <c r="T36" s="13"/>
      <c r="U36" s="14"/>
    </row>
    <row r="37" spans="2:21">
      <c r="B37" s="36" t="s">
        <v>437</v>
      </c>
      <c r="C37" s="32">
        <v>46</v>
      </c>
      <c r="D37" s="32">
        <v>47</v>
      </c>
      <c r="E37" s="32">
        <v>46</v>
      </c>
      <c r="F37" s="32">
        <v>48</v>
      </c>
      <c r="G37" s="32">
        <v>50</v>
      </c>
      <c r="H37" s="32">
        <v>42</v>
      </c>
      <c r="I37" s="32">
        <v>30</v>
      </c>
      <c r="J37" s="233">
        <v>29</v>
      </c>
      <c r="K37" s="233">
        <v>29</v>
      </c>
      <c r="L37" s="32">
        <v>33</v>
      </c>
      <c r="M37" s="32">
        <v>46</v>
      </c>
      <c r="N37" s="32">
        <v>44</v>
      </c>
      <c r="O37" s="32">
        <v>44</v>
      </c>
      <c r="P37" s="32">
        <v>39</v>
      </c>
      <c r="Q37" s="32">
        <v>18</v>
      </c>
      <c r="R37" s="33">
        <v>0</v>
      </c>
      <c r="S37" s="13"/>
      <c r="T37" s="13"/>
      <c r="U37" s="14"/>
    </row>
    <row r="38" spans="2:21">
      <c r="B38" s="36" t="s">
        <v>438</v>
      </c>
      <c r="C38" s="32">
        <v>46</v>
      </c>
      <c r="D38" s="32">
        <v>49</v>
      </c>
      <c r="E38" s="32">
        <v>46</v>
      </c>
      <c r="F38" s="32">
        <v>48</v>
      </c>
      <c r="G38" s="32">
        <v>50</v>
      </c>
      <c r="H38" s="32">
        <v>42</v>
      </c>
      <c r="I38" s="32">
        <v>30</v>
      </c>
      <c r="J38" s="233">
        <v>29</v>
      </c>
      <c r="K38" s="233">
        <v>29</v>
      </c>
      <c r="L38" s="32">
        <v>33</v>
      </c>
      <c r="M38" s="32">
        <v>46</v>
      </c>
      <c r="N38" s="32">
        <v>44</v>
      </c>
      <c r="O38" s="32">
        <v>44</v>
      </c>
      <c r="P38" s="32">
        <v>39</v>
      </c>
      <c r="Q38" s="32">
        <v>18</v>
      </c>
      <c r="R38" s="32">
        <v>0</v>
      </c>
      <c r="S38" s="33">
        <v>0</v>
      </c>
      <c r="T38" s="13"/>
      <c r="U38" s="14"/>
    </row>
    <row r="39" spans="2:21">
      <c r="B39" s="36" t="s">
        <v>418</v>
      </c>
      <c r="C39" s="32">
        <v>38</v>
      </c>
      <c r="D39" s="32">
        <v>39</v>
      </c>
      <c r="E39" s="32">
        <v>38</v>
      </c>
      <c r="F39" s="32">
        <v>46</v>
      </c>
      <c r="G39" s="32">
        <v>48</v>
      </c>
      <c r="H39" s="32">
        <v>40</v>
      </c>
      <c r="I39" s="32">
        <v>27</v>
      </c>
      <c r="J39" s="233">
        <v>26</v>
      </c>
      <c r="K39" s="233">
        <v>26</v>
      </c>
      <c r="L39" s="32">
        <v>30</v>
      </c>
      <c r="M39" s="32">
        <v>44</v>
      </c>
      <c r="N39" s="32">
        <v>46</v>
      </c>
      <c r="O39" s="32">
        <v>46</v>
      </c>
      <c r="P39" s="32">
        <v>34</v>
      </c>
      <c r="Q39" s="32">
        <v>14</v>
      </c>
      <c r="R39" s="32">
        <v>8</v>
      </c>
      <c r="S39" s="32">
        <v>8</v>
      </c>
      <c r="T39" s="33">
        <v>0</v>
      </c>
      <c r="U39" s="14"/>
    </row>
    <row r="40" spans="2:21">
      <c r="B40" s="37" t="s">
        <v>644</v>
      </c>
      <c r="C40" s="34">
        <v>51</v>
      </c>
      <c r="D40" s="34">
        <v>52</v>
      </c>
      <c r="E40" s="34">
        <v>51</v>
      </c>
      <c r="F40" s="34">
        <v>59</v>
      </c>
      <c r="G40" s="34">
        <v>61</v>
      </c>
      <c r="H40" s="34">
        <v>53</v>
      </c>
      <c r="I40" s="34">
        <v>41</v>
      </c>
      <c r="J40" s="234">
        <v>40</v>
      </c>
      <c r="K40" s="234">
        <v>40</v>
      </c>
      <c r="L40" s="34">
        <v>45</v>
      </c>
      <c r="M40" s="34">
        <v>57</v>
      </c>
      <c r="N40" s="34">
        <v>55</v>
      </c>
      <c r="O40" s="34">
        <v>55</v>
      </c>
      <c r="P40" s="34">
        <v>50</v>
      </c>
      <c r="Q40" s="34">
        <v>28</v>
      </c>
      <c r="R40" s="34">
        <v>21</v>
      </c>
      <c r="S40" s="34">
        <v>21</v>
      </c>
      <c r="T40" s="34">
        <v>13</v>
      </c>
      <c r="U40" s="14"/>
    </row>
    <row r="41" spans="2:21">
      <c r="B41" s="38" t="s">
        <v>439</v>
      </c>
      <c r="C41" s="34">
        <v>143</v>
      </c>
      <c r="D41" s="34">
        <v>144</v>
      </c>
      <c r="E41" s="34">
        <v>143</v>
      </c>
      <c r="F41" s="34">
        <v>145</v>
      </c>
      <c r="G41" s="34">
        <v>147</v>
      </c>
      <c r="H41" s="34">
        <v>136</v>
      </c>
      <c r="I41" s="34">
        <v>127</v>
      </c>
      <c r="J41" s="234">
        <v>126</v>
      </c>
      <c r="K41" s="234">
        <v>126</v>
      </c>
      <c r="L41" s="34">
        <v>133</v>
      </c>
      <c r="M41" s="34">
        <v>143</v>
      </c>
      <c r="N41" s="34">
        <v>141</v>
      </c>
      <c r="O41" s="34">
        <v>141</v>
      </c>
      <c r="P41" s="34">
        <v>136</v>
      </c>
      <c r="Q41" s="34">
        <v>114</v>
      </c>
      <c r="R41" s="34">
        <v>100</v>
      </c>
      <c r="S41" s="34">
        <v>100</v>
      </c>
      <c r="T41" s="34">
        <v>108</v>
      </c>
      <c r="U41" s="35">
        <v>0</v>
      </c>
    </row>
  </sheetData>
  <phoneticPr fontId="0" type="noConversion"/>
  <pageMargins left="1.5748031496062993" right="0.78740157480314965" top="0.48" bottom="0.68" header="0.51181102362204722" footer="0.51181102362204722"/>
  <pageSetup paperSize="9" scale="95"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6"/>
  <sheetViews>
    <sheetView topLeftCell="A7" zoomScale="75" zoomScaleNormal="75" workbookViewId="0">
      <selection activeCell="I12" sqref="I12"/>
    </sheetView>
  </sheetViews>
  <sheetFormatPr baseColWidth="10" defaultRowHeight="13.2"/>
  <cols>
    <col min="1" max="1" width="20.5546875" customWidth="1"/>
    <col min="2" max="2" width="36.77734375" customWidth="1"/>
    <col min="3" max="10" width="13.21875" customWidth="1"/>
    <col min="12" max="12" width="8" customWidth="1"/>
  </cols>
  <sheetData>
    <row r="1" spans="1:12">
      <c r="A1" s="80" t="s">
        <v>52</v>
      </c>
      <c r="B1" s="113"/>
      <c r="C1" s="113"/>
      <c r="D1" s="113"/>
      <c r="E1" s="113"/>
      <c r="F1" s="113"/>
      <c r="G1" s="113"/>
      <c r="H1" s="113"/>
      <c r="I1" s="113"/>
      <c r="J1" s="113"/>
    </row>
    <row r="2" spans="1:12">
      <c r="A2" s="80"/>
      <c r="B2" s="113"/>
      <c r="C2" s="113"/>
      <c r="D2" s="113"/>
      <c r="E2" s="113"/>
      <c r="F2" s="113"/>
      <c r="G2" s="113"/>
      <c r="H2" s="113"/>
      <c r="I2" s="113"/>
      <c r="J2" s="113"/>
    </row>
    <row r="3" spans="1:12">
      <c r="A3" s="3" t="s">
        <v>1685</v>
      </c>
      <c r="B3" s="113"/>
      <c r="C3" s="113"/>
      <c r="D3" s="113"/>
      <c r="E3" s="113"/>
      <c r="F3" s="113"/>
      <c r="G3" s="113"/>
      <c r="H3" s="113"/>
      <c r="I3" s="113"/>
      <c r="J3" s="113"/>
    </row>
    <row r="4" spans="1:12">
      <c r="A4" s="80"/>
      <c r="B4" s="113"/>
      <c r="C4" s="113"/>
      <c r="D4" s="113"/>
      <c r="E4" s="113"/>
      <c r="F4" s="113"/>
      <c r="G4" s="113"/>
      <c r="H4" s="113"/>
      <c r="I4" s="113"/>
      <c r="J4" s="113"/>
    </row>
    <row r="5" spans="1:12">
      <c r="A5" s="113"/>
      <c r="B5" s="113"/>
      <c r="C5" s="113"/>
      <c r="D5" s="113"/>
      <c r="E5" s="113"/>
      <c r="F5" s="113"/>
      <c r="G5" s="113"/>
      <c r="H5" s="113"/>
      <c r="I5" s="113"/>
      <c r="J5" s="113"/>
    </row>
    <row r="6" spans="1:12">
      <c r="A6" s="216"/>
      <c r="B6" s="216"/>
      <c r="C6" s="216"/>
      <c r="D6" s="216"/>
      <c r="E6" s="216"/>
      <c r="F6" s="216"/>
      <c r="G6" s="216"/>
      <c r="H6" s="216"/>
      <c r="I6" s="216"/>
      <c r="J6" s="216"/>
    </row>
    <row r="7" spans="1:12" ht="33.75" customHeight="1">
      <c r="A7" s="1265" t="s">
        <v>53</v>
      </c>
      <c r="B7" s="281"/>
      <c r="C7" s="90" t="s">
        <v>54</v>
      </c>
      <c r="D7" s="90" t="s">
        <v>55</v>
      </c>
      <c r="E7" s="89" t="s">
        <v>449</v>
      </c>
      <c r="F7" s="90" t="s">
        <v>1031</v>
      </c>
      <c r="G7" s="89" t="s">
        <v>56</v>
      </c>
      <c r="H7" s="90" t="s">
        <v>1424</v>
      </c>
      <c r="I7" s="670" t="s">
        <v>1423</v>
      </c>
      <c r="J7" s="292" t="s">
        <v>637</v>
      </c>
      <c r="K7" s="6"/>
    </row>
    <row r="8" spans="1:12" ht="30" customHeight="1">
      <c r="A8" s="1266" t="s">
        <v>1445</v>
      </c>
      <c r="B8" s="1267"/>
      <c r="C8" s="1264">
        <f>+[64]B17!$C$368</f>
        <v>2189</v>
      </c>
      <c r="D8" s="1264">
        <f>+[65]B17!$C$368</f>
        <v>1967</v>
      </c>
      <c r="E8" s="1264"/>
      <c r="F8" s="1264"/>
      <c r="G8" s="1264"/>
      <c r="H8" s="1264"/>
      <c r="I8" s="671"/>
      <c r="J8" s="672">
        <f t="shared" ref="J8:J12" si="0">SUM(C8:I8)</f>
        <v>4156</v>
      </c>
      <c r="K8" s="6"/>
    </row>
    <row r="9" spans="1:12" ht="30" customHeight="1">
      <c r="A9" s="1268" t="s">
        <v>1446</v>
      </c>
      <c r="B9" s="1269"/>
      <c r="C9" s="1264">
        <f>+[64]B17!$C$369</f>
        <v>1039</v>
      </c>
      <c r="D9" s="1264">
        <f>+[65]B17!$C$369</f>
        <v>240</v>
      </c>
      <c r="E9" s="1264"/>
      <c r="F9" s="1264"/>
      <c r="G9" s="1264"/>
      <c r="H9" s="1264"/>
      <c r="I9" s="671"/>
      <c r="J9" s="672">
        <f t="shared" si="0"/>
        <v>1279</v>
      </c>
      <c r="K9" s="6"/>
      <c r="L9" s="115">
        <f>SUM(J8:J9)</f>
        <v>5435</v>
      </c>
    </row>
    <row r="10" spans="1:12" ht="30" customHeight="1">
      <c r="A10" s="1266" t="s">
        <v>1448</v>
      </c>
      <c r="B10" s="1267"/>
      <c r="C10" s="1264">
        <f>+[64]B17!$C$370</f>
        <v>1038</v>
      </c>
      <c r="D10" s="1264">
        <f>+[65]B17!$C$370</f>
        <v>1906</v>
      </c>
      <c r="E10" s="1264"/>
      <c r="F10" s="1264"/>
      <c r="G10" s="1264"/>
      <c r="H10" s="1264"/>
      <c r="I10" s="671"/>
      <c r="J10" s="672">
        <f t="shared" si="0"/>
        <v>2944</v>
      </c>
      <c r="K10" s="6"/>
    </row>
    <row r="11" spans="1:12" ht="30" customHeight="1">
      <c r="A11" s="1268" t="s">
        <v>1447</v>
      </c>
      <c r="B11" s="1269"/>
      <c r="C11" s="1264">
        <f>+[64]B17!$C$371</f>
        <v>12</v>
      </c>
      <c r="D11" s="1264">
        <f>+[65]B17!$C$371</f>
        <v>22</v>
      </c>
      <c r="E11" s="1264"/>
      <c r="F11" s="1264"/>
      <c r="G11" s="1264"/>
      <c r="H11" s="1264"/>
      <c r="I11" s="671"/>
      <c r="J11" s="672">
        <f t="shared" si="0"/>
        <v>34</v>
      </c>
      <c r="K11" s="6"/>
      <c r="L11" s="115">
        <f>SUM(J10:J11)</f>
        <v>2978</v>
      </c>
    </row>
    <row r="12" spans="1:12" ht="30" customHeight="1">
      <c r="A12" s="1268" t="s">
        <v>59</v>
      </c>
      <c r="B12" s="1269"/>
      <c r="C12" s="1264">
        <f>+[64]B17!$K$364</f>
        <v>3301</v>
      </c>
      <c r="D12" s="1264">
        <f>+[65]B17!$K$364</f>
        <v>2783</v>
      </c>
      <c r="E12" s="1264">
        <f>+[66]B17!$K$364</f>
        <v>0</v>
      </c>
      <c r="F12" s="1264">
        <f>+[67]B17!$K$364</f>
        <v>256</v>
      </c>
      <c r="G12" s="1264">
        <f>+[68]B17!$K$364</f>
        <v>0</v>
      </c>
      <c r="H12" s="1264">
        <f>+[69]B17!$K$364+[70]B17!$K$364+[71]B17!$K$364</f>
        <v>100</v>
      </c>
      <c r="I12" s="671">
        <f>+[72]BM18A!$C$565+[72]BM18A!$H$565</f>
        <v>294</v>
      </c>
      <c r="J12" s="672">
        <f t="shared" si="0"/>
        <v>6734</v>
      </c>
      <c r="K12" s="6"/>
      <c r="L12" s="115"/>
    </row>
    <row r="13" spans="1:12" ht="30" customHeight="1">
      <c r="A13" s="1270"/>
      <c r="B13" s="1271" t="s">
        <v>57</v>
      </c>
      <c r="C13" s="671">
        <f>+C8+C10</f>
        <v>3227</v>
      </c>
      <c r="D13" s="671">
        <f t="shared" ref="D13:F13" si="1">+D8+D10</f>
        <v>3873</v>
      </c>
      <c r="E13" s="671">
        <f t="shared" si="1"/>
        <v>0</v>
      </c>
      <c r="F13" s="671">
        <f t="shared" si="1"/>
        <v>0</v>
      </c>
      <c r="G13" s="671">
        <f t="shared" ref="G13:H13" si="2">+G8+G10</f>
        <v>0</v>
      </c>
      <c r="H13" s="671">
        <f t="shared" si="2"/>
        <v>0</v>
      </c>
      <c r="I13" s="671">
        <f t="shared" ref="I13:J13" si="3">+I8+I10</f>
        <v>0</v>
      </c>
      <c r="J13" s="671">
        <f t="shared" si="3"/>
        <v>7100</v>
      </c>
      <c r="K13" s="6"/>
    </row>
    <row r="14" spans="1:12" ht="30" customHeight="1">
      <c r="A14" s="1270" t="s">
        <v>625</v>
      </c>
      <c r="B14" s="1272" t="s">
        <v>58</v>
      </c>
      <c r="C14" s="671">
        <f>+C9+C11</f>
        <v>1051</v>
      </c>
      <c r="D14" s="671">
        <f t="shared" ref="D14:F14" si="4">+D9+D11</f>
        <v>262</v>
      </c>
      <c r="E14" s="671">
        <f t="shared" si="4"/>
        <v>0</v>
      </c>
      <c r="F14" s="671">
        <f t="shared" si="4"/>
        <v>0</v>
      </c>
      <c r="G14" s="671">
        <f t="shared" ref="G14:H14" si="5">+G9+G11</f>
        <v>0</v>
      </c>
      <c r="H14" s="671">
        <f t="shared" si="5"/>
        <v>0</v>
      </c>
      <c r="I14" s="671">
        <f t="shared" ref="I14:J14" si="6">+I9+I11</f>
        <v>0</v>
      </c>
      <c r="J14" s="671">
        <f t="shared" si="6"/>
        <v>1313</v>
      </c>
      <c r="K14" s="6"/>
    </row>
    <row r="15" spans="1:12" ht="30" customHeight="1">
      <c r="A15" s="1270"/>
      <c r="B15" s="1271" t="s">
        <v>60</v>
      </c>
      <c r="C15" s="671">
        <f>+C12</f>
        <v>3301</v>
      </c>
      <c r="D15" s="671">
        <f t="shared" ref="D15:F15" si="7">+D12</f>
        <v>2783</v>
      </c>
      <c r="E15" s="671">
        <f t="shared" si="7"/>
        <v>0</v>
      </c>
      <c r="F15" s="671">
        <f t="shared" si="7"/>
        <v>256</v>
      </c>
      <c r="G15" s="671">
        <f t="shared" ref="G15:H15" si="8">+G12</f>
        <v>0</v>
      </c>
      <c r="H15" s="671">
        <f t="shared" si="8"/>
        <v>100</v>
      </c>
      <c r="I15" s="671">
        <f t="shared" ref="I15" si="9">+I12</f>
        <v>294</v>
      </c>
      <c r="J15" s="671">
        <f t="shared" ref="J15" si="10">+J12</f>
        <v>6734</v>
      </c>
      <c r="K15" s="6"/>
    </row>
    <row r="16" spans="1:12" ht="30" customHeight="1">
      <c r="A16" s="1273"/>
      <c r="B16" s="1271" t="s">
        <v>625</v>
      </c>
      <c r="C16" s="671">
        <f t="shared" ref="C16:J16" si="11">SUM(C13:C15)</f>
        <v>7579</v>
      </c>
      <c r="D16" s="671">
        <f t="shared" ref="D16:G16" si="12">SUM(D13:D15)</f>
        <v>6918</v>
      </c>
      <c r="E16" s="671">
        <f t="shared" si="12"/>
        <v>0</v>
      </c>
      <c r="F16" s="671">
        <f t="shared" si="12"/>
        <v>256</v>
      </c>
      <c r="G16" s="671">
        <f t="shared" si="12"/>
        <v>0</v>
      </c>
      <c r="H16" s="671">
        <f t="shared" ref="H16" si="13">SUM(H13:H15)</f>
        <v>100</v>
      </c>
      <c r="I16" s="671">
        <f t="shared" si="11"/>
        <v>294</v>
      </c>
      <c r="J16" s="671">
        <f t="shared" si="11"/>
        <v>15147</v>
      </c>
      <c r="L16" s="115"/>
    </row>
    <row r="17" spans="1:10">
      <c r="A17" s="216"/>
      <c r="B17" s="216"/>
      <c r="C17" s="216"/>
      <c r="D17" s="216"/>
      <c r="E17" s="216"/>
      <c r="F17" s="216"/>
      <c r="G17" s="216"/>
      <c r="H17" s="216"/>
      <c r="I17" s="216"/>
      <c r="J17" s="216"/>
    </row>
    <row r="18" spans="1:10">
      <c r="A18" s="584" t="s">
        <v>697</v>
      </c>
      <c r="B18" s="216"/>
      <c r="C18" s="216"/>
      <c r="D18" s="216"/>
      <c r="E18" s="216"/>
      <c r="F18" s="216"/>
      <c r="G18" s="216"/>
      <c r="H18" s="216"/>
      <c r="I18" s="216"/>
      <c r="J18" s="216"/>
    </row>
    <row r="19" spans="1:10">
      <c r="A19" s="216"/>
      <c r="B19" s="216"/>
      <c r="C19" s="216"/>
      <c r="D19" s="216"/>
      <c r="E19" s="216"/>
      <c r="F19" s="216"/>
      <c r="G19" s="216"/>
      <c r="H19" s="216"/>
      <c r="I19" s="216"/>
      <c r="J19" s="216"/>
    </row>
    <row r="20" spans="1:10">
      <c r="A20" s="216"/>
      <c r="B20" s="216"/>
      <c r="C20" s="216"/>
      <c r="D20" s="216"/>
      <c r="E20" s="216"/>
      <c r="F20" s="216"/>
      <c r="G20" s="216"/>
      <c r="H20" s="216"/>
      <c r="I20" s="216"/>
      <c r="J20" s="216"/>
    </row>
    <row r="21" spans="1:10">
      <c r="I21" s="216"/>
      <c r="J21" s="216"/>
    </row>
    <row r="22" spans="1:10">
      <c r="I22" s="216"/>
      <c r="J22" s="216"/>
    </row>
    <row r="23" spans="1:10">
      <c r="I23" s="216"/>
      <c r="J23" s="216"/>
    </row>
    <row r="24" spans="1:10">
      <c r="I24" s="216"/>
      <c r="J24" s="216"/>
    </row>
    <row r="25" spans="1:10">
      <c r="I25" s="216"/>
      <c r="J25" s="216"/>
    </row>
    <row r="26" spans="1:10">
      <c r="I26" s="216"/>
      <c r="J26" s="216"/>
    </row>
    <row r="27" spans="1:10">
      <c r="I27" s="216"/>
      <c r="J27" s="216"/>
    </row>
    <row r="28" spans="1:10">
      <c r="I28" s="216"/>
      <c r="J28" s="216"/>
    </row>
    <row r="29" spans="1:10">
      <c r="I29" s="216"/>
      <c r="J29" s="216"/>
    </row>
    <row r="30" spans="1:10">
      <c r="I30" s="216"/>
      <c r="J30" s="216"/>
    </row>
    <row r="31" spans="1:10">
      <c r="I31" s="216"/>
      <c r="J31" s="216"/>
    </row>
    <row r="32" spans="1:10">
      <c r="I32" s="216"/>
      <c r="J32" s="216"/>
    </row>
    <row r="33" spans="9:10">
      <c r="I33" s="216"/>
      <c r="J33" s="216"/>
    </row>
    <row r="34" spans="9:10">
      <c r="I34" s="216"/>
      <c r="J34" s="216"/>
    </row>
    <row r="35" spans="9:10">
      <c r="I35" s="216"/>
      <c r="J35" s="216"/>
    </row>
    <row r="36" spans="9:10">
      <c r="I36" s="216"/>
      <c r="J36" s="216"/>
    </row>
    <row r="37" spans="9:10">
      <c r="I37" s="216"/>
      <c r="J37" s="216"/>
    </row>
    <row r="38" spans="9:10">
      <c r="I38" s="216"/>
      <c r="J38" s="216"/>
    </row>
    <row r="39" spans="9:10">
      <c r="I39" s="216"/>
      <c r="J39" s="216"/>
    </row>
    <row r="40" spans="9:10">
      <c r="I40" s="216"/>
      <c r="J40" s="216"/>
    </row>
    <row r="41" spans="9:10">
      <c r="I41" s="216"/>
      <c r="J41" s="216"/>
    </row>
    <row r="42" spans="9:10">
      <c r="I42" s="216"/>
      <c r="J42" s="216"/>
    </row>
    <row r="43" spans="9:10">
      <c r="I43" s="216"/>
      <c r="J43" s="216"/>
    </row>
    <row r="44" spans="9:10">
      <c r="I44" s="216"/>
      <c r="J44" s="216"/>
    </row>
    <row r="45" spans="9:10">
      <c r="I45" s="216"/>
      <c r="J45" s="216"/>
    </row>
    <row r="46" spans="9:10">
      <c r="I46" s="216"/>
      <c r="J46" s="216"/>
    </row>
    <row r="47" spans="9:10">
      <c r="I47" s="216"/>
      <c r="J47" s="216"/>
    </row>
    <row r="48" spans="9:10">
      <c r="I48" s="216"/>
      <c r="J48" s="216"/>
    </row>
    <row r="49" spans="1:10">
      <c r="I49" s="216"/>
      <c r="J49" s="216"/>
    </row>
    <row r="50" spans="1:10">
      <c r="I50" s="216"/>
      <c r="J50" s="216"/>
    </row>
    <row r="51" spans="1:10">
      <c r="I51" s="216"/>
      <c r="J51" s="216"/>
    </row>
    <row r="52" spans="1:10">
      <c r="I52" s="216"/>
      <c r="J52" s="216"/>
    </row>
    <row r="53" spans="1:10">
      <c r="I53" s="216"/>
      <c r="J53" s="216"/>
    </row>
    <row r="54" spans="1:10">
      <c r="I54" s="216"/>
      <c r="J54" s="216"/>
    </row>
    <row r="55" spans="1:10">
      <c r="I55" s="216"/>
      <c r="J55" s="216"/>
    </row>
    <row r="56" spans="1:10">
      <c r="I56" s="216"/>
      <c r="J56" s="216"/>
    </row>
    <row r="57" spans="1:10">
      <c r="I57" s="216"/>
      <c r="J57" s="216"/>
    </row>
    <row r="58" spans="1:10">
      <c r="I58" s="216"/>
      <c r="J58" s="216"/>
    </row>
    <row r="59" spans="1:10">
      <c r="I59" s="216"/>
      <c r="J59" s="216"/>
    </row>
    <row r="60" spans="1:10">
      <c r="I60" s="216"/>
      <c r="J60" s="216"/>
    </row>
    <row r="61" spans="1:10">
      <c r="I61" s="216"/>
      <c r="J61" s="216"/>
    </row>
    <row r="62" spans="1:10">
      <c r="I62" s="216"/>
      <c r="J62" s="216"/>
    </row>
    <row r="63" spans="1:10">
      <c r="A63" s="216"/>
      <c r="B63" s="216"/>
      <c r="C63" s="216"/>
      <c r="D63" s="216"/>
      <c r="E63" s="216"/>
      <c r="F63" s="216"/>
      <c r="G63" s="216"/>
      <c r="H63" s="216"/>
      <c r="I63" s="216"/>
      <c r="J63" s="216"/>
    </row>
    <row r="64" spans="1:10">
      <c r="A64" s="216"/>
      <c r="B64" s="216"/>
      <c r="C64" s="216"/>
      <c r="D64" s="216"/>
      <c r="E64" s="216"/>
      <c r="F64" s="216"/>
      <c r="G64" s="216"/>
      <c r="H64" s="216"/>
      <c r="I64" s="216"/>
      <c r="J64" s="216"/>
    </row>
    <row r="65" spans="1:10">
      <c r="A65" s="216"/>
      <c r="B65" s="216"/>
      <c r="C65" s="216"/>
      <c r="D65" s="216"/>
      <c r="E65" s="216"/>
      <c r="F65" s="216"/>
      <c r="G65" s="216"/>
      <c r="H65" s="216"/>
      <c r="I65" s="216"/>
      <c r="J65" s="216"/>
    </row>
    <row r="66" spans="1:10">
      <c r="A66" s="216"/>
      <c r="B66" s="216"/>
      <c r="C66" s="216"/>
      <c r="D66" s="216"/>
      <c r="E66" s="216"/>
      <c r="F66" s="216"/>
      <c r="G66" s="216"/>
      <c r="H66" s="216"/>
      <c r="I66" s="216"/>
      <c r="J66" s="216"/>
    </row>
    <row r="67" spans="1:10">
      <c r="A67" s="216"/>
      <c r="B67" s="216"/>
      <c r="C67" s="216"/>
      <c r="D67" s="216"/>
      <c r="E67" s="216"/>
      <c r="F67" s="216"/>
      <c r="G67" s="216"/>
      <c r="H67" s="216"/>
      <c r="I67" s="216"/>
      <c r="J67" s="216"/>
    </row>
    <row r="68" spans="1:10">
      <c r="A68" s="216"/>
      <c r="B68" s="216"/>
      <c r="C68" s="216"/>
      <c r="D68" s="216"/>
      <c r="E68" s="216"/>
      <c r="F68" s="216"/>
      <c r="G68" s="216"/>
      <c r="H68" s="216"/>
      <c r="I68" s="216"/>
      <c r="J68" s="216"/>
    </row>
    <row r="69" spans="1:10">
      <c r="A69" s="216"/>
      <c r="B69" s="216"/>
      <c r="C69" s="216"/>
      <c r="D69" s="216"/>
      <c r="E69" s="216"/>
      <c r="F69" s="216"/>
      <c r="G69" s="216"/>
      <c r="H69" s="216"/>
      <c r="I69" s="216"/>
      <c r="J69" s="216"/>
    </row>
    <row r="70" spans="1:10">
      <c r="A70" s="216"/>
      <c r="B70" s="216"/>
      <c r="C70" s="216"/>
      <c r="D70" s="216"/>
      <c r="E70" s="216"/>
      <c r="F70" s="216"/>
      <c r="G70" s="216"/>
      <c r="H70" s="216"/>
      <c r="I70" s="216"/>
      <c r="J70" s="216"/>
    </row>
    <row r="71" spans="1:10">
      <c r="A71" s="216"/>
      <c r="B71" s="216"/>
      <c r="C71" s="216"/>
      <c r="D71" s="216"/>
      <c r="E71" s="216"/>
      <c r="F71" s="216"/>
      <c r="G71" s="216"/>
      <c r="H71" s="216"/>
      <c r="I71" s="216"/>
      <c r="J71" s="216"/>
    </row>
    <row r="72" spans="1:10">
      <c r="A72" s="216"/>
      <c r="B72" s="216"/>
      <c r="C72" s="216"/>
      <c r="D72" s="216"/>
      <c r="E72" s="216"/>
      <c r="F72" s="216"/>
      <c r="G72" s="216"/>
      <c r="H72" s="216"/>
      <c r="I72" s="216"/>
      <c r="J72" s="216"/>
    </row>
    <row r="73" spans="1:10">
      <c r="A73" s="216"/>
      <c r="B73" s="216"/>
      <c r="C73" s="216"/>
      <c r="D73" s="216"/>
      <c r="E73" s="216"/>
      <c r="F73" s="216"/>
      <c r="G73" s="216"/>
      <c r="H73" s="216"/>
      <c r="I73" s="216"/>
      <c r="J73" s="216"/>
    </row>
    <row r="74" spans="1:10">
      <c r="A74" s="216"/>
      <c r="B74" s="216"/>
      <c r="C74" s="216"/>
      <c r="D74" s="216"/>
      <c r="E74" s="216"/>
      <c r="F74" s="216"/>
      <c r="G74" s="216"/>
      <c r="H74" s="216"/>
      <c r="I74" s="216"/>
      <c r="J74" s="216"/>
    </row>
    <row r="75" spans="1:10">
      <c r="A75" s="216"/>
      <c r="B75" s="216"/>
      <c r="C75" s="216"/>
      <c r="D75" s="216"/>
      <c r="E75" s="216"/>
      <c r="F75" s="216"/>
      <c r="G75" s="216"/>
      <c r="H75" s="216"/>
      <c r="I75" s="216"/>
      <c r="J75" s="216"/>
    </row>
    <row r="76" spans="1:10">
      <c r="A76" s="216"/>
      <c r="B76" s="216"/>
      <c r="C76" s="216"/>
      <c r="D76" s="216"/>
      <c r="E76" s="216"/>
      <c r="F76" s="216"/>
      <c r="G76" s="216"/>
      <c r="H76" s="216"/>
      <c r="I76" s="216"/>
      <c r="J76" s="216"/>
    </row>
    <row r="77" spans="1:10">
      <c r="A77" s="216"/>
      <c r="B77" s="216"/>
      <c r="C77" s="216"/>
      <c r="D77" s="216"/>
      <c r="E77" s="216"/>
      <c r="F77" s="216"/>
      <c r="G77" s="216"/>
      <c r="H77" s="216"/>
      <c r="I77" s="216"/>
      <c r="J77" s="216"/>
    </row>
    <row r="78" spans="1:10">
      <c r="A78" s="216"/>
      <c r="B78" s="216"/>
      <c r="C78" s="216"/>
      <c r="D78" s="216"/>
      <c r="E78" s="216"/>
      <c r="F78" s="216"/>
      <c r="G78" s="216"/>
      <c r="H78" s="216"/>
      <c r="I78" s="216"/>
      <c r="J78" s="216"/>
    </row>
    <row r="79" spans="1:10">
      <c r="A79" s="216"/>
      <c r="B79" s="216"/>
      <c r="C79" s="216"/>
      <c r="D79" s="216"/>
      <c r="E79" s="216"/>
      <c r="F79" s="216"/>
      <c r="G79" s="216"/>
      <c r="H79" s="216"/>
      <c r="I79" s="216"/>
      <c r="J79" s="216"/>
    </row>
    <row r="80" spans="1:10">
      <c r="A80" s="216"/>
      <c r="B80" s="216"/>
      <c r="C80" s="216"/>
      <c r="D80" s="216"/>
      <c r="E80" s="216"/>
      <c r="F80" s="216"/>
      <c r="G80" s="216"/>
      <c r="H80" s="216"/>
      <c r="I80" s="216"/>
      <c r="J80" s="216"/>
    </row>
    <row r="81" spans="1:10">
      <c r="A81" s="216"/>
      <c r="B81" s="216"/>
      <c r="C81" s="216"/>
      <c r="D81" s="216"/>
      <c r="E81" s="216"/>
      <c r="F81" s="216"/>
      <c r="G81" s="216"/>
      <c r="H81" s="216"/>
      <c r="I81" s="216"/>
      <c r="J81" s="216"/>
    </row>
    <row r="82" spans="1:10">
      <c r="A82" s="216"/>
      <c r="B82" s="216"/>
      <c r="C82" s="216"/>
      <c r="D82" s="216"/>
      <c r="E82" s="216"/>
      <c r="F82" s="216"/>
      <c r="G82" s="216"/>
      <c r="H82" s="216"/>
      <c r="I82" s="216"/>
      <c r="J82" s="216"/>
    </row>
    <row r="83" spans="1:10">
      <c r="A83" s="216"/>
      <c r="B83" s="216"/>
      <c r="C83" s="216"/>
      <c r="D83" s="216"/>
      <c r="E83" s="216"/>
      <c r="F83" s="216"/>
      <c r="G83" s="216"/>
      <c r="H83" s="216"/>
      <c r="I83" s="216"/>
      <c r="J83" s="216"/>
    </row>
    <row r="84" spans="1:10">
      <c r="A84" s="216"/>
      <c r="B84" s="216"/>
      <c r="C84" s="216"/>
      <c r="D84" s="216"/>
      <c r="E84" s="216"/>
      <c r="F84" s="216"/>
      <c r="G84" s="216"/>
      <c r="H84" s="216"/>
      <c r="I84" s="216"/>
      <c r="J84" s="216"/>
    </row>
    <row r="85" spans="1:10">
      <c r="A85" s="216"/>
      <c r="B85" s="216"/>
      <c r="C85" s="216"/>
      <c r="D85" s="216"/>
      <c r="E85" s="216"/>
      <c r="F85" s="216"/>
      <c r="G85" s="216"/>
      <c r="H85" s="216"/>
      <c r="I85" s="216"/>
      <c r="J85" s="216"/>
    </row>
    <row r="86" spans="1:10">
      <c r="A86" s="216"/>
      <c r="B86" s="216"/>
      <c r="C86" s="216"/>
      <c r="D86" s="216"/>
      <c r="E86" s="216"/>
      <c r="F86" s="216"/>
      <c r="G86" s="216"/>
      <c r="H86" s="216"/>
      <c r="I86" s="216"/>
      <c r="J86" s="216"/>
    </row>
    <row r="87" spans="1:10">
      <c r="A87" s="216"/>
      <c r="B87" s="216"/>
      <c r="C87" s="216"/>
      <c r="D87" s="216"/>
      <c r="E87" s="216"/>
      <c r="F87" s="216"/>
      <c r="G87" s="216"/>
      <c r="H87" s="216"/>
      <c r="I87" s="216"/>
      <c r="J87" s="216"/>
    </row>
    <row r="88" spans="1:10">
      <c r="A88" s="216"/>
      <c r="B88" s="216"/>
      <c r="C88" s="216"/>
      <c r="D88" s="216"/>
      <c r="E88" s="216"/>
      <c r="F88" s="216"/>
      <c r="G88" s="216"/>
      <c r="H88" s="216"/>
      <c r="I88" s="216"/>
      <c r="J88" s="216"/>
    </row>
    <row r="89" spans="1:10">
      <c r="A89" s="216"/>
      <c r="B89" s="216"/>
      <c r="C89" s="216"/>
      <c r="D89" s="216"/>
      <c r="E89" s="216"/>
      <c r="F89" s="216"/>
      <c r="G89" s="216"/>
      <c r="H89" s="216"/>
      <c r="I89" s="216"/>
      <c r="J89" s="216"/>
    </row>
    <row r="90" spans="1:10">
      <c r="A90" s="216"/>
      <c r="B90" s="216"/>
      <c r="C90" s="216"/>
      <c r="D90" s="216"/>
      <c r="E90" s="216"/>
      <c r="F90" s="216"/>
      <c r="G90" s="216"/>
      <c r="H90" s="216"/>
      <c r="I90" s="216"/>
      <c r="J90" s="216"/>
    </row>
    <row r="91" spans="1:10">
      <c r="A91" s="216"/>
      <c r="B91" s="216"/>
      <c r="C91" s="216"/>
      <c r="D91" s="216"/>
      <c r="E91" s="216"/>
      <c r="F91" s="216"/>
      <c r="G91" s="216"/>
      <c r="H91" s="216"/>
      <c r="I91" s="216"/>
      <c r="J91" s="216"/>
    </row>
    <row r="92" spans="1:10">
      <c r="A92" s="216"/>
      <c r="B92" s="216"/>
      <c r="C92" s="216"/>
      <c r="D92" s="216"/>
      <c r="E92" s="216"/>
      <c r="F92" s="216"/>
      <c r="G92" s="216"/>
      <c r="H92" s="216"/>
      <c r="I92" s="216"/>
      <c r="J92" s="216"/>
    </row>
    <row r="93" spans="1:10">
      <c r="A93" s="216"/>
      <c r="B93" s="216"/>
      <c r="C93" s="216"/>
      <c r="D93" s="216"/>
      <c r="E93" s="216"/>
      <c r="F93" s="216"/>
      <c r="G93" s="216"/>
      <c r="H93" s="216"/>
      <c r="I93" s="216"/>
      <c r="J93" s="216"/>
    </row>
    <row r="94" spans="1:10">
      <c r="A94" s="216"/>
      <c r="B94" s="216"/>
      <c r="C94" s="216"/>
      <c r="D94" s="216"/>
      <c r="E94" s="216"/>
      <c r="F94" s="216"/>
      <c r="G94" s="216"/>
      <c r="H94" s="216"/>
      <c r="I94" s="216"/>
      <c r="J94" s="216"/>
    </row>
    <row r="95" spans="1:10">
      <c r="A95" s="216"/>
      <c r="B95" s="216"/>
      <c r="C95" s="216"/>
      <c r="D95" s="216"/>
      <c r="E95" s="216"/>
      <c r="F95" s="216"/>
      <c r="G95" s="216"/>
      <c r="H95" s="216"/>
      <c r="I95" s="216"/>
      <c r="J95" s="216"/>
    </row>
    <row r="96" spans="1:10">
      <c r="A96" s="216"/>
      <c r="B96" s="216"/>
      <c r="C96" s="216"/>
      <c r="D96" s="216"/>
      <c r="E96" s="216"/>
      <c r="F96" s="216"/>
      <c r="G96" s="216"/>
      <c r="H96" s="216"/>
      <c r="I96" s="216"/>
      <c r="J96" s="216"/>
    </row>
    <row r="97" spans="1:10">
      <c r="A97" s="216"/>
      <c r="B97" s="216"/>
      <c r="C97" s="216"/>
      <c r="D97" s="216"/>
      <c r="E97" s="216"/>
      <c r="F97" s="216"/>
      <c r="G97" s="216"/>
      <c r="H97" s="216"/>
      <c r="I97" s="216"/>
      <c r="J97" s="216"/>
    </row>
    <row r="98" spans="1:10">
      <c r="A98" s="216"/>
      <c r="B98" s="216"/>
      <c r="C98" s="216"/>
      <c r="D98" s="216"/>
      <c r="E98" s="216"/>
      <c r="F98" s="216"/>
      <c r="G98" s="216"/>
      <c r="H98" s="216"/>
      <c r="I98" s="216"/>
      <c r="J98" s="216"/>
    </row>
    <row r="99" spans="1:10">
      <c r="A99" s="216"/>
      <c r="B99" s="216"/>
      <c r="C99" s="216"/>
      <c r="D99" s="216"/>
      <c r="E99" s="216"/>
      <c r="F99" s="216"/>
      <c r="G99" s="216"/>
      <c r="H99" s="216"/>
      <c r="I99" s="216"/>
      <c r="J99" s="216"/>
    </row>
    <row r="100" spans="1:10">
      <c r="A100" s="216"/>
      <c r="B100" s="216"/>
      <c r="C100" s="216"/>
      <c r="D100" s="216"/>
      <c r="E100" s="216"/>
      <c r="F100" s="216"/>
      <c r="G100" s="216"/>
      <c r="H100" s="216"/>
      <c r="I100" s="216"/>
      <c r="J100" s="216"/>
    </row>
    <row r="101" spans="1:10">
      <c r="A101" s="216"/>
      <c r="B101" s="216"/>
      <c r="C101" s="216"/>
      <c r="D101" s="216"/>
      <c r="E101" s="216"/>
      <c r="F101" s="216"/>
      <c r="G101" s="216"/>
      <c r="H101" s="216"/>
      <c r="I101" s="216"/>
      <c r="J101" s="216"/>
    </row>
    <row r="102" spans="1:10">
      <c r="A102" s="216"/>
      <c r="B102" s="216"/>
      <c r="C102" s="216"/>
      <c r="D102" s="216"/>
      <c r="E102" s="216"/>
      <c r="F102" s="216"/>
      <c r="G102" s="216"/>
      <c r="H102" s="216"/>
      <c r="I102" s="216"/>
      <c r="J102" s="216"/>
    </row>
    <row r="103" spans="1:10">
      <c r="A103" s="216"/>
      <c r="B103" s="216"/>
      <c r="C103" s="216"/>
      <c r="D103" s="216"/>
      <c r="E103" s="216"/>
      <c r="F103" s="216"/>
      <c r="G103" s="216"/>
      <c r="H103" s="216"/>
      <c r="I103" s="216"/>
      <c r="J103" s="216"/>
    </row>
    <row r="104" spans="1:10">
      <c r="A104" s="216"/>
      <c r="B104" s="216"/>
      <c r="C104" s="216"/>
      <c r="D104" s="216"/>
      <c r="E104" s="216"/>
      <c r="F104" s="216"/>
      <c r="G104" s="216"/>
      <c r="H104" s="216"/>
      <c r="I104" s="216"/>
      <c r="J104" s="216"/>
    </row>
    <row r="105" spans="1:10">
      <c r="A105" s="216"/>
      <c r="B105" s="216"/>
      <c r="C105" s="216"/>
      <c r="D105" s="216"/>
      <c r="E105" s="216"/>
      <c r="F105" s="216"/>
      <c r="G105" s="216"/>
      <c r="H105" s="216"/>
      <c r="I105" s="216"/>
      <c r="J105" s="216"/>
    </row>
    <row r="106" spans="1:10">
      <c r="A106" s="216"/>
      <c r="B106" s="216"/>
      <c r="C106" s="216"/>
      <c r="D106" s="216"/>
      <c r="E106" s="216"/>
      <c r="F106" s="216"/>
      <c r="G106" s="216"/>
      <c r="H106" s="216"/>
      <c r="I106" s="216"/>
      <c r="J106" s="216"/>
    </row>
    <row r="107" spans="1:10">
      <c r="A107" s="216"/>
      <c r="B107" s="216"/>
      <c r="C107" s="216"/>
      <c r="D107" s="216"/>
      <c r="E107" s="216"/>
      <c r="F107" s="216"/>
      <c r="G107" s="216"/>
      <c r="H107" s="216"/>
      <c r="I107" s="216"/>
      <c r="J107" s="216"/>
    </row>
    <row r="108" spans="1:10">
      <c r="A108" s="216"/>
      <c r="B108" s="216"/>
      <c r="C108" s="216"/>
      <c r="D108" s="216"/>
      <c r="E108" s="216"/>
      <c r="F108" s="216"/>
      <c r="G108" s="216"/>
      <c r="H108" s="216"/>
      <c r="I108" s="216"/>
      <c r="J108" s="216"/>
    </row>
    <row r="109" spans="1:10">
      <c r="A109" s="216"/>
      <c r="B109" s="216"/>
      <c r="C109" s="216"/>
      <c r="D109" s="216"/>
      <c r="E109" s="216"/>
      <c r="F109" s="216"/>
      <c r="G109" s="216"/>
      <c r="H109" s="216"/>
      <c r="I109" s="216"/>
      <c r="J109" s="216"/>
    </row>
    <row r="110" spans="1:10">
      <c r="A110" s="216"/>
      <c r="B110" s="216"/>
      <c r="C110" s="216"/>
      <c r="D110" s="216"/>
      <c r="E110" s="216"/>
      <c r="F110" s="216"/>
      <c r="G110" s="216"/>
      <c r="H110" s="216"/>
      <c r="I110" s="216"/>
      <c r="J110" s="216"/>
    </row>
    <row r="111" spans="1:10">
      <c r="A111" s="216"/>
      <c r="B111" s="216"/>
      <c r="C111" s="216"/>
      <c r="D111" s="216"/>
      <c r="E111" s="216"/>
      <c r="F111" s="216"/>
      <c r="G111" s="216"/>
      <c r="H111" s="216"/>
      <c r="I111" s="216"/>
      <c r="J111" s="216"/>
    </row>
    <row r="112" spans="1:10">
      <c r="A112" s="216"/>
      <c r="B112" s="216"/>
      <c r="C112" s="216"/>
      <c r="D112" s="216"/>
      <c r="E112" s="216"/>
      <c r="F112" s="216"/>
      <c r="G112" s="216"/>
      <c r="H112" s="216"/>
      <c r="I112" s="216"/>
      <c r="J112" s="216"/>
    </row>
    <row r="113" spans="1:10">
      <c r="A113" s="216"/>
      <c r="B113" s="216"/>
      <c r="C113" s="216"/>
      <c r="D113" s="216"/>
      <c r="E113" s="216"/>
      <c r="F113" s="216"/>
      <c r="G113" s="216"/>
      <c r="H113" s="216"/>
      <c r="I113" s="216"/>
      <c r="J113" s="216"/>
    </row>
    <row r="114" spans="1:10">
      <c r="A114" s="216"/>
      <c r="B114" s="216"/>
      <c r="C114" s="216"/>
      <c r="D114" s="216"/>
      <c r="E114" s="216"/>
      <c r="F114" s="216"/>
      <c r="G114" s="216"/>
      <c r="H114" s="216"/>
      <c r="I114" s="216"/>
      <c r="J114" s="216"/>
    </row>
    <row r="115" spans="1:10">
      <c r="A115" s="216"/>
      <c r="B115" s="216"/>
      <c r="C115" s="216"/>
      <c r="D115" s="216"/>
      <c r="E115" s="216"/>
      <c r="F115" s="216"/>
      <c r="G115" s="216"/>
      <c r="H115" s="216"/>
      <c r="I115" s="216"/>
      <c r="J115" s="216"/>
    </row>
    <row r="116" spans="1:10">
      <c r="A116" s="216"/>
      <c r="B116" s="216"/>
      <c r="C116" s="216"/>
      <c r="D116" s="216"/>
      <c r="E116" s="216"/>
      <c r="F116" s="216"/>
      <c r="G116" s="216"/>
      <c r="H116" s="216"/>
      <c r="I116" s="216"/>
      <c r="J116" s="216"/>
    </row>
    <row r="117" spans="1:10">
      <c r="A117" s="216"/>
      <c r="B117" s="216"/>
      <c r="C117" s="216"/>
      <c r="D117" s="216"/>
      <c r="E117" s="216"/>
      <c r="F117" s="216"/>
      <c r="G117" s="216"/>
      <c r="H117" s="216"/>
      <c r="I117" s="216"/>
      <c r="J117" s="216"/>
    </row>
    <row r="118" spans="1:10">
      <c r="A118" s="216"/>
      <c r="B118" s="216"/>
      <c r="C118" s="216"/>
      <c r="D118" s="216"/>
      <c r="E118" s="216"/>
      <c r="F118" s="216"/>
      <c r="G118" s="216"/>
      <c r="H118" s="216"/>
      <c r="I118" s="216"/>
      <c r="J118" s="216"/>
    </row>
    <row r="119" spans="1:10">
      <c r="A119" s="216"/>
      <c r="B119" s="216"/>
      <c r="C119" s="216"/>
      <c r="D119" s="216"/>
      <c r="E119" s="216"/>
      <c r="F119" s="216"/>
      <c r="G119" s="216"/>
      <c r="H119" s="216"/>
      <c r="I119" s="216"/>
      <c r="J119" s="216"/>
    </row>
    <row r="120" spans="1:10">
      <c r="A120" s="216"/>
      <c r="B120" s="216"/>
      <c r="C120" s="216"/>
      <c r="D120" s="216"/>
      <c r="E120" s="216"/>
      <c r="F120" s="216"/>
      <c r="G120" s="216"/>
      <c r="H120" s="216"/>
      <c r="I120" s="216"/>
      <c r="J120" s="216"/>
    </row>
    <row r="121" spans="1:10">
      <c r="A121" s="216"/>
      <c r="B121" s="216"/>
      <c r="C121" s="216"/>
      <c r="D121" s="216"/>
      <c r="E121" s="216"/>
      <c r="F121" s="216"/>
      <c r="G121" s="216"/>
      <c r="H121" s="216"/>
      <c r="I121" s="216"/>
      <c r="J121" s="216"/>
    </row>
    <row r="122" spans="1:10">
      <c r="A122" s="216"/>
      <c r="B122" s="216"/>
      <c r="C122" s="216"/>
      <c r="D122" s="216"/>
      <c r="E122" s="216"/>
      <c r="F122" s="216"/>
      <c r="G122" s="216"/>
      <c r="H122" s="216"/>
      <c r="I122" s="216"/>
      <c r="J122" s="216"/>
    </row>
    <row r="123" spans="1:10">
      <c r="A123" s="216"/>
      <c r="B123" s="216"/>
      <c r="C123" s="216"/>
      <c r="D123" s="216"/>
      <c r="E123" s="216"/>
      <c r="F123" s="216"/>
      <c r="G123" s="216"/>
      <c r="H123" s="216"/>
      <c r="I123" s="216"/>
      <c r="J123" s="216"/>
    </row>
    <row r="124" spans="1:10">
      <c r="A124" s="216"/>
      <c r="B124" s="216"/>
      <c r="C124" s="216"/>
      <c r="D124" s="216"/>
      <c r="E124" s="216"/>
      <c r="F124" s="216"/>
      <c r="G124" s="216"/>
      <c r="H124" s="216"/>
      <c r="I124" s="216"/>
      <c r="J124" s="216"/>
    </row>
    <row r="125" spans="1:10">
      <c r="A125" s="216"/>
      <c r="B125" s="216"/>
      <c r="C125" s="216"/>
      <c r="D125" s="216"/>
      <c r="E125" s="216"/>
      <c r="F125" s="216"/>
      <c r="G125" s="216"/>
      <c r="H125" s="216"/>
      <c r="I125" s="216"/>
      <c r="J125" s="216"/>
    </row>
    <row r="126" spans="1:10">
      <c r="A126" s="216"/>
      <c r="B126" s="216"/>
      <c r="C126" s="216"/>
      <c r="D126" s="216"/>
      <c r="E126" s="216"/>
      <c r="F126" s="216"/>
      <c r="G126" s="216"/>
      <c r="H126" s="216"/>
      <c r="I126" s="216"/>
      <c r="J126" s="216"/>
    </row>
    <row r="127" spans="1:10">
      <c r="A127" s="216"/>
      <c r="B127" s="216"/>
      <c r="C127" s="216"/>
      <c r="D127" s="216"/>
      <c r="E127" s="216"/>
      <c r="F127" s="216"/>
      <c r="G127" s="216"/>
      <c r="H127" s="216"/>
      <c r="I127" s="216"/>
      <c r="J127" s="216"/>
    </row>
    <row r="128" spans="1:10">
      <c r="A128" s="216"/>
      <c r="B128" s="216"/>
      <c r="C128" s="216"/>
      <c r="D128" s="216"/>
      <c r="E128" s="216"/>
      <c r="F128" s="216"/>
      <c r="G128" s="216"/>
      <c r="H128" s="216"/>
      <c r="I128" s="216"/>
      <c r="J128" s="216"/>
    </row>
    <row r="129" spans="1:10">
      <c r="A129" s="216"/>
      <c r="B129" s="216"/>
      <c r="C129" s="216"/>
      <c r="D129" s="216"/>
      <c r="E129" s="216"/>
      <c r="F129" s="216"/>
      <c r="G129" s="216"/>
      <c r="H129" s="216"/>
      <c r="I129" s="216"/>
      <c r="J129" s="216"/>
    </row>
    <row r="130" spans="1:10">
      <c r="A130" s="216"/>
      <c r="B130" s="216"/>
      <c r="C130" s="216"/>
      <c r="D130" s="216"/>
      <c r="E130" s="216"/>
      <c r="F130" s="216"/>
      <c r="G130" s="216"/>
      <c r="H130" s="216"/>
      <c r="I130" s="216"/>
      <c r="J130" s="216"/>
    </row>
    <row r="131" spans="1:10">
      <c r="A131" s="216"/>
      <c r="B131" s="216"/>
      <c r="C131" s="216"/>
      <c r="D131" s="216"/>
      <c r="E131" s="216"/>
      <c r="F131" s="216"/>
      <c r="G131" s="216"/>
      <c r="H131" s="216"/>
      <c r="I131" s="216"/>
      <c r="J131" s="216"/>
    </row>
    <row r="132" spans="1:10">
      <c r="A132" s="216"/>
      <c r="B132" s="216"/>
      <c r="C132" s="216"/>
      <c r="D132" s="216"/>
      <c r="E132" s="216"/>
      <c r="F132" s="216"/>
      <c r="G132" s="216"/>
      <c r="H132" s="216"/>
      <c r="I132" s="216"/>
      <c r="J132" s="216"/>
    </row>
    <row r="133" spans="1:10">
      <c r="A133" s="216"/>
      <c r="B133" s="216"/>
      <c r="C133" s="216"/>
      <c r="D133" s="216"/>
      <c r="E133" s="216"/>
      <c r="F133" s="216"/>
      <c r="G133" s="216"/>
      <c r="H133" s="216"/>
      <c r="I133" s="216"/>
      <c r="J133" s="216"/>
    </row>
    <row r="134" spans="1:10">
      <c r="A134" s="216"/>
      <c r="B134" s="216"/>
      <c r="C134" s="216"/>
      <c r="D134" s="216"/>
      <c r="E134" s="216"/>
      <c r="F134" s="216"/>
      <c r="G134" s="216"/>
      <c r="H134" s="216"/>
      <c r="I134" s="216"/>
      <c r="J134" s="216"/>
    </row>
    <row r="135" spans="1:10">
      <c r="A135" s="216"/>
      <c r="B135" s="216"/>
      <c r="C135" s="216"/>
      <c r="D135" s="216"/>
      <c r="E135" s="216"/>
      <c r="F135" s="216"/>
      <c r="G135" s="216"/>
      <c r="H135" s="216"/>
      <c r="I135" s="216"/>
      <c r="J135" s="216"/>
    </row>
    <row r="136" spans="1:10">
      <c r="A136" s="216"/>
      <c r="B136" s="216"/>
      <c r="C136" s="216"/>
      <c r="D136" s="216"/>
      <c r="E136" s="216"/>
      <c r="F136" s="216"/>
      <c r="G136" s="216"/>
      <c r="H136" s="216"/>
      <c r="I136" s="216"/>
      <c r="J136" s="216"/>
    </row>
    <row r="137" spans="1:10">
      <c r="A137" s="216"/>
      <c r="B137" s="216"/>
      <c r="C137" s="216"/>
      <c r="D137" s="216"/>
      <c r="E137" s="216"/>
      <c r="F137" s="216"/>
      <c r="G137" s="216"/>
      <c r="H137" s="216"/>
      <c r="I137" s="216"/>
      <c r="J137" s="216"/>
    </row>
    <row r="138" spans="1:10">
      <c r="A138" s="216"/>
      <c r="B138" s="216"/>
      <c r="C138" s="216"/>
      <c r="D138" s="216"/>
      <c r="E138" s="216"/>
      <c r="F138" s="216"/>
      <c r="G138" s="216"/>
      <c r="H138" s="216"/>
      <c r="I138" s="216"/>
      <c r="J138" s="216"/>
    </row>
    <row r="139" spans="1:10">
      <c r="A139" s="216"/>
      <c r="B139" s="216"/>
      <c r="C139" s="216"/>
      <c r="D139" s="216"/>
      <c r="E139" s="216"/>
      <c r="F139" s="216"/>
      <c r="G139" s="216"/>
      <c r="H139" s="216"/>
      <c r="I139" s="216"/>
      <c r="J139" s="216"/>
    </row>
    <row r="140" spans="1:10">
      <c r="A140" s="216"/>
      <c r="B140" s="216"/>
      <c r="C140" s="216"/>
      <c r="D140" s="216"/>
      <c r="E140" s="216"/>
      <c r="F140" s="216"/>
      <c r="G140" s="216"/>
      <c r="H140" s="216"/>
      <c r="I140" s="216"/>
      <c r="J140" s="216"/>
    </row>
    <row r="141" spans="1:10">
      <c r="A141" s="216"/>
      <c r="B141" s="216"/>
      <c r="C141" s="216"/>
      <c r="D141" s="216"/>
      <c r="E141" s="216"/>
      <c r="F141" s="216"/>
      <c r="G141" s="216"/>
      <c r="H141" s="216"/>
      <c r="I141" s="216"/>
      <c r="J141" s="216"/>
    </row>
    <row r="142" spans="1:10">
      <c r="A142" s="216"/>
      <c r="B142" s="216"/>
      <c r="C142" s="216"/>
      <c r="D142" s="216"/>
      <c r="E142" s="216"/>
      <c r="F142" s="216"/>
      <c r="G142" s="216"/>
      <c r="H142" s="216"/>
      <c r="I142" s="216"/>
      <c r="J142" s="216"/>
    </row>
    <row r="143" spans="1:10">
      <c r="A143" s="216"/>
      <c r="B143" s="216"/>
      <c r="C143" s="216"/>
      <c r="D143" s="216"/>
      <c r="E143" s="216"/>
      <c r="F143" s="216"/>
      <c r="G143" s="216"/>
      <c r="H143" s="216"/>
      <c r="I143" s="216"/>
      <c r="J143" s="216"/>
    </row>
    <row r="144" spans="1:10">
      <c r="A144" s="216"/>
      <c r="B144" s="216"/>
      <c r="C144" s="216"/>
      <c r="D144" s="216"/>
      <c r="E144" s="216"/>
      <c r="F144" s="216"/>
      <c r="G144" s="216"/>
      <c r="H144" s="216"/>
      <c r="I144" s="216"/>
      <c r="J144" s="216"/>
    </row>
    <row r="145" spans="1:10">
      <c r="A145" s="216"/>
      <c r="B145" s="216"/>
      <c r="C145" s="216"/>
      <c r="D145" s="216"/>
      <c r="E145" s="216"/>
      <c r="F145" s="216"/>
      <c r="G145" s="216"/>
      <c r="H145" s="216"/>
      <c r="I145" s="216"/>
      <c r="J145" s="216"/>
    </row>
    <row r="146" spans="1:10">
      <c r="A146" s="216"/>
      <c r="B146" s="216"/>
      <c r="C146" s="216"/>
      <c r="D146" s="216"/>
      <c r="E146" s="216"/>
      <c r="F146" s="216"/>
      <c r="G146" s="216"/>
      <c r="H146" s="216"/>
      <c r="I146" s="216"/>
      <c r="J146" s="216"/>
    </row>
    <row r="147" spans="1:10">
      <c r="A147" s="216"/>
      <c r="B147" s="216"/>
      <c r="C147" s="216"/>
      <c r="D147" s="216"/>
      <c r="E147" s="216"/>
      <c r="F147" s="216"/>
      <c r="G147" s="216"/>
      <c r="H147" s="216"/>
      <c r="I147" s="216"/>
      <c r="J147" s="216"/>
    </row>
    <row r="148" spans="1:10">
      <c r="A148" s="216"/>
      <c r="B148" s="216"/>
      <c r="C148" s="216"/>
      <c r="D148" s="216"/>
      <c r="E148" s="216"/>
      <c r="F148" s="216"/>
      <c r="G148" s="216"/>
      <c r="H148" s="216"/>
      <c r="I148" s="216"/>
      <c r="J148" s="216"/>
    </row>
    <row r="149" spans="1:10">
      <c r="A149" s="216"/>
      <c r="B149" s="216"/>
      <c r="C149" s="216"/>
      <c r="D149" s="216"/>
      <c r="E149" s="216"/>
      <c r="F149" s="216"/>
      <c r="G149" s="216"/>
      <c r="H149" s="216"/>
      <c r="I149" s="216"/>
      <c r="J149" s="216"/>
    </row>
    <row r="150" spans="1:10">
      <c r="A150" s="216"/>
      <c r="B150" s="216"/>
      <c r="C150" s="216"/>
      <c r="D150" s="216"/>
      <c r="E150" s="216"/>
      <c r="F150" s="216"/>
      <c r="G150" s="216"/>
      <c r="H150" s="216"/>
      <c r="I150" s="216"/>
      <c r="J150" s="216"/>
    </row>
    <row r="151" spans="1:10">
      <c r="A151" s="216"/>
      <c r="B151" s="216"/>
      <c r="C151" s="216"/>
      <c r="D151" s="216"/>
      <c r="E151" s="216"/>
      <c r="F151" s="216"/>
      <c r="G151" s="216"/>
      <c r="H151" s="216"/>
      <c r="I151" s="216"/>
      <c r="J151" s="216"/>
    </row>
    <row r="152" spans="1:10">
      <c r="A152" s="216"/>
      <c r="B152" s="216"/>
      <c r="C152" s="216"/>
      <c r="D152" s="216"/>
      <c r="E152" s="216"/>
      <c r="F152" s="216"/>
      <c r="G152" s="216"/>
      <c r="H152" s="216"/>
      <c r="I152" s="216"/>
      <c r="J152" s="216"/>
    </row>
    <row r="153" spans="1:10">
      <c r="A153" s="216"/>
      <c r="B153" s="216"/>
      <c r="C153" s="216"/>
      <c r="D153" s="216"/>
      <c r="E153" s="216"/>
      <c r="F153" s="216"/>
      <c r="G153" s="216"/>
      <c r="H153" s="216"/>
      <c r="I153" s="216"/>
      <c r="J153" s="216"/>
    </row>
    <row r="154" spans="1:10">
      <c r="A154" s="216"/>
      <c r="B154" s="216"/>
      <c r="C154" s="216"/>
      <c r="D154" s="216"/>
      <c r="E154" s="216"/>
      <c r="F154" s="216"/>
      <c r="G154" s="216"/>
      <c r="H154" s="216"/>
      <c r="I154" s="216"/>
      <c r="J154" s="216"/>
    </row>
    <row r="155" spans="1:10">
      <c r="A155" s="216"/>
      <c r="B155" s="216"/>
      <c r="C155" s="216"/>
      <c r="D155" s="216"/>
      <c r="E155" s="216"/>
      <c r="F155" s="216"/>
      <c r="G155" s="216"/>
      <c r="H155" s="216"/>
      <c r="I155" s="216"/>
      <c r="J155" s="216"/>
    </row>
    <row r="156" spans="1:10">
      <c r="A156" s="216"/>
      <c r="B156" s="216"/>
      <c r="C156" s="216"/>
      <c r="D156" s="216"/>
      <c r="E156" s="216"/>
      <c r="F156" s="216"/>
      <c r="G156" s="216"/>
      <c r="H156" s="216"/>
      <c r="I156" s="216"/>
      <c r="J156" s="216"/>
    </row>
    <row r="157" spans="1:10">
      <c r="A157" s="216"/>
      <c r="B157" s="216"/>
      <c r="C157" s="216"/>
      <c r="D157" s="216"/>
      <c r="E157" s="216"/>
      <c r="F157" s="216"/>
      <c r="G157" s="216"/>
      <c r="H157" s="216"/>
      <c r="I157" s="216"/>
      <c r="J157" s="216"/>
    </row>
    <row r="158" spans="1:10">
      <c r="A158" s="216"/>
      <c r="B158" s="216"/>
      <c r="C158" s="216"/>
      <c r="D158" s="216"/>
      <c r="E158" s="216"/>
      <c r="F158" s="216"/>
      <c r="G158" s="216"/>
      <c r="H158" s="216"/>
      <c r="I158" s="216"/>
      <c r="J158" s="216"/>
    </row>
    <row r="159" spans="1:10">
      <c r="A159" s="216"/>
      <c r="B159" s="216"/>
      <c r="C159" s="216"/>
      <c r="D159" s="216"/>
      <c r="E159" s="216"/>
      <c r="F159" s="216"/>
      <c r="G159" s="216"/>
      <c r="H159" s="216"/>
      <c r="I159" s="216"/>
      <c r="J159" s="216"/>
    </row>
    <row r="160" spans="1:10">
      <c r="A160" s="216"/>
      <c r="B160" s="216"/>
      <c r="C160" s="216"/>
      <c r="D160" s="216"/>
      <c r="E160" s="216"/>
      <c r="F160" s="216"/>
      <c r="G160" s="216"/>
      <c r="H160" s="216"/>
      <c r="I160" s="216"/>
      <c r="J160" s="216"/>
    </row>
    <row r="161" spans="1:10">
      <c r="A161" s="216"/>
      <c r="B161" s="216"/>
      <c r="C161" s="216"/>
      <c r="D161" s="216"/>
      <c r="E161" s="216"/>
      <c r="F161" s="216"/>
      <c r="G161" s="216"/>
      <c r="H161" s="216"/>
      <c r="I161" s="216"/>
      <c r="J161" s="216"/>
    </row>
    <row r="162" spans="1:10">
      <c r="A162" s="216"/>
      <c r="B162" s="216"/>
      <c r="C162" s="216"/>
      <c r="D162" s="216"/>
      <c r="E162" s="216"/>
      <c r="F162" s="216"/>
      <c r="G162" s="216"/>
      <c r="H162" s="216"/>
      <c r="I162" s="216"/>
      <c r="J162" s="216"/>
    </row>
    <row r="163" spans="1:10">
      <c r="A163" s="216"/>
      <c r="B163" s="216"/>
      <c r="C163" s="216"/>
      <c r="D163" s="216"/>
      <c r="E163" s="216"/>
      <c r="F163" s="216"/>
      <c r="G163" s="216"/>
      <c r="H163" s="216"/>
      <c r="I163" s="216"/>
      <c r="J163" s="216"/>
    </row>
    <row r="164" spans="1:10">
      <c r="A164" s="216"/>
      <c r="B164" s="216"/>
      <c r="C164" s="216"/>
      <c r="D164" s="216"/>
      <c r="E164" s="216"/>
      <c r="F164" s="216"/>
      <c r="G164" s="216"/>
      <c r="H164" s="216"/>
      <c r="I164" s="216"/>
      <c r="J164" s="216"/>
    </row>
    <row r="165" spans="1:10">
      <c r="A165" s="216"/>
      <c r="B165" s="216"/>
      <c r="C165" s="216"/>
      <c r="D165" s="216"/>
      <c r="E165" s="216"/>
      <c r="F165" s="216"/>
      <c r="G165" s="216"/>
      <c r="H165" s="216"/>
      <c r="I165" s="216"/>
      <c r="J165" s="216"/>
    </row>
    <row r="166" spans="1:10">
      <c r="A166" s="216"/>
      <c r="B166" s="216"/>
      <c r="C166" s="216"/>
      <c r="D166" s="216"/>
      <c r="E166" s="216"/>
      <c r="F166" s="216"/>
      <c r="G166" s="216"/>
      <c r="H166" s="216"/>
      <c r="I166" s="216"/>
      <c r="J166" s="216"/>
    </row>
    <row r="167" spans="1:10">
      <c r="A167" s="216"/>
      <c r="B167" s="216"/>
      <c r="C167" s="216"/>
      <c r="D167" s="216"/>
      <c r="E167" s="216"/>
      <c r="F167" s="216"/>
      <c r="G167" s="216"/>
      <c r="H167" s="216"/>
      <c r="I167" s="216"/>
      <c r="J167" s="216"/>
    </row>
    <row r="168" spans="1:10">
      <c r="A168" s="216"/>
      <c r="B168" s="216"/>
      <c r="C168" s="216"/>
      <c r="D168" s="216"/>
      <c r="E168" s="216"/>
      <c r="F168" s="216"/>
      <c r="G168" s="216"/>
      <c r="H168" s="216"/>
      <c r="I168" s="216"/>
      <c r="J168" s="216"/>
    </row>
    <row r="169" spans="1:10">
      <c r="A169" s="216"/>
      <c r="B169" s="216"/>
      <c r="C169" s="216"/>
      <c r="D169" s="216"/>
      <c r="E169" s="216"/>
      <c r="F169" s="216"/>
      <c r="G169" s="216"/>
      <c r="H169" s="216"/>
      <c r="I169" s="216"/>
      <c r="J169" s="216"/>
    </row>
    <row r="170" spans="1:10">
      <c r="A170" s="216"/>
      <c r="B170" s="216"/>
      <c r="C170" s="216"/>
      <c r="D170" s="216"/>
      <c r="E170" s="216"/>
      <c r="F170" s="216"/>
      <c r="G170" s="216"/>
      <c r="H170" s="216"/>
      <c r="I170" s="216"/>
      <c r="J170" s="216"/>
    </row>
    <row r="171" spans="1:10">
      <c r="A171" s="216"/>
      <c r="B171" s="216"/>
      <c r="C171" s="216"/>
      <c r="D171" s="216"/>
      <c r="E171" s="216"/>
      <c r="F171" s="216"/>
      <c r="G171" s="216"/>
      <c r="H171" s="216"/>
      <c r="I171" s="216"/>
      <c r="J171" s="216"/>
    </row>
    <row r="172" spans="1:10">
      <c r="A172" s="216"/>
      <c r="B172" s="216"/>
      <c r="C172" s="216"/>
      <c r="D172" s="216"/>
      <c r="E172" s="216"/>
      <c r="F172" s="216"/>
      <c r="G172" s="216"/>
      <c r="H172" s="216"/>
      <c r="I172" s="216"/>
      <c r="J172" s="216"/>
    </row>
    <row r="173" spans="1:10">
      <c r="A173" s="216"/>
      <c r="B173" s="216"/>
      <c r="C173" s="216"/>
      <c r="D173" s="216"/>
      <c r="E173" s="216"/>
      <c r="F173" s="216"/>
      <c r="G173" s="216"/>
      <c r="H173" s="216"/>
      <c r="I173" s="216"/>
      <c r="J173" s="216"/>
    </row>
    <row r="174" spans="1:10">
      <c r="A174" s="216"/>
      <c r="B174" s="216"/>
      <c r="C174" s="216"/>
      <c r="D174" s="216"/>
      <c r="E174" s="216"/>
      <c r="F174" s="216"/>
      <c r="G174" s="216"/>
      <c r="H174" s="216"/>
      <c r="I174" s="216"/>
      <c r="J174" s="216"/>
    </row>
    <row r="175" spans="1:10">
      <c r="A175" s="216"/>
      <c r="B175" s="216"/>
      <c r="C175" s="216"/>
      <c r="D175" s="216"/>
      <c r="E175" s="216"/>
      <c r="F175" s="216"/>
      <c r="G175" s="216"/>
      <c r="H175" s="216"/>
      <c r="I175" s="216"/>
      <c r="J175" s="216"/>
    </row>
    <row r="176" spans="1:10">
      <c r="A176" s="216"/>
      <c r="B176" s="216"/>
      <c r="C176" s="216"/>
      <c r="D176" s="216"/>
      <c r="E176" s="216"/>
      <c r="F176" s="216"/>
      <c r="G176" s="216"/>
      <c r="H176" s="216"/>
      <c r="I176" s="216"/>
      <c r="J176" s="216"/>
    </row>
    <row r="177" spans="1:10">
      <c r="A177" s="216"/>
      <c r="B177" s="216"/>
      <c r="C177" s="216"/>
      <c r="D177" s="216"/>
      <c r="E177" s="216"/>
      <c r="F177" s="216"/>
      <c r="G177" s="216"/>
      <c r="H177" s="216"/>
      <c r="I177" s="216"/>
      <c r="J177" s="216"/>
    </row>
    <row r="178" spans="1:10">
      <c r="A178" s="216"/>
      <c r="B178" s="216"/>
      <c r="C178" s="216"/>
      <c r="D178" s="216"/>
      <c r="E178" s="216"/>
      <c r="F178" s="216"/>
      <c r="G178" s="216"/>
      <c r="H178" s="216"/>
      <c r="I178" s="216"/>
      <c r="J178" s="216"/>
    </row>
    <row r="179" spans="1:10">
      <c r="A179" s="216"/>
      <c r="B179" s="216"/>
      <c r="C179" s="216"/>
      <c r="D179" s="216"/>
      <c r="E179" s="216"/>
      <c r="F179" s="216"/>
      <c r="G179" s="216"/>
      <c r="H179" s="216"/>
      <c r="I179" s="216"/>
      <c r="J179" s="216"/>
    </row>
    <row r="180" spans="1:10">
      <c r="A180" s="216"/>
      <c r="B180" s="216"/>
      <c r="C180" s="216"/>
      <c r="D180" s="216"/>
      <c r="E180" s="216"/>
      <c r="F180" s="216"/>
      <c r="G180" s="216"/>
      <c r="H180" s="216"/>
      <c r="I180" s="216"/>
      <c r="J180" s="216"/>
    </row>
    <row r="181" spans="1:10">
      <c r="A181" s="216"/>
      <c r="B181" s="216"/>
      <c r="C181" s="216"/>
      <c r="D181" s="216"/>
      <c r="E181" s="216"/>
      <c r="F181" s="216"/>
      <c r="G181" s="216"/>
      <c r="H181" s="216"/>
      <c r="I181" s="216"/>
      <c r="J181" s="216"/>
    </row>
    <row r="182" spans="1:10">
      <c r="A182" s="216"/>
      <c r="B182" s="216"/>
      <c r="C182" s="216"/>
      <c r="D182" s="216"/>
      <c r="E182" s="216"/>
      <c r="F182" s="216"/>
      <c r="G182" s="216"/>
      <c r="H182" s="216"/>
      <c r="I182" s="216"/>
      <c r="J182" s="216"/>
    </row>
    <row r="183" spans="1:10">
      <c r="A183" s="216"/>
      <c r="B183" s="216"/>
      <c r="C183" s="216"/>
      <c r="D183" s="216"/>
      <c r="E183" s="216"/>
      <c r="F183" s="216"/>
      <c r="G183" s="216"/>
      <c r="H183" s="216"/>
      <c r="I183" s="216"/>
      <c r="J183" s="216"/>
    </row>
    <row r="184" spans="1:10">
      <c r="A184" s="216"/>
      <c r="B184" s="216"/>
      <c r="C184" s="216"/>
      <c r="D184" s="216"/>
      <c r="E184" s="216"/>
      <c r="F184" s="216"/>
      <c r="G184" s="216"/>
      <c r="H184" s="216"/>
      <c r="I184" s="216"/>
      <c r="J184" s="216"/>
    </row>
    <row r="185" spans="1:10">
      <c r="A185" s="216"/>
      <c r="B185" s="216"/>
      <c r="C185" s="216"/>
      <c r="D185" s="216"/>
      <c r="E185" s="216"/>
      <c r="F185" s="216"/>
      <c r="G185" s="216"/>
      <c r="H185" s="216"/>
      <c r="I185" s="216"/>
      <c r="J185" s="216"/>
    </row>
    <row r="186" spans="1:10">
      <c r="A186" s="216"/>
      <c r="B186" s="216"/>
      <c r="C186" s="216"/>
      <c r="D186" s="216"/>
      <c r="E186" s="216"/>
      <c r="F186" s="216"/>
      <c r="G186" s="216"/>
      <c r="H186" s="216"/>
      <c r="I186" s="216"/>
      <c r="J186" s="216"/>
    </row>
    <row r="187" spans="1:10">
      <c r="A187" s="216"/>
      <c r="B187" s="216"/>
      <c r="C187" s="216"/>
      <c r="D187" s="216"/>
      <c r="E187" s="216"/>
      <c r="F187" s="216"/>
      <c r="G187" s="216"/>
      <c r="H187" s="216"/>
      <c r="I187" s="216"/>
      <c r="J187" s="216"/>
    </row>
    <row r="188" spans="1:10">
      <c r="A188" s="216"/>
      <c r="B188" s="216"/>
      <c r="C188" s="216"/>
      <c r="D188" s="216"/>
      <c r="E188" s="216"/>
      <c r="F188" s="216"/>
      <c r="G188" s="216"/>
      <c r="H188" s="216"/>
      <c r="I188" s="216"/>
      <c r="J188" s="216"/>
    </row>
    <row r="189" spans="1:10">
      <c r="A189" s="216"/>
      <c r="B189" s="216"/>
      <c r="C189" s="216"/>
      <c r="D189" s="216"/>
      <c r="E189" s="216"/>
      <c r="F189" s="216"/>
      <c r="G189" s="216"/>
      <c r="H189" s="216"/>
      <c r="I189" s="216"/>
      <c r="J189" s="216"/>
    </row>
    <row r="190" spans="1:10">
      <c r="A190" s="216"/>
      <c r="B190" s="216"/>
      <c r="C190" s="216"/>
      <c r="D190" s="216"/>
      <c r="E190" s="216"/>
      <c r="F190" s="216"/>
      <c r="G190" s="216"/>
      <c r="H190" s="216"/>
      <c r="I190" s="216"/>
      <c r="J190" s="216"/>
    </row>
    <row r="191" spans="1:10">
      <c r="A191" s="216"/>
      <c r="B191" s="216"/>
      <c r="C191" s="216"/>
      <c r="D191" s="216"/>
      <c r="E191" s="216"/>
      <c r="F191" s="216"/>
      <c r="G191" s="216"/>
      <c r="H191" s="216"/>
      <c r="I191" s="216"/>
      <c r="J191" s="216"/>
    </row>
    <row r="192" spans="1:10">
      <c r="A192" s="216"/>
      <c r="B192" s="216"/>
      <c r="C192" s="216"/>
      <c r="D192" s="216"/>
      <c r="E192" s="216"/>
      <c r="F192" s="216"/>
      <c r="G192" s="216"/>
      <c r="H192" s="216"/>
      <c r="I192" s="216"/>
      <c r="J192" s="216"/>
    </row>
    <row r="193" spans="1:10">
      <c r="A193" s="216"/>
      <c r="B193" s="216"/>
      <c r="C193" s="216"/>
      <c r="D193" s="216"/>
      <c r="E193" s="216"/>
      <c r="F193" s="216"/>
      <c r="G193" s="216"/>
      <c r="H193" s="216"/>
      <c r="I193" s="216"/>
      <c r="J193" s="216"/>
    </row>
    <row r="194" spans="1:10">
      <c r="A194" s="216"/>
      <c r="B194" s="216"/>
      <c r="C194" s="216"/>
      <c r="D194" s="216"/>
      <c r="E194" s="216"/>
      <c r="F194" s="216"/>
      <c r="G194" s="216"/>
      <c r="H194" s="216"/>
      <c r="I194" s="216"/>
      <c r="J194" s="216"/>
    </row>
    <row r="195" spans="1:10">
      <c r="A195" s="216"/>
      <c r="B195" s="216"/>
      <c r="C195" s="216"/>
      <c r="D195" s="216"/>
      <c r="E195" s="216"/>
      <c r="F195" s="216"/>
      <c r="G195" s="216"/>
      <c r="H195" s="216"/>
      <c r="I195" s="216"/>
      <c r="J195" s="216"/>
    </row>
    <row r="196" spans="1:10">
      <c r="A196" s="216"/>
      <c r="B196" s="216"/>
      <c r="C196" s="216"/>
      <c r="D196" s="216"/>
      <c r="E196" s="216"/>
      <c r="F196" s="216"/>
      <c r="G196" s="216"/>
      <c r="H196" s="216"/>
      <c r="I196" s="216"/>
      <c r="J196" s="216"/>
    </row>
    <row r="197" spans="1:10">
      <c r="A197" s="216"/>
      <c r="B197" s="216"/>
      <c r="C197" s="216"/>
      <c r="D197" s="216"/>
      <c r="E197" s="216"/>
      <c r="F197" s="216"/>
      <c r="G197" s="216"/>
      <c r="H197" s="216"/>
      <c r="I197" s="216"/>
      <c r="J197" s="216"/>
    </row>
    <row r="198" spans="1:10">
      <c r="A198" s="216"/>
      <c r="B198" s="216"/>
      <c r="C198" s="216"/>
      <c r="D198" s="216"/>
      <c r="E198" s="216"/>
      <c r="F198" s="216"/>
      <c r="G198" s="216"/>
      <c r="H198" s="216"/>
      <c r="I198" s="216"/>
      <c r="J198" s="216"/>
    </row>
    <row r="199" spans="1:10">
      <c r="A199" s="216"/>
      <c r="B199" s="216"/>
      <c r="C199" s="216"/>
      <c r="D199" s="216"/>
      <c r="E199" s="216"/>
      <c r="F199" s="216"/>
      <c r="G199" s="216"/>
      <c r="H199" s="216"/>
      <c r="I199" s="216"/>
      <c r="J199" s="216"/>
    </row>
    <row r="200" spans="1:10">
      <c r="A200" s="216"/>
      <c r="B200" s="216"/>
      <c r="C200" s="216"/>
      <c r="D200" s="216"/>
      <c r="E200" s="216"/>
      <c r="F200" s="216"/>
      <c r="G200" s="216"/>
      <c r="H200" s="216"/>
      <c r="I200" s="216"/>
      <c r="J200" s="216"/>
    </row>
    <row r="201" spans="1:10">
      <c r="A201" s="216"/>
      <c r="B201" s="216"/>
      <c r="C201" s="216"/>
      <c r="D201" s="216"/>
      <c r="E201" s="216"/>
      <c r="F201" s="216"/>
      <c r="G201" s="216"/>
      <c r="H201" s="216"/>
      <c r="I201" s="216"/>
      <c r="J201" s="216"/>
    </row>
    <row r="202" spans="1:10">
      <c r="A202" s="216"/>
      <c r="B202" s="216"/>
      <c r="C202" s="216"/>
      <c r="D202" s="216"/>
      <c r="E202" s="216"/>
      <c r="F202" s="216"/>
      <c r="G202" s="216"/>
      <c r="H202" s="216"/>
      <c r="I202" s="216"/>
      <c r="J202" s="216"/>
    </row>
    <row r="203" spans="1:10">
      <c r="A203" s="216"/>
      <c r="B203" s="216"/>
      <c r="C203" s="216"/>
      <c r="D203" s="216"/>
      <c r="E203" s="216"/>
      <c r="F203" s="216"/>
      <c r="G203" s="216"/>
      <c r="H203" s="216"/>
      <c r="I203" s="216"/>
      <c r="J203" s="216"/>
    </row>
    <row r="204" spans="1:10">
      <c r="A204" s="216"/>
      <c r="B204" s="216"/>
      <c r="C204" s="216"/>
      <c r="D204" s="216"/>
      <c r="E204" s="216"/>
      <c r="F204" s="216"/>
      <c r="G204" s="216"/>
      <c r="H204" s="216"/>
      <c r="I204" s="216"/>
      <c r="J204" s="216"/>
    </row>
    <row r="205" spans="1:10">
      <c r="A205" s="216"/>
      <c r="B205" s="216"/>
      <c r="C205" s="216"/>
      <c r="D205" s="216"/>
      <c r="E205" s="216"/>
      <c r="F205" s="216"/>
      <c r="G205" s="216"/>
      <c r="H205" s="216"/>
      <c r="I205" s="216"/>
      <c r="J205" s="216"/>
    </row>
    <row r="206" spans="1:10">
      <c r="A206" s="216"/>
      <c r="B206" s="216"/>
      <c r="C206" s="216"/>
      <c r="D206" s="216"/>
      <c r="E206" s="216"/>
      <c r="F206" s="216"/>
      <c r="G206" s="216"/>
      <c r="H206" s="216"/>
      <c r="I206" s="216"/>
      <c r="J206" s="216"/>
    </row>
  </sheetData>
  <phoneticPr fontId="19" type="noConversion"/>
  <pageMargins left="0.78740157480314965" right="0.39370078740157483" top="0.98425196850393704" bottom="0.98425196850393704" header="0.51181102362204722" footer="0.51181102362204722"/>
  <pageSetup paperSize="5" scale="70" orientation="portrait" horizontalDpi="300" verticalDpi="300" r:id="rId1"/>
  <headerFooter alignWithMargins="0"/>
  <ignoredErrors>
    <ignoredError sqref="H16" formula="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topLeftCell="A7" workbookViewId="0">
      <selection activeCell="I21" sqref="I21"/>
    </sheetView>
  </sheetViews>
  <sheetFormatPr baseColWidth="10" defaultRowHeight="13.2"/>
  <cols>
    <col min="1" max="1" width="7.21875" customWidth="1"/>
    <col min="2" max="7" width="9" customWidth="1"/>
    <col min="8" max="10" width="8.77734375" customWidth="1"/>
    <col min="11" max="12" width="6.44140625" style="216" customWidth="1"/>
    <col min="13" max="13" width="8.21875" style="216" customWidth="1"/>
    <col min="14" max="14" width="8.5546875" style="216" customWidth="1"/>
    <col min="15" max="15" width="6.44140625" style="216" customWidth="1"/>
    <col min="16" max="16" width="8.21875" style="216" customWidth="1"/>
    <col min="17" max="17" width="6.44140625" style="216" customWidth="1"/>
    <col min="18" max="18" width="9.21875" style="216" customWidth="1"/>
    <col min="19" max="19" width="7.21875" style="216" customWidth="1"/>
    <col min="20" max="21" width="6.44140625" style="216" customWidth="1"/>
    <col min="22" max="22" width="6.5546875" style="216" customWidth="1"/>
    <col min="23" max="24" width="6.5546875" customWidth="1"/>
  </cols>
  <sheetData>
    <row r="1" spans="1:24">
      <c r="A1" s="80" t="s">
        <v>61</v>
      </c>
      <c r="B1" s="81"/>
      <c r="C1" s="1"/>
      <c r="D1" s="1"/>
      <c r="E1" s="1"/>
      <c r="F1" s="1"/>
      <c r="G1" s="1"/>
      <c r="H1" s="1"/>
      <c r="I1" s="1"/>
      <c r="J1" s="167"/>
    </row>
    <row r="2" spans="1:24">
      <c r="A2" s="80" t="s">
        <v>62</v>
      </c>
      <c r="B2" s="81"/>
      <c r="C2" s="1"/>
      <c r="D2" s="1"/>
      <c r="E2" s="1"/>
      <c r="F2" s="1"/>
      <c r="G2" s="1"/>
      <c r="H2" s="1"/>
      <c r="I2" s="1"/>
      <c r="J2" s="167"/>
    </row>
    <row r="3" spans="1:24">
      <c r="A3" s="80" t="s">
        <v>63</v>
      </c>
      <c r="B3" s="81"/>
      <c r="C3" s="1"/>
      <c r="D3" s="1"/>
      <c r="E3" s="1"/>
      <c r="F3" s="1"/>
      <c r="G3" s="1"/>
      <c r="H3" s="1"/>
      <c r="I3" s="1"/>
      <c r="J3" s="167"/>
    </row>
    <row r="4" spans="1:24">
      <c r="A4" s="80"/>
      <c r="B4" s="81"/>
      <c r="C4" s="1"/>
      <c r="D4" s="1"/>
      <c r="E4" s="1"/>
      <c r="F4" s="1"/>
      <c r="G4" s="1"/>
      <c r="H4" s="1"/>
      <c r="I4" s="1"/>
      <c r="J4" s="167"/>
    </row>
    <row r="5" spans="1:24">
      <c r="A5" s="3" t="s">
        <v>1651</v>
      </c>
      <c r="B5" s="81"/>
      <c r="C5" s="1"/>
      <c r="D5" s="1"/>
      <c r="E5" s="1"/>
      <c r="F5" s="1"/>
      <c r="G5" s="1"/>
      <c r="H5" s="1"/>
      <c r="I5" s="1"/>
      <c r="J5" s="167"/>
    </row>
    <row r="6" spans="1:24">
      <c r="J6" s="167"/>
    </row>
    <row r="7" spans="1:24">
      <c r="J7" s="167"/>
      <c r="K7"/>
      <c r="L7"/>
      <c r="M7" s="274" t="s">
        <v>64</v>
      </c>
      <c r="N7" s="274"/>
      <c r="O7" s="274"/>
      <c r="P7" s="274" t="s">
        <v>65</v>
      </c>
      <c r="Q7" s="274"/>
      <c r="R7" s="274"/>
      <c r="S7" s="274" t="s">
        <v>873</v>
      </c>
      <c r="T7" s="274"/>
      <c r="U7" s="274"/>
      <c r="V7" s="274" t="s">
        <v>874</v>
      </c>
      <c r="W7" s="274"/>
      <c r="X7" s="274"/>
    </row>
    <row r="8" spans="1:24" s="6" customFormat="1" ht="16.5" customHeight="1">
      <c r="A8" s="272" t="s">
        <v>640</v>
      </c>
      <c r="B8" s="451" t="s">
        <v>37</v>
      </c>
      <c r="C8" s="165"/>
      <c r="D8" s="451" t="s">
        <v>873</v>
      </c>
      <c r="E8" s="165"/>
      <c r="F8" s="164" t="s">
        <v>874</v>
      </c>
      <c r="G8" s="164"/>
      <c r="H8" s="451" t="s">
        <v>517</v>
      </c>
      <c r="I8" s="165"/>
      <c r="J8" s="535"/>
      <c r="K8"/>
      <c r="L8"/>
      <c r="M8" s="10"/>
      <c r="N8" s="10"/>
      <c r="O8" s="10"/>
      <c r="P8" s="10"/>
      <c r="Q8" s="10"/>
      <c r="R8" s="10"/>
      <c r="S8" s="10"/>
      <c r="T8" s="10"/>
      <c r="U8" s="10"/>
      <c r="V8" s="10"/>
      <c r="W8" s="10"/>
      <c r="X8" s="10"/>
    </row>
    <row r="9" spans="1:24" s="6" customFormat="1" ht="16.5" customHeight="1">
      <c r="A9" s="673"/>
      <c r="B9" s="250" t="s">
        <v>66</v>
      </c>
      <c r="C9" s="252" t="s">
        <v>1022</v>
      </c>
      <c r="D9" s="250" t="s">
        <v>66</v>
      </c>
      <c r="E9" s="252" t="s">
        <v>1022</v>
      </c>
      <c r="F9" s="420" t="s">
        <v>66</v>
      </c>
      <c r="G9" s="420" t="s">
        <v>1022</v>
      </c>
      <c r="H9" s="250" t="s">
        <v>66</v>
      </c>
      <c r="I9" s="252" t="s">
        <v>1022</v>
      </c>
      <c r="J9" s="300"/>
      <c r="K9"/>
      <c r="L9"/>
      <c r="M9" s="274" t="s">
        <v>67</v>
      </c>
      <c r="N9" s="274" t="s">
        <v>68</v>
      </c>
      <c r="O9" s="274" t="s">
        <v>69</v>
      </c>
      <c r="P9" s="274" t="s">
        <v>67</v>
      </c>
      <c r="Q9" s="274" t="s">
        <v>68</v>
      </c>
      <c r="R9" s="274" t="s">
        <v>69</v>
      </c>
      <c r="S9" s="274" t="s">
        <v>67</v>
      </c>
      <c r="T9" s="274" t="s">
        <v>68</v>
      </c>
      <c r="U9" s="274" t="s">
        <v>69</v>
      </c>
      <c r="V9" s="274" t="s">
        <v>67</v>
      </c>
      <c r="W9" s="274" t="s">
        <v>68</v>
      </c>
      <c r="X9" s="274" t="s">
        <v>69</v>
      </c>
    </row>
    <row r="10" spans="1:24" s="6" customFormat="1" ht="16.5" customHeight="1">
      <c r="A10" s="199">
        <v>2011</v>
      </c>
      <c r="B10" s="270">
        <v>4775</v>
      </c>
      <c r="C10" s="674">
        <v>1479</v>
      </c>
      <c r="D10" s="270">
        <v>4199</v>
      </c>
      <c r="E10" s="674">
        <v>1803</v>
      </c>
      <c r="F10" s="675">
        <v>0</v>
      </c>
      <c r="G10" s="675">
        <v>12</v>
      </c>
      <c r="H10" s="270">
        <v>8974</v>
      </c>
      <c r="I10" s="674">
        <v>3294</v>
      </c>
      <c r="J10" s="168"/>
      <c r="K10"/>
      <c r="L10"/>
      <c r="M10" s="115">
        <v>254846</v>
      </c>
      <c r="N10" s="1492">
        <v>3.5213423008405078</v>
      </c>
      <c r="O10" s="1492">
        <v>1.2925453018685795</v>
      </c>
      <c r="P10" s="115">
        <v>112263</v>
      </c>
      <c r="Q10" s="1492">
        <v>4.2534049508742866</v>
      </c>
      <c r="R10" s="1492">
        <v>1.3174420779776062</v>
      </c>
      <c r="S10" s="115">
        <v>104646</v>
      </c>
      <c r="T10" s="1492">
        <v>4.0125757315138655</v>
      </c>
      <c r="U10" s="1492">
        <v>1.7229516656155037</v>
      </c>
      <c r="V10" s="115">
        <v>37937</v>
      </c>
      <c r="W10" s="222">
        <v>0</v>
      </c>
      <c r="X10" s="222">
        <v>3.1631388881566809E-2</v>
      </c>
    </row>
    <row r="11" spans="1:24" s="6" customFormat="1" ht="16.5" customHeight="1">
      <c r="A11" s="199">
        <v>2012</v>
      </c>
      <c r="B11" s="270">
        <v>5231</v>
      </c>
      <c r="C11" s="674">
        <v>1416</v>
      </c>
      <c r="D11" s="270">
        <v>4069</v>
      </c>
      <c r="E11" s="674">
        <v>1880</v>
      </c>
      <c r="F11" s="675">
        <v>0</v>
      </c>
      <c r="G11" s="675">
        <v>0</v>
      </c>
      <c r="H11" s="270">
        <v>9300</v>
      </c>
      <c r="I11" s="674">
        <v>3296</v>
      </c>
      <c r="J11" s="168"/>
      <c r="K11"/>
      <c r="L11"/>
      <c r="M11" s="115">
        <v>257878</v>
      </c>
      <c r="N11" s="1492">
        <v>3.6063564941561514</v>
      </c>
      <c r="O11" s="1492">
        <v>1.2781237639503951</v>
      </c>
      <c r="P11" s="115">
        <v>113613</v>
      </c>
      <c r="Q11" s="1492">
        <v>4.6042266289949216</v>
      </c>
      <c r="R11" s="1492">
        <v>1.246336246732328</v>
      </c>
      <c r="S11" s="115">
        <v>105925</v>
      </c>
      <c r="T11" s="1492">
        <v>3.841397215010621</v>
      </c>
      <c r="U11" s="1492">
        <v>1.7748406891668633</v>
      </c>
      <c r="V11" s="115">
        <v>38340</v>
      </c>
      <c r="W11" s="222">
        <v>0</v>
      </c>
      <c r="X11" s="222">
        <v>0</v>
      </c>
    </row>
    <row r="12" spans="1:24" s="6" customFormat="1" ht="17.25" customHeight="1">
      <c r="A12" s="199">
        <v>2013</v>
      </c>
      <c r="B12" s="270">
        <v>5295</v>
      </c>
      <c r="C12" s="674">
        <v>1554</v>
      </c>
      <c r="D12" s="270">
        <v>3949</v>
      </c>
      <c r="E12" s="674">
        <v>1749</v>
      </c>
      <c r="F12" s="675">
        <v>0</v>
      </c>
      <c r="G12" s="675">
        <v>0</v>
      </c>
      <c r="H12" s="270">
        <v>9244</v>
      </c>
      <c r="I12" s="674">
        <v>3303</v>
      </c>
      <c r="J12" s="168"/>
      <c r="K12"/>
      <c r="L12"/>
      <c r="M12" s="115">
        <v>260629</v>
      </c>
      <c r="N12" s="1492">
        <v>3.5468040778271028</v>
      </c>
      <c r="O12" s="1492">
        <v>1.2673186790418565</v>
      </c>
      <c r="P12" s="115">
        <v>114848</v>
      </c>
      <c r="Q12" s="1492">
        <v>4.6104416271942048</v>
      </c>
      <c r="R12" s="1492">
        <v>1.3530927835051547</v>
      </c>
      <c r="S12" s="115">
        <v>107079</v>
      </c>
      <c r="T12" s="1492">
        <v>3.6879313404122191</v>
      </c>
      <c r="U12" s="1492">
        <v>1.6333734906003978</v>
      </c>
      <c r="V12" s="115">
        <v>38702</v>
      </c>
      <c r="W12" s="222">
        <v>0</v>
      </c>
      <c r="X12" s="222">
        <v>0</v>
      </c>
    </row>
    <row r="13" spans="1:24" s="6" customFormat="1" ht="17.25" customHeight="1">
      <c r="A13" s="245">
        <v>2014</v>
      </c>
      <c r="B13" s="675">
        <v>5667</v>
      </c>
      <c r="C13" s="674">
        <v>1506</v>
      </c>
      <c r="D13" s="675">
        <v>3879</v>
      </c>
      <c r="E13" s="674">
        <v>1913</v>
      </c>
      <c r="F13" s="675">
        <v>0</v>
      </c>
      <c r="G13" s="674">
        <v>0</v>
      </c>
      <c r="H13" s="675">
        <v>9546</v>
      </c>
      <c r="I13" s="674">
        <v>3419</v>
      </c>
      <c r="J13" s="168"/>
      <c r="K13"/>
      <c r="L13"/>
      <c r="M13" s="115">
        <v>263459</v>
      </c>
      <c r="N13" s="1492">
        <v>3.6233341810300654</v>
      </c>
      <c r="O13" s="1492">
        <v>1.2977351314625805</v>
      </c>
      <c r="P13" s="115">
        <v>116115</v>
      </c>
      <c r="Q13" s="1492">
        <v>4.880506394522671</v>
      </c>
      <c r="R13" s="1492">
        <v>1.2969900529647331</v>
      </c>
      <c r="S13" s="115">
        <v>108270</v>
      </c>
      <c r="T13" s="1492">
        <v>3.5827098919368243</v>
      </c>
      <c r="U13" s="1492">
        <v>1.7668790985499214</v>
      </c>
      <c r="V13" s="115">
        <v>39074</v>
      </c>
      <c r="W13" s="222">
        <v>0</v>
      </c>
      <c r="X13" s="222">
        <v>0</v>
      </c>
    </row>
    <row r="14" spans="1:24" s="6" customFormat="1" ht="17.25" customHeight="1">
      <c r="A14" s="627">
        <v>2015</v>
      </c>
      <c r="B14" s="203">
        <v>5750</v>
      </c>
      <c r="C14" s="201">
        <v>1254</v>
      </c>
      <c r="D14" s="203">
        <v>3527</v>
      </c>
      <c r="E14" s="201">
        <v>2161</v>
      </c>
      <c r="F14" s="203">
        <v>0</v>
      </c>
      <c r="G14" s="201">
        <v>0</v>
      </c>
      <c r="H14" s="675">
        <v>9277</v>
      </c>
      <c r="I14" s="674">
        <v>3415</v>
      </c>
      <c r="J14" s="168"/>
      <c r="K14"/>
      <c r="L14"/>
      <c r="M14" s="115">
        <v>266356</v>
      </c>
      <c r="N14" s="1492">
        <v>3.4829326164982204</v>
      </c>
      <c r="O14" s="1492">
        <v>1.2821186682485095</v>
      </c>
      <c r="P14" s="115">
        <v>117430</v>
      </c>
      <c r="Q14" s="1492">
        <v>4.8965341054245082</v>
      </c>
      <c r="R14" s="1492">
        <v>1.0678702205569275</v>
      </c>
      <c r="S14" s="115">
        <v>109467</v>
      </c>
      <c r="T14" s="1492">
        <v>3.2219755725469779</v>
      </c>
      <c r="U14" s="1492">
        <v>1.9741109192724748</v>
      </c>
      <c r="V14" s="115">
        <v>39459</v>
      </c>
      <c r="W14" s="222">
        <v>0</v>
      </c>
      <c r="X14" s="222">
        <v>0</v>
      </c>
    </row>
    <row r="15" spans="1:24" ht="17.25" customHeight="1">
      <c r="A15" s="627">
        <v>2016</v>
      </c>
      <c r="B15" s="203">
        <v>5759</v>
      </c>
      <c r="C15" s="201">
        <v>1078</v>
      </c>
      <c r="D15" s="203">
        <v>3873</v>
      </c>
      <c r="E15" s="201">
        <v>1975</v>
      </c>
      <c r="F15" s="203">
        <v>0</v>
      </c>
      <c r="G15" s="201">
        <v>0</v>
      </c>
      <c r="H15" s="675">
        <v>9632</v>
      </c>
      <c r="I15" s="674">
        <v>3053</v>
      </c>
      <c r="J15" s="168"/>
      <c r="K15"/>
      <c r="L15"/>
      <c r="M15" s="115">
        <v>269239</v>
      </c>
      <c r="N15" s="1492">
        <v>3.5774906310007091</v>
      </c>
      <c r="O15" s="1492">
        <v>1.1339367625046892</v>
      </c>
      <c r="P15" s="115">
        <v>118733</v>
      </c>
      <c r="Q15" s="1492">
        <v>4.8503785805125785</v>
      </c>
      <c r="R15" s="1492">
        <v>0.90791944952119463</v>
      </c>
      <c r="S15" s="115">
        <v>110666</v>
      </c>
      <c r="T15" s="1492">
        <v>3.4997198778305894</v>
      </c>
      <c r="U15" s="1492">
        <v>1.7846493051162957</v>
      </c>
      <c r="V15" s="115">
        <v>39840</v>
      </c>
      <c r="W15" s="222">
        <v>0</v>
      </c>
      <c r="X15" s="222">
        <v>0</v>
      </c>
    </row>
    <row r="16" spans="1:24" ht="17.25" customHeight="1">
      <c r="A16" s="627">
        <v>2017</v>
      </c>
      <c r="B16" s="203">
        <v>6112</v>
      </c>
      <c r="C16" s="201">
        <v>776</v>
      </c>
      <c r="D16" s="203">
        <v>4016</v>
      </c>
      <c r="E16" s="201">
        <v>1729</v>
      </c>
      <c r="F16" s="203">
        <v>0</v>
      </c>
      <c r="G16" s="201">
        <v>0</v>
      </c>
      <c r="H16" s="675">
        <v>10128</v>
      </c>
      <c r="I16" s="674">
        <v>2505</v>
      </c>
      <c r="J16" s="168"/>
      <c r="K16"/>
      <c r="L16"/>
      <c r="M16" s="115">
        <v>272453</v>
      </c>
      <c r="N16" s="1492">
        <v>3.7173384033209396</v>
      </c>
      <c r="O16" s="1492">
        <v>0.91942463470763758</v>
      </c>
      <c r="P16" s="115">
        <v>120187</v>
      </c>
      <c r="Q16" s="1492">
        <v>5.0854085716425237</v>
      </c>
      <c r="R16" s="1492">
        <v>0.64566051236822619</v>
      </c>
      <c r="S16" s="115">
        <v>111997</v>
      </c>
      <c r="T16" s="1492">
        <v>3.5858103342053802</v>
      </c>
      <c r="U16" s="1492">
        <v>1.5437913515540596</v>
      </c>
      <c r="V16" s="115">
        <v>40269</v>
      </c>
      <c r="W16" s="222">
        <v>0</v>
      </c>
      <c r="X16" s="222">
        <v>0</v>
      </c>
    </row>
    <row r="17" spans="1:24" ht="17.25" customHeight="1">
      <c r="A17" s="627">
        <v>2018</v>
      </c>
      <c r="B17" s="203">
        <v>6217</v>
      </c>
      <c r="C17" s="201">
        <v>1045</v>
      </c>
      <c r="D17" s="203">
        <v>3793</v>
      </c>
      <c r="E17" s="201">
        <v>1840</v>
      </c>
      <c r="F17" s="203">
        <v>0</v>
      </c>
      <c r="G17" s="201">
        <v>0</v>
      </c>
      <c r="H17" s="675">
        <v>10010</v>
      </c>
      <c r="I17" s="674">
        <v>2885</v>
      </c>
      <c r="J17" s="168"/>
      <c r="K17"/>
      <c r="L17"/>
      <c r="M17" s="115">
        <v>276064</v>
      </c>
      <c r="N17" s="1492">
        <v>3.6259707893821722</v>
      </c>
      <c r="O17" s="1492">
        <v>1.045047525211545</v>
      </c>
      <c r="P17" s="115">
        <v>121814</v>
      </c>
      <c r="Q17" s="1492">
        <v>5.1036826637332329</v>
      </c>
      <c r="R17" s="1492">
        <v>0.85786527000180601</v>
      </c>
      <c r="S17" s="115">
        <v>113484</v>
      </c>
      <c r="T17" s="1492">
        <v>3.3423213845123541</v>
      </c>
      <c r="U17" s="1492">
        <v>1.6213739381763066</v>
      </c>
      <c r="V17" s="115">
        <v>40756</v>
      </c>
      <c r="W17" s="222">
        <v>0</v>
      </c>
      <c r="X17" s="222">
        <v>0</v>
      </c>
    </row>
    <row r="18" spans="1:24" ht="17.25" customHeight="1">
      <c r="A18" s="627">
        <v>2019</v>
      </c>
      <c r="B18" s="203">
        <v>6078</v>
      </c>
      <c r="C18" s="201">
        <v>1028</v>
      </c>
      <c r="D18" s="203">
        <v>4233</v>
      </c>
      <c r="E18" s="201">
        <v>1743</v>
      </c>
      <c r="F18" s="203">
        <v>0</v>
      </c>
      <c r="G18" s="201">
        <v>0</v>
      </c>
      <c r="H18" s="675">
        <v>10311</v>
      </c>
      <c r="I18" s="674">
        <v>2771</v>
      </c>
      <c r="J18" s="168"/>
      <c r="K18"/>
      <c r="L18"/>
      <c r="M18" s="115">
        <v>279717</v>
      </c>
      <c r="N18" s="1492">
        <v>3.6862257209965792</v>
      </c>
      <c r="O18" s="1492">
        <v>0.99064411530225183</v>
      </c>
      <c r="P18" s="115">
        <v>123486</v>
      </c>
      <c r="Q18" s="1492">
        <v>4.9220154511442589</v>
      </c>
      <c r="R18" s="1492">
        <v>0.83248303451403405</v>
      </c>
      <c r="S18" s="115">
        <v>114976</v>
      </c>
      <c r="T18" s="1492">
        <v>3.6816379070414698</v>
      </c>
      <c r="U18" s="1492">
        <v>1.5159685499582523</v>
      </c>
      <c r="V18" s="115">
        <v>41255</v>
      </c>
      <c r="W18" s="222">
        <v>0</v>
      </c>
      <c r="X18" s="222">
        <v>0</v>
      </c>
    </row>
    <row r="19" spans="1:24" ht="17.25" customHeight="1">
      <c r="A19" s="676">
        <v>2020</v>
      </c>
      <c r="B19" s="677">
        <f>SUM('70'!C8:C9)</f>
        <v>3228</v>
      </c>
      <c r="C19" s="678">
        <f>+'70'!C10+'70'!C11</f>
        <v>1050</v>
      </c>
      <c r="D19" s="677">
        <f>SUM('70'!D8:D9)</f>
        <v>2207</v>
      </c>
      <c r="E19" s="678">
        <f>+'70'!D10+'70'!D11</f>
        <v>1928</v>
      </c>
      <c r="F19" s="677">
        <f>+'70'!E8+'70'!E9</f>
        <v>0</v>
      </c>
      <c r="G19" s="678">
        <v>0</v>
      </c>
      <c r="H19" s="677">
        <f>+B19+D19+F19</f>
        <v>5435</v>
      </c>
      <c r="I19" s="678">
        <f>+C19+E19+G19</f>
        <v>2978</v>
      </c>
      <c r="J19" s="168"/>
      <c r="K19"/>
      <c r="L19"/>
      <c r="M19" s="115">
        <f>+'68'!K13</f>
        <v>283366</v>
      </c>
      <c r="N19" s="1492">
        <f>+H19/M19*100</f>
        <v>1.9180141583676233</v>
      </c>
      <c r="O19" s="1492">
        <f t="shared" ref="O19" si="0">+I19/M19*100</f>
        <v>1.050937656599592</v>
      </c>
      <c r="P19" s="115">
        <f>+'8'!B85-'8'!B73-'8'!B67</f>
        <v>125139</v>
      </c>
      <c r="Q19" s="1492">
        <f>+B19/P19*100</f>
        <v>2.5795315609042744</v>
      </c>
      <c r="R19" s="1492">
        <f>+C19/P19*100</f>
        <v>0.83906695754321203</v>
      </c>
      <c r="S19" s="115">
        <f>+'8'!B34</f>
        <v>116481</v>
      </c>
      <c r="T19" s="1492">
        <f>+D19/S19*100</f>
        <v>1.8947296125548372</v>
      </c>
      <c r="U19" s="1492">
        <f>+E19/S19*100</f>
        <v>1.6552055700071258</v>
      </c>
      <c r="V19" s="115">
        <f>+'8'!B67+'8'!B73</f>
        <v>41746</v>
      </c>
      <c r="W19" s="222">
        <f>+F19/V19*100</f>
        <v>0</v>
      </c>
      <c r="X19" s="222">
        <f>+G19/V19*100</f>
        <v>0</v>
      </c>
    </row>
    <row r="20" spans="1:24">
      <c r="A20" s="679"/>
      <c r="B20" s="680"/>
      <c r="C20" s="680"/>
      <c r="D20" s="680"/>
      <c r="E20" s="680"/>
      <c r="F20" s="680"/>
      <c r="G20" s="680"/>
      <c r="H20" s="168"/>
      <c r="I20" s="168"/>
      <c r="J20" s="168"/>
      <c r="K20" s="163"/>
      <c r="L20" s="681"/>
      <c r="M20" s="681"/>
      <c r="N20" s="163"/>
      <c r="O20" s="681"/>
      <c r="P20" s="681"/>
      <c r="Q20" s="163"/>
      <c r="R20" s="681"/>
      <c r="S20" s="681"/>
      <c r="T20" s="163"/>
      <c r="U20" s="681"/>
      <c r="V20" s="681"/>
      <c r="W20" s="337"/>
    </row>
    <row r="21" spans="1:24">
      <c r="A21" s="679"/>
      <c r="B21" s="680"/>
      <c r="C21" s="680"/>
      <c r="D21" s="680"/>
      <c r="E21" s="680"/>
      <c r="F21" s="680"/>
      <c r="G21" s="680"/>
      <c r="H21" s="168"/>
      <c r="I21" s="168"/>
      <c r="J21" s="168"/>
      <c r="K21" s="163"/>
      <c r="L21" s="681"/>
      <c r="M21" s="681"/>
      <c r="N21" s="163"/>
      <c r="O21" s="681"/>
      <c r="P21" s="681"/>
      <c r="Q21" s="163"/>
      <c r="R21" s="681"/>
      <c r="S21" s="681"/>
      <c r="T21" s="163"/>
      <c r="U21" s="681"/>
      <c r="V21" s="681"/>
      <c r="W21" s="337"/>
    </row>
    <row r="22" spans="1:24">
      <c r="A22" s="216"/>
      <c r="B22" s="216"/>
      <c r="C22" s="216"/>
      <c r="D22" s="216"/>
      <c r="E22" s="216"/>
      <c r="F22" s="216"/>
      <c r="G22" s="216"/>
      <c r="H22" s="216"/>
      <c r="I22" s="216"/>
      <c r="J22" s="216"/>
    </row>
    <row r="25" spans="1:24">
      <c r="K25" s="216" t="s">
        <v>70</v>
      </c>
    </row>
    <row r="58" spans="1:10">
      <c r="A58" s="80" t="s">
        <v>61</v>
      </c>
      <c r="B58" s="81"/>
      <c r="C58" s="1"/>
      <c r="D58" s="1"/>
      <c r="E58" s="1"/>
      <c r="F58" s="1"/>
      <c r="G58" s="1"/>
      <c r="H58" s="1"/>
      <c r="I58" s="1"/>
      <c r="J58" s="1"/>
    </row>
    <row r="59" spans="1:10">
      <c r="A59" s="80" t="s">
        <v>62</v>
      </c>
      <c r="B59" s="81"/>
      <c r="C59" s="1"/>
      <c r="D59" s="1"/>
      <c r="E59" s="1"/>
      <c r="F59" s="1"/>
      <c r="G59" s="1"/>
      <c r="H59" s="1"/>
      <c r="I59" s="1"/>
      <c r="J59" s="1"/>
    </row>
    <row r="60" spans="1:10">
      <c r="A60" s="80" t="s">
        <v>71</v>
      </c>
      <c r="B60" s="81"/>
      <c r="C60" s="1"/>
      <c r="D60" s="1"/>
      <c r="E60" s="1"/>
      <c r="F60" s="1"/>
      <c r="G60" s="1"/>
      <c r="H60" s="1"/>
      <c r="I60" s="1"/>
      <c r="J60" s="1"/>
    </row>
    <row r="61" spans="1:10">
      <c r="A61" s="80"/>
      <c r="B61" s="81"/>
      <c r="C61" s="1"/>
      <c r="D61" s="1"/>
      <c r="E61" s="1"/>
      <c r="F61" s="1"/>
      <c r="G61" s="1"/>
      <c r="H61" s="1"/>
      <c r="I61" s="1"/>
      <c r="J61" s="1"/>
    </row>
    <row r="62" spans="1:10">
      <c r="A62" s="80" t="str">
        <f>+A5</f>
        <v>2011  - 2020</v>
      </c>
      <c r="B62" s="81"/>
      <c r="C62" s="1"/>
      <c r="D62" s="1"/>
      <c r="E62" s="1"/>
      <c r="F62" s="1"/>
      <c r="G62" s="1"/>
      <c r="H62" s="1"/>
      <c r="I62" s="1"/>
      <c r="J62" s="1"/>
    </row>
    <row r="63" spans="1:10">
      <c r="A63" s="113"/>
      <c r="B63" s="1"/>
      <c r="C63" s="1"/>
      <c r="D63" s="1"/>
      <c r="E63" s="1"/>
      <c r="F63" s="1"/>
      <c r="G63" s="1"/>
      <c r="H63" s="1"/>
      <c r="I63" s="1"/>
      <c r="J63" s="1"/>
    </row>
    <row r="64" spans="1:10">
      <c r="A64" s="113"/>
      <c r="B64" s="1"/>
      <c r="C64" s="1"/>
      <c r="D64" s="1"/>
      <c r="E64" s="1"/>
      <c r="F64" s="1"/>
      <c r="G64" s="1"/>
      <c r="H64" s="1"/>
      <c r="I64" s="1"/>
      <c r="J64" s="1"/>
    </row>
    <row r="65" spans="1:10">
      <c r="A65" s="113"/>
      <c r="B65" s="1"/>
      <c r="C65" s="1"/>
      <c r="D65" s="1"/>
      <c r="E65" s="1"/>
      <c r="F65" s="1"/>
      <c r="G65" s="1"/>
      <c r="H65" s="1"/>
      <c r="I65" s="1"/>
      <c r="J65" s="1"/>
    </row>
    <row r="66" spans="1:10">
      <c r="A66" s="113"/>
      <c r="B66" s="1"/>
      <c r="C66" s="1"/>
      <c r="D66" s="1"/>
      <c r="E66" s="1"/>
      <c r="F66" s="1"/>
      <c r="G66" s="1"/>
      <c r="H66" s="1"/>
      <c r="I66" s="1"/>
      <c r="J66" s="1"/>
    </row>
  </sheetData>
  <phoneticPr fontId="19" type="noConversion"/>
  <pageMargins left="0.98425196850393704" right="0.39370078740157483" top="0.98425196850393704" bottom="1.3779527559055118" header="0.51181102362204722" footer="0.51181102362204722"/>
  <pageSetup paperSize="5" scale="96" orientation="portrait" horizontalDpi="300" verticalDpi="300" r:id="rId1"/>
  <headerFooter alignWithMargins="0">
    <oddHeader xml:space="preserve">&amp;R
</oddHeader>
  </headerFooter>
  <rowBreaks count="1" manualBreakCount="1">
    <brk id="57" max="16383" man="1"/>
  </rowBreaks>
  <colBreaks count="1" manualBreakCount="1">
    <brk id="10" max="99"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topLeftCell="A36" zoomScale="75" workbookViewId="0">
      <selection activeCell="I55" sqref="I55"/>
    </sheetView>
  </sheetViews>
  <sheetFormatPr baseColWidth="10" defaultRowHeight="13.2"/>
  <cols>
    <col min="1" max="1" width="31.77734375" customWidth="1"/>
    <col min="2" max="3" width="8.44140625" customWidth="1"/>
    <col min="4" max="4" width="7.77734375" customWidth="1"/>
    <col min="5" max="5" width="7.21875" customWidth="1"/>
    <col min="6" max="6" width="7.77734375" customWidth="1"/>
    <col min="7" max="7" width="7" customWidth="1"/>
    <col min="8" max="9" width="7.44140625" customWidth="1"/>
    <col min="10" max="10" width="8.44140625" customWidth="1"/>
    <col min="11" max="13" width="8.21875" customWidth="1"/>
    <col min="14" max="14" width="6.77734375" customWidth="1"/>
    <col min="15" max="15" width="7.77734375" customWidth="1"/>
    <col min="16" max="16" width="8.21875" customWidth="1"/>
    <col min="17" max="17" width="8.77734375" customWidth="1"/>
  </cols>
  <sheetData>
    <row r="1" spans="1:21">
      <c r="A1" s="3" t="s">
        <v>1649</v>
      </c>
      <c r="B1" s="113"/>
      <c r="C1" s="113"/>
      <c r="D1" s="113"/>
      <c r="E1" s="113"/>
      <c r="F1" s="113"/>
      <c r="G1" s="113"/>
      <c r="H1" s="113"/>
      <c r="I1" s="113"/>
      <c r="J1" s="113"/>
      <c r="K1" s="113"/>
      <c r="L1" s="113"/>
      <c r="M1" s="113"/>
      <c r="N1" s="113"/>
      <c r="O1" s="113"/>
      <c r="P1" s="113"/>
      <c r="Q1" s="113"/>
    </row>
    <row r="2" spans="1:21">
      <c r="A2" s="80"/>
      <c r="B2" s="113"/>
      <c r="C2" s="113"/>
      <c r="D2" s="113"/>
      <c r="E2" s="113"/>
      <c r="F2" s="113"/>
      <c r="G2" s="113"/>
      <c r="H2" s="113"/>
      <c r="I2" s="113"/>
      <c r="J2" s="113"/>
      <c r="K2" s="113"/>
      <c r="L2" s="113"/>
      <c r="M2" s="113"/>
      <c r="N2" s="113"/>
      <c r="O2" s="113"/>
      <c r="P2" s="113"/>
      <c r="Q2" s="113"/>
    </row>
    <row r="3" spans="1:21">
      <c r="A3" s="80" t="s">
        <v>913</v>
      </c>
      <c r="B3" s="113"/>
      <c r="C3" s="113"/>
      <c r="D3" s="113"/>
      <c r="E3" s="113"/>
      <c r="F3" s="113"/>
      <c r="G3" s="113"/>
      <c r="H3" s="113"/>
      <c r="I3" s="113"/>
      <c r="J3" s="113"/>
      <c r="K3" s="113"/>
      <c r="L3" s="113"/>
      <c r="M3" s="113"/>
      <c r="N3" s="113"/>
      <c r="O3" s="113"/>
      <c r="P3" s="113"/>
      <c r="Q3" s="113"/>
    </row>
    <row r="6" spans="1:21" ht="18.75" customHeight="1">
      <c r="A6" s="62"/>
      <c r="B6" s="288" t="s">
        <v>15</v>
      </c>
      <c r="C6" s="288"/>
      <c r="D6" s="288"/>
      <c r="E6" s="288"/>
      <c r="F6" s="288"/>
      <c r="G6" s="288"/>
      <c r="H6" s="288"/>
      <c r="I6" s="288"/>
      <c r="J6" s="288"/>
      <c r="K6" s="288"/>
      <c r="L6" s="288"/>
      <c r="M6" s="288"/>
      <c r="N6" s="288"/>
      <c r="O6" s="288"/>
      <c r="P6" s="288"/>
      <c r="Q6" s="273"/>
    </row>
    <row r="7" spans="1:21" ht="23.25" customHeight="1">
      <c r="A7" s="247" t="s">
        <v>72</v>
      </c>
      <c r="B7" s="279" t="s">
        <v>37</v>
      </c>
      <c r="C7" s="280"/>
      <c r="D7" s="281" t="s">
        <v>873</v>
      </c>
      <c r="E7" s="280"/>
      <c r="F7" s="281" t="s">
        <v>874</v>
      </c>
      <c r="G7" s="281"/>
      <c r="H7" s="279" t="s">
        <v>73</v>
      </c>
      <c r="I7" s="280"/>
      <c r="J7" s="281" t="s">
        <v>1443</v>
      </c>
      <c r="K7" s="281"/>
      <c r="L7" s="279" t="s">
        <v>74</v>
      </c>
      <c r="M7" s="281"/>
      <c r="N7" s="279" t="s">
        <v>1423</v>
      </c>
      <c r="O7" s="281"/>
      <c r="P7" s="279" t="s">
        <v>637</v>
      </c>
      <c r="Q7" s="280"/>
    </row>
    <row r="8" spans="1:21" ht="17.25" customHeight="1">
      <c r="A8" s="635"/>
      <c r="B8" s="250">
        <v>2019</v>
      </c>
      <c r="C8" s="252">
        <v>2020</v>
      </c>
      <c r="D8" s="420">
        <f>+B8</f>
        <v>2019</v>
      </c>
      <c r="E8" s="252">
        <f>+C8</f>
        <v>2020</v>
      </c>
      <c r="F8" s="199">
        <f t="shared" ref="F8:Q8" si="0">+D8</f>
        <v>2019</v>
      </c>
      <c r="G8" s="246">
        <f t="shared" si="0"/>
        <v>2020</v>
      </c>
      <c r="H8" s="250">
        <f t="shared" si="0"/>
        <v>2019</v>
      </c>
      <c r="I8" s="252">
        <f t="shared" si="0"/>
        <v>2020</v>
      </c>
      <c r="J8" s="250">
        <f t="shared" si="0"/>
        <v>2019</v>
      </c>
      <c r="K8" s="252">
        <f t="shared" si="0"/>
        <v>2020</v>
      </c>
      <c r="L8" s="250">
        <f>+H8</f>
        <v>2019</v>
      </c>
      <c r="M8" s="252">
        <f>+I8</f>
        <v>2020</v>
      </c>
      <c r="N8" s="250">
        <f>+J8</f>
        <v>2019</v>
      </c>
      <c r="O8" s="252">
        <f>+K8</f>
        <v>2020</v>
      </c>
      <c r="P8" s="250">
        <f t="shared" si="0"/>
        <v>2019</v>
      </c>
      <c r="Q8" s="252">
        <f t="shared" si="0"/>
        <v>2020</v>
      </c>
    </row>
    <row r="9" spans="1:21" ht="15" customHeight="1">
      <c r="A9" s="631" t="s">
        <v>985</v>
      </c>
      <c r="B9" s="529">
        <f>+[73]B17!$C343</f>
        <v>426</v>
      </c>
      <c r="C9" s="531">
        <f>+[64]B17!$C344</f>
        <v>262</v>
      </c>
      <c r="D9" s="522">
        <f>+[74]B17!$C343</f>
        <v>19</v>
      </c>
      <c r="E9" s="531">
        <f>+[65]B17!$C344</f>
        <v>4</v>
      </c>
      <c r="F9" s="529">
        <f>+[75]B17!$C343</f>
        <v>0</v>
      </c>
      <c r="G9" s="531">
        <f>+[66]B17!$C344</f>
        <v>0</v>
      </c>
      <c r="H9" s="522">
        <f>+[76]B17!$C343</f>
        <v>0</v>
      </c>
      <c r="I9" s="531">
        <f>+[67]B17!$C344</f>
        <v>0</v>
      </c>
      <c r="J9" s="523"/>
      <c r="K9" s="507"/>
      <c r="L9" s="522"/>
      <c r="M9" s="522"/>
      <c r="N9" s="529"/>
      <c r="O9" s="531"/>
      <c r="P9" s="93">
        <f t="shared" ref="P9:P13" si="1">+N9+J9+H9+F9+D9+B9</f>
        <v>445</v>
      </c>
      <c r="Q9" s="683">
        <f>+O9+K9+I9+G9+E9+C9</f>
        <v>266</v>
      </c>
      <c r="S9" s="115"/>
    </row>
    <row r="10" spans="1:21" ht="15" customHeight="1">
      <c r="A10" s="247" t="s">
        <v>75</v>
      </c>
      <c r="B10" s="523">
        <f>+[73]B17!$C344</f>
        <v>2554</v>
      </c>
      <c r="C10" s="507">
        <f>+[64]B17!$C345</f>
        <v>953</v>
      </c>
      <c r="D10" s="522">
        <f>+[74]B17!$C344</f>
        <v>4</v>
      </c>
      <c r="E10" s="507">
        <f>+[65]B17!$C345</f>
        <v>17</v>
      </c>
      <c r="F10" s="523">
        <f>+[75]B17!$C344</f>
        <v>0</v>
      </c>
      <c r="G10" s="507">
        <f>+[66]B17!$C345</f>
        <v>0</v>
      </c>
      <c r="H10" s="522">
        <f>+[76]B17!$C344</f>
        <v>7</v>
      </c>
      <c r="I10" s="507">
        <f>+[67]B17!$C345</f>
        <v>0</v>
      </c>
      <c r="J10" s="523"/>
      <c r="K10" s="507"/>
      <c r="L10" s="522"/>
      <c r="M10" s="522"/>
      <c r="N10" s="523"/>
      <c r="O10" s="507"/>
      <c r="P10" s="93">
        <f t="shared" si="1"/>
        <v>2565</v>
      </c>
      <c r="Q10" s="683">
        <f>+O10+K10+I10+G10+E10+C10</f>
        <v>970</v>
      </c>
      <c r="S10" s="115"/>
    </row>
    <row r="11" spans="1:21" ht="15" customHeight="1">
      <c r="A11" s="247" t="s">
        <v>76</v>
      </c>
      <c r="B11" s="523">
        <f>+[73]B17!$C345</f>
        <v>619</v>
      </c>
      <c r="C11" s="507">
        <f>+[64]B17!$C346</f>
        <v>288</v>
      </c>
      <c r="D11" s="522">
        <f>+[74]B17!$C345</f>
        <v>21</v>
      </c>
      <c r="E11" s="507">
        <f>+[65]B17!$C346</f>
        <v>20</v>
      </c>
      <c r="F11" s="523">
        <f>+[75]B17!$C345</f>
        <v>0</v>
      </c>
      <c r="G11" s="507">
        <f>+[66]B17!$C346</f>
        <v>0</v>
      </c>
      <c r="H11" s="522">
        <f>+[76]B17!$C345</f>
        <v>0</v>
      </c>
      <c r="I11" s="507">
        <f>+[67]B17!$C346</f>
        <v>0</v>
      </c>
      <c r="J11" s="523"/>
      <c r="K11" s="507"/>
      <c r="L11" s="522"/>
      <c r="M11" s="522"/>
      <c r="N11" s="523"/>
      <c r="O11" s="507"/>
      <c r="P11" s="93">
        <f t="shared" si="1"/>
        <v>640</v>
      </c>
      <c r="Q11" s="683">
        <f t="shared" ref="Q11:Q13" si="2">+O11+K11+I11+G11+E11+C11</f>
        <v>308</v>
      </c>
      <c r="S11" s="115"/>
    </row>
    <row r="12" spans="1:21" ht="15" customHeight="1">
      <c r="A12" s="247" t="s">
        <v>77</v>
      </c>
      <c r="B12" s="523">
        <f>+[73]B17!$C346</f>
        <v>46</v>
      </c>
      <c r="C12" s="507">
        <f>+[64]B17!$C347</f>
        <v>17</v>
      </c>
      <c r="D12" s="522">
        <f>+[74]B17!$C346</f>
        <v>75</v>
      </c>
      <c r="E12" s="507">
        <f>+[65]B17!$C347</f>
        <v>60</v>
      </c>
      <c r="F12" s="523">
        <f>+[75]B17!$C346</f>
        <v>0</v>
      </c>
      <c r="G12" s="507">
        <f>+[66]B17!$C347</f>
        <v>0</v>
      </c>
      <c r="H12" s="522">
        <f>+[76]B17!$C346</f>
        <v>0</v>
      </c>
      <c r="I12" s="507">
        <f>+[67]B17!$C347</f>
        <v>0</v>
      </c>
      <c r="J12" s="523"/>
      <c r="K12" s="507"/>
      <c r="L12" s="522"/>
      <c r="M12" s="522"/>
      <c r="N12" s="523"/>
      <c r="O12" s="507"/>
      <c r="P12" s="93">
        <f t="shared" si="1"/>
        <v>121</v>
      </c>
      <c r="Q12" s="683">
        <f t="shared" si="2"/>
        <v>77</v>
      </c>
      <c r="S12" s="115"/>
      <c r="U12" s="115"/>
    </row>
    <row r="13" spans="1:21" ht="15" customHeight="1">
      <c r="A13" s="247" t="s">
        <v>78</v>
      </c>
      <c r="B13" s="523">
        <f>+[73]B17!$C347</f>
        <v>553</v>
      </c>
      <c r="C13" s="507">
        <f>+[64]B17!$C348</f>
        <v>329</v>
      </c>
      <c r="D13" s="522">
        <f>+[74]B17!$C347</f>
        <v>526</v>
      </c>
      <c r="E13" s="507">
        <f>+[65]B17!$C348</f>
        <v>309</v>
      </c>
      <c r="F13" s="523">
        <f>+[75]B17!$C347</f>
        <v>0</v>
      </c>
      <c r="G13" s="507">
        <f>+[66]B17!$C348</f>
        <v>0</v>
      </c>
      <c r="H13" s="522">
        <f>+[76]B17!$C347</f>
        <v>82</v>
      </c>
      <c r="I13" s="507">
        <f>+[67]B17!$C348</f>
        <v>73</v>
      </c>
      <c r="J13" s="523"/>
      <c r="K13" s="507"/>
      <c r="L13" s="522"/>
      <c r="M13" s="522"/>
      <c r="N13" s="523"/>
      <c r="O13" s="507"/>
      <c r="P13" s="93">
        <f t="shared" si="1"/>
        <v>1161</v>
      </c>
      <c r="Q13" s="683">
        <f t="shared" si="2"/>
        <v>711</v>
      </c>
      <c r="S13" s="115"/>
      <c r="U13" s="115"/>
    </row>
    <row r="14" spans="1:21" ht="15" customHeight="1">
      <c r="A14" s="247" t="s">
        <v>79</v>
      </c>
      <c r="B14" s="523">
        <f>+[73]B17!$C348</f>
        <v>1582</v>
      </c>
      <c r="C14" s="507">
        <f>+[64]B17!$C349</f>
        <v>1369</v>
      </c>
      <c r="D14" s="522">
        <f>+[74]B17!$C348</f>
        <v>1669</v>
      </c>
      <c r="E14" s="507">
        <f>+[65]B17!$C349</f>
        <v>1101</v>
      </c>
      <c r="F14" s="523">
        <f>+[75]B17!$C348</f>
        <v>0</v>
      </c>
      <c r="G14" s="507">
        <f>+[66]B17!$C349</f>
        <v>0</v>
      </c>
      <c r="H14" s="522">
        <f>+[76]B17!$C348</f>
        <v>130</v>
      </c>
      <c r="I14" s="507">
        <f>+[67]B17!$C349</f>
        <v>182</v>
      </c>
      <c r="J14" s="523"/>
      <c r="K14" s="507"/>
      <c r="L14" s="522">
        <f>+[77]B17!$C348+[78]B17!$C348+[79]B17!$C348</f>
        <v>560</v>
      </c>
      <c r="M14" s="507">
        <f>+[69]B17!$C349+[70]B17!$C349+[71]B17!$C349</f>
        <v>100</v>
      </c>
      <c r="N14" s="523">
        <f>+[80]BM18A!$C$565+[80]BM18A!$H$565</f>
        <v>1439</v>
      </c>
      <c r="O14" s="507">
        <f>+[72]BM18A!$C$565+[72]BM18A!$H$565</f>
        <v>294</v>
      </c>
      <c r="P14" s="93">
        <f>+N14+J14+H14+F14+D14+B14+L14</f>
        <v>5380</v>
      </c>
      <c r="Q14" s="683">
        <f>+O14+K14+I14+G14+E14+C14+M14</f>
        <v>3046</v>
      </c>
      <c r="S14" s="115"/>
      <c r="U14" s="115"/>
    </row>
    <row r="15" spans="1:21" ht="15" customHeight="1">
      <c r="A15" s="247" t="s">
        <v>80</v>
      </c>
      <c r="B15" s="523">
        <f>+[73]B17!$C349</f>
        <v>201</v>
      </c>
      <c r="C15" s="507">
        <f>+[64]B17!$C350</f>
        <v>147</v>
      </c>
      <c r="D15" s="522">
        <f>+[74]B17!$C349</f>
        <v>273</v>
      </c>
      <c r="E15" s="507">
        <f>+[65]B17!$C350</f>
        <v>181</v>
      </c>
      <c r="F15" s="523">
        <f>+[75]B17!$C349</f>
        <v>0</v>
      </c>
      <c r="G15" s="507">
        <f>+[66]B17!$C350</f>
        <v>0</v>
      </c>
      <c r="H15" s="522">
        <f>+[76]B17!$C349</f>
        <v>0</v>
      </c>
      <c r="I15" s="507">
        <f>+[67]B17!$C350</f>
        <v>0</v>
      </c>
      <c r="J15" s="523"/>
      <c r="K15" s="507"/>
      <c r="L15" s="522"/>
      <c r="M15" s="522"/>
      <c r="N15" s="523"/>
      <c r="O15" s="507"/>
      <c r="P15" s="93">
        <f t="shared" ref="P15:P25" si="3">+N15+J15+H15+F15+D15+B15+L15</f>
        <v>474</v>
      </c>
      <c r="Q15" s="683">
        <f t="shared" ref="P15:Q31" si="4">+O15+K15+I15+G15+E15+C15+M15</f>
        <v>328</v>
      </c>
      <c r="S15" s="115"/>
      <c r="U15" s="115"/>
    </row>
    <row r="16" spans="1:21" ht="15" customHeight="1">
      <c r="A16" s="247" t="s">
        <v>81</v>
      </c>
      <c r="B16" s="523">
        <f>+[73]B17!$C350</f>
        <v>64</v>
      </c>
      <c r="C16" s="507">
        <f>+[64]B17!$C351</f>
        <v>66</v>
      </c>
      <c r="D16" s="522">
        <f>+[74]B17!$C350</f>
        <v>16</v>
      </c>
      <c r="E16" s="507">
        <f>+[65]B17!$C351</f>
        <v>43</v>
      </c>
      <c r="F16" s="523">
        <f>+[75]B17!$C350</f>
        <v>0</v>
      </c>
      <c r="G16" s="507">
        <f>+[66]B17!$C351</f>
        <v>0</v>
      </c>
      <c r="H16" s="522">
        <f>+[76]B17!$C350</f>
        <v>0</v>
      </c>
      <c r="I16" s="507">
        <f>+[67]B17!$C351</f>
        <v>0</v>
      </c>
      <c r="J16" s="523"/>
      <c r="K16" s="507"/>
      <c r="L16" s="522"/>
      <c r="M16" s="522"/>
      <c r="N16" s="523"/>
      <c r="O16" s="507"/>
      <c r="P16" s="93">
        <f t="shared" si="3"/>
        <v>80</v>
      </c>
      <c r="Q16" s="683">
        <f t="shared" si="4"/>
        <v>109</v>
      </c>
      <c r="S16" s="115"/>
      <c r="U16" s="115"/>
    </row>
    <row r="17" spans="1:21" ht="15" customHeight="1">
      <c r="A17" s="247" t="s">
        <v>82</v>
      </c>
      <c r="B17" s="523">
        <f>+[73]B17!$C351</f>
        <v>1851</v>
      </c>
      <c r="C17" s="507">
        <f>+[64]B17!$C352</f>
        <v>1318</v>
      </c>
      <c r="D17" s="522">
        <f>+[74]B17!$C351</f>
        <v>1100</v>
      </c>
      <c r="E17" s="507">
        <f>+[65]B17!$C352</f>
        <v>971</v>
      </c>
      <c r="F17" s="523">
        <f>+[75]B17!$C351</f>
        <v>0</v>
      </c>
      <c r="G17" s="507">
        <f>+[66]B17!$C352</f>
        <v>0</v>
      </c>
      <c r="H17" s="522">
        <f>+[76]B17!$C351</f>
        <v>0</v>
      </c>
      <c r="I17" s="507">
        <f>+[67]B17!$C352</f>
        <v>0</v>
      </c>
      <c r="J17" s="523"/>
      <c r="K17" s="507"/>
      <c r="L17" s="522"/>
      <c r="M17" s="522"/>
      <c r="N17" s="523"/>
      <c r="O17" s="507"/>
      <c r="P17" s="93">
        <f t="shared" si="3"/>
        <v>2951</v>
      </c>
      <c r="Q17" s="683">
        <f t="shared" si="4"/>
        <v>2289</v>
      </c>
      <c r="S17" s="115"/>
    </row>
    <row r="18" spans="1:21" ht="15" customHeight="1">
      <c r="A18" s="247" t="s">
        <v>83</v>
      </c>
      <c r="B18" s="523">
        <f>+[73]B17!$C352</f>
        <v>108</v>
      </c>
      <c r="C18" s="507">
        <f>+[64]B17!$C353</f>
        <v>103</v>
      </c>
      <c r="D18" s="522">
        <f>+[74]B17!$C352</f>
        <v>121</v>
      </c>
      <c r="E18" s="507">
        <f>+[65]B17!$C353</f>
        <v>66</v>
      </c>
      <c r="F18" s="523">
        <f>+[75]B17!$C352</f>
        <v>0</v>
      </c>
      <c r="G18" s="507">
        <f>+[66]B17!$C353</f>
        <v>0</v>
      </c>
      <c r="H18" s="522">
        <f>+[76]B17!$C352</f>
        <v>0</v>
      </c>
      <c r="I18" s="507">
        <f>+[67]B17!$C353</f>
        <v>0</v>
      </c>
      <c r="J18" s="523"/>
      <c r="K18" s="507"/>
      <c r="L18" s="522"/>
      <c r="M18" s="522"/>
      <c r="N18" s="523"/>
      <c r="O18" s="507"/>
      <c r="P18" s="93">
        <f t="shared" si="3"/>
        <v>229</v>
      </c>
      <c r="Q18" s="683">
        <f t="shared" si="4"/>
        <v>169</v>
      </c>
      <c r="S18" s="115"/>
    </row>
    <row r="19" spans="1:21" ht="15" customHeight="1">
      <c r="A19" s="247" t="s">
        <v>84</v>
      </c>
      <c r="B19" s="523">
        <f>+[73]B17!$C353</f>
        <v>283</v>
      </c>
      <c r="C19" s="507">
        <f>+[64]B17!$C354</f>
        <v>171</v>
      </c>
      <c r="D19" s="522">
        <f>+[74]B17!$C353</f>
        <v>574</v>
      </c>
      <c r="E19" s="507">
        <f>+[65]B17!$C354</f>
        <v>450</v>
      </c>
      <c r="F19" s="523">
        <f>+[75]B17!$C353</f>
        <v>0</v>
      </c>
      <c r="G19" s="507">
        <f>+[66]B17!$C354</f>
        <v>0</v>
      </c>
      <c r="H19" s="522">
        <f>+[76]B17!$C353</f>
        <v>0</v>
      </c>
      <c r="I19" s="507">
        <f>+[67]B17!$C354</f>
        <v>0</v>
      </c>
      <c r="J19" s="523"/>
      <c r="K19" s="507"/>
      <c r="L19" s="522"/>
      <c r="M19" s="522"/>
      <c r="N19" s="523"/>
      <c r="O19" s="507"/>
      <c r="P19" s="93">
        <f t="shared" si="3"/>
        <v>857</v>
      </c>
      <c r="Q19" s="683">
        <f t="shared" si="4"/>
        <v>621</v>
      </c>
      <c r="S19" s="115"/>
    </row>
    <row r="20" spans="1:21" ht="15" customHeight="1">
      <c r="A20" s="247" t="s">
        <v>85</v>
      </c>
      <c r="B20" s="523">
        <f>+[73]B17!$C354</f>
        <v>91</v>
      </c>
      <c r="C20" s="507">
        <f>+[64]B17!$C355</f>
        <v>82</v>
      </c>
      <c r="D20" s="522">
        <f>+[74]B17!$C354</f>
        <v>73</v>
      </c>
      <c r="E20" s="507">
        <f>+[65]B17!$C355</f>
        <v>48</v>
      </c>
      <c r="F20" s="523">
        <f>+[75]B17!$C354</f>
        <v>0</v>
      </c>
      <c r="G20" s="507">
        <f>+[66]B17!$C355</f>
        <v>0</v>
      </c>
      <c r="H20" s="522">
        <f>+[76]B17!$C354</f>
        <v>0</v>
      </c>
      <c r="I20" s="507">
        <f>+[67]B17!$C355</f>
        <v>0</v>
      </c>
      <c r="J20" s="523"/>
      <c r="K20" s="507"/>
      <c r="L20" s="522"/>
      <c r="M20" s="522"/>
      <c r="N20" s="523"/>
      <c r="O20" s="507"/>
      <c r="P20" s="93">
        <f t="shared" si="3"/>
        <v>164</v>
      </c>
      <c r="Q20" s="683">
        <f t="shared" si="4"/>
        <v>130</v>
      </c>
      <c r="S20" s="115"/>
    </row>
    <row r="21" spans="1:21" ht="15" customHeight="1">
      <c r="A21" s="247" t="s">
        <v>86</v>
      </c>
      <c r="B21" s="523">
        <f>+[73]B17!$C355</f>
        <v>546</v>
      </c>
      <c r="C21" s="507">
        <f>+[64]B17!$C356</f>
        <v>267</v>
      </c>
      <c r="D21" s="522">
        <f>+[74]B17!$C355</f>
        <v>417</v>
      </c>
      <c r="E21" s="507">
        <f>+[65]B17!$C356</f>
        <v>223</v>
      </c>
      <c r="F21" s="523">
        <f>+[75]B17!$C355</f>
        <v>0</v>
      </c>
      <c r="G21" s="507">
        <f>+[66]B17!$C356</f>
        <v>0</v>
      </c>
      <c r="H21" s="522">
        <f>+[76]B17!$C355</f>
        <v>0</v>
      </c>
      <c r="I21" s="507">
        <f>+[67]B17!$C356</f>
        <v>0</v>
      </c>
      <c r="J21" s="523"/>
      <c r="K21" s="507"/>
      <c r="L21" s="522"/>
      <c r="M21" s="522"/>
      <c r="N21" s="523"/>
      <c r="O21" s="507"/>
      <c r="P21" s="93">
        <f t="shared" si="3"/>
        <v>963</v>
      </c>
      <c r="Q21" s="683">
        <f t="shared" si="4"/>
        <v>490</v>
      </c>
      <c r="S21" s="115"/>
    </row>
    <row r="22" spans="1:21" ht="15" customHeight="1">
      <c r="A22" s="247" t="s">
        <v>87</v>
      </c>
      <c r="B22" s="523">
        <f>+[73]B17!$C356</f>
        <v>1003</v>
      </c>
      <c r="C22" s="507">
        <f>+[64]B17!$C357</f>
        <v>1084</v>
      </c>
      <c r="D22" s="522">
        <f>+[74]B17!$C356</f>
        <v>583</v>
      </c>
      <c r="E22" s="507">
        <f>+[65]B17!$C357</f>
        <v>466</v>
      </c>
      <c r="F22" s="523">
        <f>+[75]B17!$C356</f>
        <v>0</v>
      </c>
      <c r="G22" s="507">
        <f>+[66]B17!$C357</f>
        <v>0</v>
      </c>
      <c r="H22" s="522">
        <f>+[76]B17!$C356</f>
        <v>0</v>
      </c>
      <c r="I22" s="507">
        <f>+[67]B17!$C357</f>
        <v>0</v>
      </c>
      <c r="J22" s="523"/>
      <c r="K22" s="507"/>
      <c r="L22" s="522"/>
      <c r="M22" s="522"/>
      <c r="N22" s="523"/>
      <c r="O22" s="507"/>
      <c r="P22" s="93">
        <f t="shared" si="3"/>
        <v>1586</v>
      </c>
      <c r="Q22" s="683">
        <f t="shared" si="4"/>
        <v>1550</v>
      </c>
      <c r="S22" s="115"/>
    </row>
    <row r="23" spans="1:21" ht="15" customHeight="1">
      <c r="A23" s="247" t="s">
        <v>88</v>
      </c>
      <c r="B23" s="523">
        <f>+[73]B17!$C360</f>
        <v>76</v>
      </c>
      <c r="C23" s="507">
        <f>+[64]B17!$C361</f>
        <v>71</v>
      </c>
      <c r="D23" s="522">
        <f>+[74]B17!$C360</f>
        <v>2166</v>
      </c>
      <c r="E23" s="507">
        <f>+[65]B17!$C361</f>
        <v>1483</v>
      </c>
      <c r="F23" s="523">
        <f>+[75]B17!$C360</f>
        <v>0</v>
      </c>
      <c r="G23" s="507">
        <f>+[66]B17!$C361</f>
        <v>0</v>
      </c>
      <c r="H23" s="522">
        <f>+[76]B17!$C360</f>
        <v>0</v>
      </c>
      <c r="I23" s="507">
        <f>+[67]B17!$C361</f>
        <v>1</v>
      </c>
      <c r="J23" s="523"/>
      <c r="K23" s="507"/>
      <c r="L23" s="522"/>
      <c r="M23" s="522"/>
      <c r="N23" s="523"/>
      <c r="O23" s="507"/>
      <c r="P23" s="93">
        <f t="shared" si="3"/>
        <v>2242</v>
      </c>
      <c r="Q23" s="683">
        <f t="shared" si="4"/>
        <v>1555</v>
      </c>
      <c r="S23" s="115"/>
      <c r="U23" s="115"/>
    </row>
    <row r="24" spans="1:21" ht="15" customHeight="1">
      <c r="A24" s="247" t="s">
        <v>89</v>
      </c>
      <c r="B24" s="523">
        <f>+[73]B17!$C361</f>
        <v>2066</v>
      </c>
      <c r="C24" s="507">
        <f>+[64]B17!$C362</f>
        <v>1052</v>
      </c>
      <c r="D24" s="522">
        <f>+[74]B17!$C361</f>
        <v>3453</v>
      </c>
      <c r="E24" s="507">
        <f>+[65]B17!$C362</f>
        <v>1371</v>
      </c>
      <c r="F24" s="523">
        <f>+[75]B17!$C361</f>
        <v>0</v>
      </c>
      <c r="G24" s="507">
        <f>+[66]B17!$C362</f>
        <v>0</v>
      </c>
      <c r="H24" s="522">
        <f>+[76]B17!$C361</f>
        <v>0</v>
      </c>
      <c r="I24" s="507">
        <f>+[67]B17!$C362</f>
        <v>0</v>
      </c>
      <c r="J24" s="523"/>
      <c r="K24" s="507"/>
      <c r="L24" s="522"/>
      <c r="M24" s="522"/>
      <c r="N24" s="523"/>
      <c r="O24" s="507"/>
      <c r="P24" s="93">
        <f t="shared" si="3"/>
        <v>5519</v>
      </c>
      <c r="Q24" s="683">
        <f t="shared" si="4"/>
        <v>2423</v>
      </c>
      <c r="S24" s="115"/>
    </row>
    <row r="25" spans="1:21" ht="15" customHeight="1">
      <c r="A25" s="247" t="s">
        <v>90</v>
      </c>
      <c r="B25" s="523">
        <f>+[73]B17!$C362</f>
        <v>0</v>
      </c>
      <c r="C25" s="507">
        <f>+[64]B17!$C363</f>
        <v>0</v>
      </c>
      <c r="D25" s="522">
        <f>+[74]B17!$C362</f>
        <v>267</v>
      </c>
      <c r="E25" s="507">
        <f>+[65]B17!$C363</f>
        <v>105</v>
      </c>
      <c r="F25" s="523">
        <f>+[75]B17!$C362</f>
        <v>0</v>
      </c>
      <c r="G25" s="507">
        <f>+[66]B17!$C363</f>
        <v>0</v>
      </c>
      <c r="H25" s="522">
        <f>+[76]B17!$C362</f>
        <v>0</v>
      </c>
      <c r="I25" s="507">
        <f>+[67]B17!$C363</f>
        <v>0</v>
      </c>
      <c r="J25" s="523"/>
      <c r="K25" s="507"/>
      <c r="L25" s="522"/>
      <c r="M25" s="522"/>
      <c r="N25" s="523"/>
      <c r="O25" s="507"/>
      <c r="P25" s="93">
        <f t="shared" si="3"/>
        <v>267</v>
      </c>
      <c r="Q25" s="683">
        <f t="shared" si="4"/>
        <v>105</v>
      </c>
      <c r="S25" s="115"/>
    </row>
    <row r="26" spans="1:21" ht="27.75" customHeight="1">
      <c r="A26" s="247" t="s">
        <v>91</v>
      </c>
      <c r="B26" s="684">
        <f t="shared" ref="B26" si="5">SUM(B9:B25)</f>
        <v>12069</v>
      </c>
      <c r="C26" s="299">
        <f t="shared" ref="C26:E26" si="6">SUM(C9:C25)</f>
        <v>7579</v>
      </c>
      <c r="D26" s="1472">
        <f t="shared" ref="D26" si="7">SUM(D9:D25)</f>
        <v>11357</v>
      </c>
      <c r="E26" s="299">
        <f t="shared" si="6"/>
        <v>6918</v>
      </c>
      <c r="F26" s="684">
        <f t="shared" ref="F26:G26" si="8">SUM(F9:F25)</f>
        <v>0</v>
      </c>
      <c r="G26" s="299">
        <f t="shared" si="8"/>
        <v>0</v>
      </c>
      <c r="H26" s="1472">
        <f t="shared" ref="H26:I26" si="9">SUM(H9:H25)</f>
        <v>219</v>
      </c>
      <c r="I26" s="299">
        <f t="shared" si="9"/>
        <v>256</v>
      </c>
      <c r="J26" s="682">
        <f>SUM(J10:J25)</f>
        <v>0</v>
      </c>
      <c r="K26" s="683">
        <f t="shared" ref="K26:Q26" si="10">SUM(K9:K25)</f>
        <v>0</v>
      </c>
      <c r="L26" s="93">
        <f>SUM(L9:L25)</f>
        <v>560</v>
      </c>
      <c r="M26" s="93">
        <f>SUM(M9:M25)</f>
        <v>100</v>
      </c>
      <c r="N26" s="682">
        <f t="shared" ref="N26" si="11">SUM(N9:N25)</f>
        <v>1439</v>
      </c>
      <c r="O26" s="683">
        <f t="shared" si="10"/>
        <v>294</v>
      </c>
      <c r="P26" s="1472">
        <f t="shared" si="10"/>
        <v>25644</v>
      </c>
      <c r="Q26" s="299">
        <f t="shared" si="10"/>
        <v>15147</v>
      </c>
      <c r="S26" s="115"/>
      <c r="U26" s="115"/>
    </row>
    <row r="27" spans="1:21" ht="18" customHeight="1">
      <c r="A27" s="631" t="s">
        <v>92</v>
      </c>
      <c r="B27" s="1530"/>
      <c r="C27" s="1531"/>
      <c r="D27" s="1532"/>
      <c r="E27" s="1531"/>
      <c r="F27" s="1530"/>
      <c r="G27" s="1531"/>
      <c r="H27" s="1532"/>
      <c r="I27" s="1531"/>
      <c r="J27" s="1530"/>
      <c r="K27" s="1531"/>
      <c r="L27" s="1532"/>
      <c r="M27" s="1532"/>
      <c r="N27" s="1530"/>
      <c r="O27" s="1531"/>
      <c r="P27" s="93"/>
      <c r="Q27" s="683"/>
      <c r="S27" s="115"/>
    </row>
    <row r="28" spans="1:21" ht="17.25" customHeight="1">
      <c r="A28" s="247" t="s">
        <v>93</v>
      </c>
      <c r="B28" s="523">
        <f>+[73]B17!$C409</f>
        <v>434</v>
      </c>
      <c r="C28" s="507">
        <f>+[64]B17!$C414</f>
        <v>451</v>
      </c>
      <c r="D28" s="522">
        <f>+[74]B17!$C409</f>
        <v>451</v>
      </c>
      <c r="E28" s="507">
        <f>+[65]B17!$C414</f>
        <v>294</v>
      </c>
      <c r="F28" s="523">
        <f>+[75]B17!$C409</f>
        <v>0</v>
      </c>
      <c r="G28" s="507">
        <f>+[66]B17!$C414</f>
        <v>0</v>
      </c>
      <c r="H28" s="522">
        <f>+[76]B17!$C409</f>
        <v>0</v>
      </c>
      <c r="I28" s="507">
        <f>+[67]B17!$C414</f>
        <v>0</v>
      </c>
      <c r="J28" s="523"/>
      <c r="K28" s="507"/>
      <c r="L28" s="522"/>
      <c r="M28" s="522"/>
      <c r="N28" s="523"/>
      <c r="O28" s="507"/>
      <c r="P28" s="93">
        <f t="shared" ref="P28" si="12">+N28+J28+H28+F28+D28+B28</f>
        <v>885</v>
      </c>
      <c r="Q28" s="683">
        <f t="shared" si="4"/>
        <v>745</v>
      </c>
      <c r="S28" s="115"/>
    </row>
    <row r="29" spans="1:21" ht="18" customHeight="1">
      <c r="A29" s="247" t="s">
        <v>94</v>
      </c>
      <c r="B29" s="523">
        <f>+[73]B17!$C411</f>
        <v>8016</v>
      </c>
      <c r="C29" s="507">
        <f>+[64]B17!$C416</f>
        <v>6518</v>
      </c>
      <c r="D29" s="522">
        <f>+[74]B17!$C411</f>
        <v>8183</v>
      </c>
      <c r="E29" s="507">
        <f>+[65]B17!$C416</f>
        <v>4911</v>
      </c>
      <c r="F29" s="523">
        <f>+[75]B17!$C411</f>
        <v>1148</v>
      </c>
      <c r="G29" s="507">
        <f>+[66]B17!$C416</f>
        <v>750</v>
      </c>
      <c r="H29" s="522">
        <f>+[76]B17!$C411</f>
        <v>1030</v>
      </c>
      <c r="I29" s="507">
        <f>+[67]B17!$C416</f>
        <v>927</v>
      </c>
      <c r="J29" s="523"/>
      <c r="K29" s="507"/>
      <c r="L29" s="522">
        <f>+[77]B17!$C411+[78]B17!$C411+[79]B17!$C411</f>
        <v>15282</v>
      </c>
      <c r="M29" s="522">
        <f>+[69]B17!$C416+[70]B17!$C416+[71]B17!$C416</f>
        <v>11219</v>
      </c>
      <c r="N29" s="523">
        <f>+[80]BM18A!$C$567+[80]BM18A!$H$567</f>
        <v>30284</v>
      </c>
      <c r="O29" s="507">
        <f>+[72]BM18A!$C$567+[72]BM18A!$H$567</f>
        <v>26586</v>
      </c>
      <c r="P29" s="93">
        <f t="shared" si="4"/>
        <v>63943</v>
      </c>
      <c r="Q29" s="683">
        <f t="shared" si="4"/>
        <v>50911</v>
      </c>
      <c r="R29" s="685"/>
      <c r="S29" s="115"/>
    </row>
    <row r="30" spans="1:21" ht="18" customHeight="1">
      <c r="A30" s="1471" t="s">
        <v>95</v>
      </c>
      <c r="B30" s="523">
        <f>+[73]B17!$C412</f>
        <v>0</v>
      </c>
      <c r="C30" s="507">
        <f>+[64]B17!$C417</f>
        <v>0</v>
      </c>
      <c r="D30" s="522">
        <f>+[74]B17!$C412</f>
        <v>0</v>
      </c>
      <c r="E30" s="507">
        <f>+[65]B17!$C417</f>
        <v>0</v>
      </c>
      <c r="F30" s="523">
        <f>+[75]B17!$C412</f>
        <v>0</v>
      </c>
      <c r="G30" s="507">
        <f>+[66]B17!$C417</f>
        <v>0</v>
      </c>
      <c r="H30" s="522">
        <f>+[76]B17!$C412</f>
        <v>0</v>
      </c>
      <c r="I30" s="507">
        <f>+[67]B17!$C417</f>
        <v>0</v>
      </c>
      <c r="J30" s="523"/>
      <c r="K30" s="507"/>
      <c r="L30" s="522">
        <f>+[77]B17!$C412+[78]B17!$C412+[79]B17!$C412</f>
        <v>3563</v>
      </c>
      <c r="M30" s="522">
        <f>+[69]B17!$C417+[70]B17!$C417+[71]B17!$C417</f>
        <v>1592</v>
      </c>
      <c r="N30" s="523">
        <f>+[80]BM18A!$C$583+[80]BM18A!$H$583</f>
        <v>15623</v>
      </c>
      <c r="O30" s="507">
        <f>+[72]BM18A!$C$583+[72]BM18A!$H$583</f>
        <v>5994</v>
      </c>
      <c r="P30" s="93">
        <f t="shared" si="4"/>
        <v>19186</v>
      </c>
      <c r="Q30" s="683">
        <f t="shared" si="4"/>
        <v>7586</v>
      </c>
      <c r="R30" s="685"/>
      <c r="S30" s="115"/>
    </row>
    <row r="31" spans="1:21" ht="18" customHeight="1">
      <c r="A31" s="247" t="s">
        <v>96</v>
      </c>
      <c r="B31" s="523">
        <f>+[73]B17!$C413</f>
        <v>8141</v>
      </c>
      <c r="C31" s="507">
        <f>+[64]B17!$C418</f>
        <v>8582</v>
      </c>
      <c r="D31" s="522">
        <f>+[74]B17!$C413</f>
        <v>340</v>
      </c>
      <c r="E31" s="507">
        <f>+[65]B17!$C418</f>
        <v>147</v>
      </c>
      <c r="F31" s="523">
        <f>+[75]B17!$C413</f>
        <v>0</v>
      </c>
      <c r="G31" s="507">
        <f>+[66]B17!$C418</f>
        <v>0</v>
      </c>
      <c r="H31" s="522">
        <f>+[76]B17!$C413</f>
        <v>0</v>
      </c>
      <c r="I31" s="507">
        <f>+[67]B17!$C418</f>
        <v>0</v>
      </c>
      <c r="J31" s="523"/>
      <c r="K31" s="507"/>
      <c r="L31" s="522">
        <f>+[77]B17!$C413+[78]B17!$C413+[79]B17!$C413</f>
        <v>381</v>
      </c>
      <c r="M31" s="522">
        <f>+[69]B17!$C418+[70]B17!$C418+[71]B17!$C418</f>
        <v>0</v>
      </c>
      <c r="N31" s="523">
        <f>+[80]BM18A!$C$568+[80]BM18A!$H$568</f>
        <v>58</v>
      </c>
      <c r="O31" s="507">
        <f>+[72]BM18A!$C$568+[72]BM18A!$H$568</f>
        <v>22</v>
      </c>
      <c r="P31" s="93">
        <f t="shared" si="4"/>
        <v>8920</v>
      </c>
      <c r="Q31" s="683">
        <f t="shared" si="4"/>
        <v>8751</v>
      </c>
      <c r="S31" s="115"/>
    </row>
    <row r="32" spans="1:21" ht="16.5" customHeight="1">
      <c r="A32" s="635" t="s">
        <v>97</v>
      </c>
      <c r="B32" s="527">
        <f>+[73]B17!$C414</f>
        <v>269</v>
      </c>
      <c r="C32" s="526">
        <f>+[64]B17!$C419</f>
        <v>266</v>
      </c>
      <c r="D32" s="525">
        <f>+[74]B17!$C414</f>
        <v>1162</v>
      </c>
      <c r="E32" s="526">
        <f>+[65]B17!$C419</f>
        <v>1286</v>
      </c>
      <c r="F32" s="527">
        <f>+[75]B17!$C414</f>
        <v>96</v>
      </c>
      <c r="G32" s="526">
        <f>+[66]B17!$C419</f>
        <v>115</v>
      </c>
      <c r="H32" s="525">
        <f>+[76]B17!$C414</f>
        <v>0</v>
      </c>
      <c r="I32" s="526">
        <f>+[67]B17!$C419</f>
        <v>0</v>
      </c>
      <c r="J32" s="635"/>
      <c r="K32" s="251"/>
      <c r="L32" s="525">
        <f>+[77]B17!$C414+[78]B17!$C414+[79]B17!$C414</f>
        <v>9</v>
      </c>
      <c r="M32" s="526">
        <f>+[69]B17!$C419+[70]B17!$C419+[71]B17!$C419</f>
        <v>18</v>
      </c>
      <c r="N32" s="527">
        <f>+[80]BM18A!$C$569+[80]BM18A!$H$569</f>
        <v>4</v>
      </c>
      <c r="O32" s="526">
        <f>+[72]BM18A!$C$569+[72]BM18A!$H$569</f>
        <v>212</v>
      </c>
      <c r="P32" s="1472">
        <f t="shared" ref="P32" si="13">+N32+J32+H32+F32+D32+B32+L32</f>
        <v>1540</v>
      </c>
      <c r="Q32" s="299">
        <f>+O32+M32+K32+I32+G32+E32+C32</f>
        <v>1897</v>
      </c>
      <c r="S32" s="115"/>
    </row>
    <row r="33" spans="1:19">
      <c r="A33" s="300"/>
      <c r="B33" s="10"/>
      <c r="C33" s="10"/>
      <c r="D33" s="10"/>
      <c r="E33" s="10"/>
      <c r="F33" s="10"/>
      <c r="G33" s="10"/>
      <c r="H33" s="10"/>
      <c r="I33" s="10"/>
      <c r="J33" s="10"/>
      <c r="K33" s="10"/>
      <c r="L33" s="10"/>
      <c r="M33" s="10"/>
      <c r="N33" s="10"/>
      <c r="O33" s="10"/>
      <c r="P33" s="10"/>
      <c r="Q33" s="10"/>
    </row>
    <row r="34" spans="1:19">
      <c r="A34" s="3" t="s">
        <v>1650</v>
      </c>
      <c r="B34" s="113"/>
      <c r="C34" s="113"/>
      <c r="D34" s="113"/>
      <c r="E34" s="113"/>
      <c r="F34" s="113"/>
      <c r="G34" s="113"/>
      <c r="H34" s="113"/>
      <c r="I34" s="113"/>
      <c r="J34" s="113"/>
      <c r="K34" s="113"/>
      <c r="L34" s="113"/>
      <c r="M34" s="113"/>
      <c r="N34" s="113"/>
      <c r="O34" s="113"/>
      <c r="P34" s="113"/>
      <c r="Q34" s="113"/>
    </row>
    <row r="35" spans="1:19">
      <c r="A35" s="80"/>
      <c r="B35" s="113"/>
      <c r="C35" s="113"/>
      <c r="D35" s="113"/>
      <c r="E35" s="113"/>
      <c r="F35" s="113"/>
      <c r="G35" s="113"/>
      <c r="H35" s="113"/>
      <c r="I35" s="113"/>
      <c r="J35" s="113"/>
      <c r="K35" s="113"/>
      <c r="L35" s="113"/>
      <c r="M35" s="113"/>
      <c r="N35" s="113"/>
      <c r="O35" s="113"/>
      <c r="P35" s="113"/>
      <c r="Q35" s="113"/>
    </row>
    <row r="36" spans="1:19">
      <c r="A36" s="80" t="s">
        <v>913</v>
      </c>
      <c r="B36" s="113"/>
      <c r="C36" s="113"/>
      <c r="D36" s="113"/>
      <c r="E36" s="113"/>
      <c r="F36" s="113"/>
      <c r="G36" s="113"/>
      <c r="H36" s="113"/>
      <c r="I36" s="113"/>
      <c r="J36" s="113"/>
      <c r="K36" s="113"/>
      <c r="L36" s="113"/>
      <c r="M36" s="113"/>
      <c r="N36" s="113"/>
      <c r="O36" s="113"/>
      <c r="P36" s="113"/>
      <c r="Q36" s="113"/>
    </row>
    <row r="40" spans="1:19" ht="17.25" customHeight="1">
      <c r="A40" s="62"/>
      <c r="B40" s="288"/>
      <c r="C40" s="288"/>
      <c r="D40" s="288"/>
      <c r="E40" s="288"/>
      <c r="F40" s="288"/>
      <c r="G40" s="288"/>
      <c r="H40" s="288"/>
      <c r="I40" s="288"/>
      <c r="J40" s="288"/>
      <c r="K40" s="288"/>
      <c r="L40" s="288"/>
      <c r="M40" s="288"/>
      <c r="N40" s="288"/>
      <c r="O40" s="288"/>
      <c r="P40" s="288"/>
      <c r="Q40" s="273"/>
    </row>
    <row r="41" spans="1:19" ht="15.75" customHeight="1">
      <c r="A41" s="247" t="s">
        <v>72</v>
      </c>
      <c r="B41" s="279" t="s">
        <v>37</v>
      </c>
      <c r="C41" s="281"/>
      <c r="D41" s="279" t="s">
        <v>873</v>
      </c>
      <c r="E41" s="280"/>
      <c r="F41" s="281" t="s">
        <v>874</v>
      </c>
      <c r="G41" s="281"/>
      <c r="H41" s="279" t="s">
        <v>73</v>
      </c>
      <c r="I41" s="280"/>
      <c r="J41" s="281" t="s">
        <v>1443</v>
      </c>
      <c r="K41" s="281"/>
      <c r="L41" s="279" t="s">
        <v>74</v>
      </c>
      <c r="M41" s="280"/>
      <c r="N41" s="281" t="s">
        <v>1423</v>
      </c>
      <c r="O41" s="281"/>
      <c r="P41" s="279" t="s">
        <v>637</v>
      </c>
      <c r="Q41" s="280"/>
    </row>
    <row r="42" spans="1:19" ht="15" customHeight="1">
      <c r="A42" s="635"/>
      <c r="B42" s="250">
        <f t="shared" ref="B42:I42" si="14">+B8</f>
        <v>2019</v>
      </c>
      <c r="C42" s="420">
        <f t="shared" si="14"/>
        <v>2020</v>
      </c>
      <c r="D42" s="250">
        <f t="shared" si="14"/>
        <v>2019</v>
      </c>
      <c r="E42" s="252">
        <f t="shared" si="14"/>
        <v>2020</v>
      </c>
      <c r="F42" s="420">
        <f t="shared" si="14"/>
        <v>2019</v>
      </c>
      <c r="G42" s="420">
        <f t="shared" si="14"/>
        <v>2020</v>
      </c>
      <c r="H42" s="250">
        <f t="shared" si="14"/>
        <v>2019</v>
      </c>
      <c r="I42" s="252">
        <f t="shared" si="14"/>
        <v>2020</v>
      </c>
      <c r="J42" s="420">
        <f t="shared" ref="J42:Q42" si="15">+J8</f>
        <v>2019</v>
      </c>
      <c r="K42" s="420">
        <f t="shared" si="15"/>
        <v>2020</v>
      </c>
      <c r="L42" s="250">
        <f t="shared" si="15"/>
        <v>2019</v>
      </c>
      <c r="M42" s="252">
        <f t="shared" ref="M42" si="16">+M8</f>
        <v>2020</v>
      </c>
      <c r="N42" s="420">
        <f>+J42</f>
        <v>2019</v>
      </c>
      <c r="O42" s="252">
        <f>+K42</f>
        <v>2020</v>
      </c>
      <c r="P42" s="250">
        <f t="shared" si="15"/>
        <v>2019</v>
      </c>
      <c r="Q42" s="252">
        <f t="shared" si="15"/>
        <v>2020</v>
      </c>
    </row>
    <row r="43" spans="1:19" ht="20.25" customHeight="1">
      <c r="A43" s="631" t="s">
        <v>98</v>
      </c>
      <c r="B43" s="529">
        <f t="shared" ref="B43" si="17">SUM(B44:B55)-B49</f>
        <v>674460</v>
      </c>
      <c r="C43" s="522">
        <f t="shared" ref="C43:K43" si="18">SUM(C44:C55)-C49</f>
        <v>742682</v>
      </c>
      <c r="D43" s="523">
        <f t="shared" ref="D43:E43" si="19">SUM(D44:D55)-D49</f>
        <v>486123</v>
      </c>
      <c r="E43" s="507">
        <f t="shared" si="19"/>
        <v>426802</v>
      </c>
      <c r="F43" s="522">
        <f t="shared" ref="F43:G43" si="20">SUM(F44:F55)-F49</f>
        <v>150321</v>
      </c>
      <c r="G43" s="522">
        <f t="shared" si="20"/>
        <v>94008</v>
      </c>
      <c r="H43" s="523">
        <f t="shared" ref="H43:I43" si="21">SUM(H44:H55)-H49</f>
        <v>3135</v>
      </c>
      <c r="I43" s="531">
        <f t="shared" si="21"/>
        <v>1144</v>
      </c>
      <c r="J43" s="522">
        <f t="shared" si="18"/>
        <v>0</v>
      </c>
      <c r="K43" s="522">
        <f t="shared" si="18"/>
        <v>0</v>
      </c>
      <c r="L43" s="523">
        <f>SUM(L44:L55)-L49</f>
        <v>118215</v>
      </c>
      <c r="M43" s="507">
        <f>SUM(M44:M55)-M49</f>
        <v>67610</v>
      </c>
      <c r="N43" s="522">
        <f>SUM(N44:N55)-N49</f>
        <v>54444</v>
      </c>
      <c r="O43" s="507">
        <f>SUM(O44:O55)-O49</f>
        <v>35225</v>
      </c>
      <c r="P43" s="682">
        <f>+N43+J43+H43+F43+D43+B43+L43</f>
        <v>1486698</v>
      </c>
      <c r="Q43" s="683">
        <f>+O43+K43+I43+G43+E43+C43+M43</f>
        <v>1367471</v>
      </c>
      <c r="R43" s="115"/>
      <c r="S43" s="115"/>
    </row>
    <row r="44" spans="1:19" ht="15.75" customHeight="1">
      <c r="A44" s="247" t="s">
        <v>99</v>
      </c>
      <c r="B44" s="523">
        <f>+[73]B17!$C287</f>
        <v>223532</v>
      </c>
      <c r="C44" s="522">
        <f>+[64]B17!$C288</f>
        <v>210657</v>
      </c>
      <c r="D44" s="523">
        <f>+[74]B17!$C287</f>
        <v>145258</v>
      </c>
      <c r="E44" s="507">
        <f>+[65]B17!$C288</f>
        <v>136545</v>
      </c>
      <c r="F44" s="522">
        <f>+[75]B17!$C287</f>
        <v>48130</v>
      </c>
      <c r="G44" s="522">
        <f>+[66]B17!$C288</f>
        <v>34548</v>
      </c>
      <c r="H44" s="523">
        <f>+[76]B17!$C287</f>
        <v>0</v>
      </c>
      <c r="I44" s="507">
        <f>+[67]B17!$C288</f>
        <v>0</v>
      </c>
      <c r="J44" s="522"/>
      <c r="K44" s="522"/>
      <c r="L44" s="523">
        <f>+[77]B17!$C287+[78]B17!$C287+[79]B17!$C287</f>
        <v>59350</v>
      </c>
      <c r="M44" s="507">
        <f>+[69]B17!$C288+[70]B17!$C288+[71]B17!$C288</f>
        <v>29195</v>
      </c>
      <c r="N44" s="522"/>
      <c r="O44" s="507"/>
      <c r="P44" s="682">
        <f t="shared" ref="P44:P48" si="22">+N44+J44+H44+F44+D44+B44+L44</f>
        <v>476270</v>
      </c>
      <c r="Q44" s="683">
        <f t="shared" ref="Q44:Q50" si="23">+O44+K44+I44+G44+E44+C44+M44</f>
        <v>410945</v>
      </c>
      <c r="S44" s="115"/>
    </row>
    <row r="45" spans="1:19" ht="15.75" customHeight="1">
      <c r="A45" s="247" t="s">
        <v>100</v>
      </c>
      <c r="B45" s="523">
        <f>+[73]B17!$C288</f>
        <v>327661</v>
      </c>
      <c r="C45" s="522">
        <f>+[64]B17!$C289</f>
        <v>364229</v>
      </c>
      <c r="D45" s="523">
        <f>+[74]B17!$C288</f>
        <v>247798</v>
      </c>
      <c r="E45" s="507">
        <f>+[65]B17!$C289</f>
        <v>221190</v>
      </c>
      <c r="F45" s="522">
        <f>+[75]B17!$C288</f>
        <v>75409</v>
      </c>
      <c r="G45" s="522">
        <f>+[66]B17!$C289</f>
        <v>44227</v>
      </c>
      <c r="H45" s="523">
        <f>+[76]B17!$C288</f>
        <v>1946</v>
      </c>
      <c r="I45" s="507">
        <f>+[67]B17!$C289</f>
        <v>219</v>
      </c>
      <c r="J45" s="522"/>
      <c r="K45" s="522"/>
      <c r="L45" s="523">
        <f>+[77]B17!$C288+[78]B17!$C288+[79]B17!$C288</f>
        <v>30227</v>
      </c>
      <c r="M45" s="507">
        <f>+[69]B17!$C289+[70]B17!$C289+[71]B17!$C289</f>
        <v>25263</v>
      </c>
      <c r="N45" s="522"/>
      <c r="O45" s="507"/>
      <c r="P45" s="682">
        <f t="shared" si="22"/>
        <v>683041</v>
      </c>
      <c r="Q45" s="683">
        <f t="shared" si="23"/>
        <v>655128</v>
      </c>
      <c r="S45" s="115"/>
    </row>
    <row r="46" spans="1:19" ht="15.75" customHeight="1">
      <c r="A46" s="247" t="s">
        <v>101</v>
      </c>
      <c r="B46" s="523">
        <f>+[73]B17!$C289</f>
        <v>20328</v>
      </c>
      <c r="C46" s="522">
        <f>+[64]B17!$C290</f>
        <v>15024</v>
      </c>
      <c r="D46" s="523">
        <f>+[74]B17!$C289</f>
        <v>18912</v>
      </c>
      <c r="E46" s="507">
        <f>+[65]B17!$C290</f>
        <v>12355</v>
      </c>
      <c r="F46" s="522">
        <f>+[75]B17!$C289</f>
        <v>3038</v>
      </c>
      <c r="G46" s="522">
        <f>+[66]B17!$C290</f>
        <v>2127</v>
      </c>
      <c r="H46" s="523">
        <f>+[76]B17!$C289</f>
        <v>0</v>
      </c>
      <c r="I46" s="507">
        <f>+[67]B17!$C290</f>
        <v>0</v>
      </c>
      <c r="J46" s="522"/>
      <c r="K46" s="522"/>
      <c r="L46" s="523"/>
      <c r="M46" s="507">
        <f>+[69]B17!$C290+[70]B17!$C290+[71]B17!$C290</f>
        <v>0</v>
      </c>
      <c r="N46" s="522"/>
      <c r="O46" s="507"/>
      <c r="P46" s="682">
        <f t="shared" si="22"/>
        <v>42278</v>
      </c>
      <c r="Q46" s="683">
        <f t="shared" si="23"/>
        <v>29506</v>
      </c>
      <c r="S46" s="115"/>
    </row>
    <row r="47" spans="1:19" ht="15.75" customHeight="1">
      <c r="A47" s="247" t="s">
        <v>1518</v>
      </c>
      <c r="B47" s="523">
        <f>+[73]B17!$C290</f>
        <v>0</v>
      </c>
      <c r="C47" s="522">
        <f>+[64]B17!$C291</f>
        <v>0</v>
      </c>
      <c r="D47" s="523">
        <f>+[74]B17!$C290</f>
        <v>0</v>
      </c>
      <c r="E47" s="507">
        <f>+[65]B17!$C291</f>
        <v>0</v>
      </c>
      <c r="F47" s="522">
        <f>+[75]B17!$C290</f>
        <v>0</v>
      </c>
      <c r="G47" s="522">
        <f>+[66]B17!$C291</f>
        <v>0</v>
      </c>
      <c r="H47" s="523">
        <f>+[76]B17!$C290</f>
        <v>0</v>
      </c>
      <c r="I47" s="507">
        <f>+[67]B17!$C291</f>
        <v>0</v>
      </c>
      <c r="J47" s="522"/>
      <c r="K47" s="522"/>
      <c r="L47" s="523"/>
      <c r="M47" s="507">
        <f>+[69]B17!$C291+[70]B17!$C291+[71]B17!$C291</f>
        <v>0</v>
      </c>
      <c r="N47" s="522"/>
      <c r="O47" s="507"/>
      <c r="P47" s="682"/>
      <c r="Q47" s="683">
        <f t="shared" si="23"/>
        <v>0</v>
      </c>
      <c r="S47" s="115"/>
    </row>
    <row r="48" spans="1:19" ht="15.75" customHeight="1">
      <c r="A48" s="247" t="s">
        <v>102</v>
      </c>
      <c r="B48" s="523">
        <f>+[73]B17!$C291</f>
        <v>23558</v>
      </c>
      <c r="C48" s="507">
        <f>+[64]B17!$C292</f>
        <v>21937</v>
      </c>
      <c r="D48" s="523">
        <f>+[74]B17!$C291</f>
        <v>18769</v>
      </c>
      <c r="E48" s="507">
        <f>+[65]B17!$C292</f>
        <v>17130</v>
      </c>
      <c r="F48" s="522">
        <f>+[75]B17!$C291</f>
        <v>515</v>
      </c>
      <c r="G48" s="507">
        <f>+[66]B17!$C292</f>
        <v>273</v>
      </c>
      <c r="H48" s="523">
        <f>+[76]B17!$C291</f>
        <v>0</v>
      </c>
      <c r="I48" s="507">
        <f>+[67]B17!$C292</f>
        <v>0</v>
      </c>
      <c r="J48" s="522"/>
      <c r="K48" s="522"/>
      <c r="L48" s="523"/>
      <c r="M48" s="507">
        <f>+[69]B17!$C292+[70]B17!$C292+[71]B17!$C292</f>
        <v>0</v>
      </c>
      <c r="N48" s="522"/>
      <c r="O48" s="507"/>
      <c r="P48" s="682">
        <f t="shared" si="22"/>
        <v>42842</v>
      </c>
      <c r="Q48" s="683">
        <f t="shared" si="23"/>
        <v>39340</v>
      </c>
      <c r="S48" s="115"/>
    </row>
    <row r="49" spans="1:19" ht="15.75" customHeight="1">
      <c r="A49" s="247" t="s">
        <v>103</v>
      </c>
      <c r="B49" s="523">
        <f t="shared" ref="B49" si="24">SUM(B50:B52)</f>
        <v>50464</v>
      </c>
      <c r="C49" s="507">
        <f>+[64]B17!$C293</f>
        <v>108616</v>
      </c>
      <c r="D49" s="523">
        <f t="shared" ref="D49" si="25">SUM(D50:D52)</f>
        <v>32682</v>
      </c>
      <c r="E49" s="507">
        <f>+[65]B17!$C293</f>
        <v>25590</v>
      </c>
      <c r="F49" s="522">
        <f t="shared" ref="F49" si="26">SUM(F50:F52)</f>
        <v>9403</v>
      </c>
      <c r="G49" s="507">
        <f>+[66]B17!$C293</f>
        <v>5748</v>
      </c>
      <c r="H49" s="523">
        <f t="shared" ref="H49" si="27">SUM(H50:H52)</f>
        <v>0</v>
      </c>
      <c r="I49" s="507">
        <f>+[67]B17!$C293</f>
        <v>0</v>
      </c>
      <c r="J49" s="522">
        <f t="shared" ref="J49:P49" si="28">SUM(J50:J52)</f>
        <v>0</v>
      </c>
      <c r="K49" s="522">
        <f t="shared" ref="K49:L49" si="29">SUM(K50:K52)</f>
        <v>0</v>
      </c>
      <c r="L49" s="523">
        <f t="shared" si="29"/>
        <v>8863</v>
      </c>
      <c r="M49" s="507">
        <f>+[69]B17!$C293+[70]B17!$C293+[71]B17!$C293</f>
        <v>4155</v>
      </c>
      <c r="N49" s="522"/>
      <c r="O49" s="507"/>
      <c r="P49" s="682">
        <f t="shared" si="28"/>
        <v>101412</v>
      </c>
      <c r="Q49" s="683">
        <f>SUM(Q50:Q52)</f>
        <v>144109</v>
      </c>
      <c r="R49" s="300"/>
      <c r="S49" s="115"/>
    </row>
    <row r="50" spans="1:19" ht="15.75" customHeight="1">
      <c r="A50" s="247" t="s">
        <v>104</v>
      </c>
      <c r="B50" s="523">
        <f>+[73]B17!$C293</f>
        <v>32532</v>
      </c>
      <c r="C50" s="507">
        <f>+[64]B17!$C294</f>
        <v>22780</v>
      </c>
      <c r="D50" s="523">
        <f>+[74]B17!$C293</f>
        <v>26135</v>
      </c>
      <c r="E50" s="507">
        <f>+[65]B17!$C294</f>
        <v>20263</v>
      </c>
      <c r="F50" s="522">
        <f>+[75]B17!$C293</f>
        <v>9317</v>
      </c>
      <c r="G50" s="507">
        <f>+[66]B17!$C294</f>
        <v>5712</v>
      </c>
      <c r="H50" s="523">
        <f>+[76]B17!$C293</f>
        <v>0</v>
      </c>
      <c r="I50" s="507">
        <f>+[67]B17!$C294</f>
        <v>0</v>
      </c>
      <c r="J50" s="522"/>
      <c r="K50" s="522"/>
      <c r="L50" s="523">
        <f>+[77]B17!$C293+[78]B17!$C293+[79]B17!$C293</f>
        <v>8551</v>
      </c>
      <c r="M50" s="507">
        <f>+[69]B17!$C294+[70]B17!$C294+[71]B17!$C294</f>
        <v>3964</v>
      </c>
      <c r="N50" s="522"/>
      <c r="O50" s="507"/>
      <c r="P50" s="682">
        <f>+O50+J50+H50+F50+D50+B50+L50</f>
        <v>76535</v>
      </c>
      <c r="Q50" s="683">
        <f t="shared" si="23"/>
        <v>52719</v>
      </c>
      <c r="S50" s="115"/>
    </row>
    <row r="51" spans="1:19" ht="15.75" customHeight="1">
      <c r="A51" s="247" t="s">
        <v>105</v>
      </c>
      <c r="B51" s="523">
        <f>+[73]B17!$C294</f>
        <v>2694</v>
      </c>
      <c r="C51" s="507">
        <f>+[64]B17!$C295</f>
        <v>2074</v>
      </c>
      <c r="D51" s="523">
        <f>+[74]B17!$C294</f>
        <v>1768</v>
      </c>
      <c r="E51" s="507">
        <f>+[65]B17!$C295</f>
        <v>557</v>
      </c>
      <c r="F51" s="522">
        <f>+[75]B17!$C294</f>
        <v>86</v>
      </c>
      <c r="G51" s="507">
        <f>+[66]B17!$C295</f>
        <v>36</v>
      </c>
      <c r="H51" s="523">
        <f>+[76]B17!$C294</f>
        <v>0</v>
      </c>
      <c r="I51" s="507">
        <f>+[67]B17!$C295</f>
        <v>0</v>
      </c>
      <c r="J51" s="522"/>
      <c r="K51" s="522"/>
      <c r="L51" s="523">
        <f>+[77]B17!$C294+[78]B17!$C294+[79]B17!$C294</f>
        <v>312</v>
      </c>
      <c r="M51" s="507">
        <f>+[69]B17!$C295+[70]B17!$C295+[71]B17!$C295</f>
        <v>191</v>
      </c>
      <c r="N51" s="522"/>
      <c r="O51" s="507"/>
      <c r="P51" s="682">
        <f t="shared" ref="P51:P54" si="30">+O51+J51+H51+F51+D51+B51+L51</f>
        <v>4860</v>
      </c>
      <c r="Q51" s="683">
        <f t="shared" ref="Q51:Q55" si="31">+O51+K51+I51+G51+E51+C51+M51</f>
        <v>2858</v>
      </c>
      <c r="S51" s="115"/>
    </row>
    <row r="52" spans="1:19" ht="15.75" customHeight="1">
      <c r="A52" s="247" t="s">
        <v>106</v>
      </c>
      <c r="B52" s="523">
        <f>+[73]B17!$C295</f>
        <v>15238</v>
      </c>
      <c r="C52" s="507">
        <f>+[64]B17!$C296</f>
        <v>83762</v>
      </c>
      <c r="D52" s="523">
        <f>+[74]B17!$C295</f>
        <v>4779</v>
      </c>
      <c r="E52" s="507">
        <f>+[65]B17!$C296</f>
        <v>4770</v>
      </c>
      <c r="F52" s="522">
        <f>+[75]B17!$C295</f>
        <v>0</v>
      </c>
      <c r="G52" s="507">
        <f>+[66]B17!$C296</f>
        <v>0</v>
      </c>
      <c r="H52" s="523">
        <f>+[76]B17!$C295</f>
        <v>0</v>
      </c>
      <c r="I52" s="507">
        <f>+[67]B17!$C296</f>
        <v>0</v>
      </c>
      <c r="J52" s="522"/>
      <c r="K52" s="522"/>
      <c r="L52" s="523"/>
      <c r="M52" s="507">
        <f>+[69]B17!$C296+[70]B17!$C296+[71]B17!$C296</f>
        <v>0</v>
      </c>
      <c r="N52" s="522"/>
      <c r="O52" s="507"/>
      <c r="P52" s="682">
        <f t="shared" si="30"/>
        <v>20017</v>
      </c>
      <c r="Q52" s="683">
        <f t="shared" si="31"/>
        <v>88532</v>
      </c>
      <c r="S52" s="115"/>
    </row>
    <row r="53" spans="1:19" ht="15.75" customHeight="1">
      <c r="A53" s="247" t="s">
        <v>107</v>
      </c>
      <c r="B53" s="523">
        <f>+[73]B17!$C296</f>
        <v>89</v>
      </c>
      <c r="C53" s="507">
        <f>+[64]B17!$C297</f>
        <v>45</v>
      </c>
      <c r="D53" s="523">
        <f>+[74]B17!$C296</f>
        <v>0</v>
      </c>
      <c r="E53" s="507">
        <f>+[65]B17!$C297</f>
        <v>0</v>
      </c>
      <c r="F53" s="522">
        <f>+[75]B17!$C296</f>
        <v>0</v>
      </c>
      <c r="G53" s="507">
        <f>+[66]B17!$C297</f>
        <v>0</v>
      </c>
      <c r="H53" s="523">
        <f>+[76]B17!$C296</f>
        <v>0</v>
      </c>
      <c r="I53" s="507">
        <f>+[67]B17!$C297</f>
        <v>0</v>
      </c>
      <c r="J53" s="522"/>
      <c r="K53" s="522"/>
      <c r="L53" s="523"/>
      <c r="M53" s="507">
        <f>+[69]B17!$C297+[70]B17!$C297+[71]B17!$C297</f>
        <v>0</v>
      </c>
      <c r="N53" s="522"/>
      <c r="O53" s="507"/>
      <c r="P53" s="682">
        <f t="shared" si="30"/>
        <v>89</v>
      </c>
      <c r="Q53" s="683">
        <f t="shared" si="31"/>
        <v>45</v>
      </c>
      <c r="S53" s="115"/>
    </row>
    <row r="54" spans="1:19" ht="15.75" customHeight="1">
      <c r="A54" s="247" t="s">
        <v>108</v>
      </c>
      <c r="B54" s="523">
        <f>+[73]B17!$C297</f>
        <v>1135</v>
      </c>
      <c r="C54" s="507">
        <f>+[64]B17!$C298</f>
        <v>1536</v>
      </c>
      <c r="D54" s="523">
        <f>+[74]B17!$C297</f>
        <v>796</v>
      </c>
      <c r="E54" s="507">
        <f>+[65]B17!$C298</f>
        <v>472</v>
      </c>
      <c r="F54" s="522">
        <f>+[75]B17!$C297</f>
        <v>999</v>
      </c>
      <c r="G54" s="507">
        <f>+[66]B17!$C298</f>
        <v>87</v>
      </c>
      <c r="H54" s="523">
        <f>+[76]B17!$C297</f>
        <v>0</v>
      </c>
      <c r="I54" s="507">
        <f>+[67]B17!$C298</f>
        <v>0</v>
      </c>
      <c r="J54" s="522"/>
      <c r="K54" s="522"/>
      <c r="L54" s="523"/>
      <c r="M54" s="507">
        <f>+[69]B17!$C298+[70]B17!$C298+[71]B17!$C298</f>
        <v>0</v>
      </c>
      <c r="N54" s="522"/>
      <c r="O54" s="507"/>
      <c r="P54" s="682">
        <f t="shared" si="30"/>
        <v>2930</v>
      </c>
      <c r="Q54" s="683">
        <f t="shared" si="31"/>
        <v>2095</v>
      </c>
      <c r="S54" s="115"/>
    </row>
    <row r="55" spans="1:19" ht="15.75" customHeight="1">
      <c r="A55" s="247" t="s">
        <v>109</v>
      </c>
      <c r="B55" s="527">
        <f>+[73]B17!$C298</f>
        <v>27693</v>
      </c>
      <c r="C55" s="526">
        <f>+[64]B17!$C299</f>
        <v>20638</v>
      </c>
      <c r="D55" s="527">
        <f>+[74]B17!$C298</f>
        <v>21908</v>
      </c>
      <c r="E55" s="526">
        <f>+[65]B17!$C299</f>
        <v>13520</v>
      </c>
      <c r="F55" s="525">
        <f>+[75]B17!$C298</f>
        <v>12827</v>
      </c>
      <c r="G55" s="526">
        <f>+[66]B17!$C299</f>
        <v>6998</v>
      </c>
      <c r="H55" s="527">
        <f>+[76]B17!$C298</f>
        <v>1189</v>
      </c>
      <c r="I55" s="526">
        <f>+[67]B17!$C299</f>
        <v>925</v>
      </c>
      <c r="J55" s="525"/>
      <c r="K55" s="525"/>
      <c r="L55" s="527">
        <f>+[77]B17!$C298+[78]B17!$C298+[79]B17!$C298</f>
        <v>19775</v>
      </c>
      <c r="M55" s="526">
        <f>+[69]B17!$C299+[70]B17!$C299+[71]B17!$C299</f>
        <v>8997</v>
      </c>
      <c r="N55" s="525">
        <f>+[80]BM18A!$C$393+[80]BM18A!$F$393</f>
        <v>54444</v>
      </c>
      <c r="O55" s="526">
        <f>+[72]BM18A!$C$393+[72]BM18A!$F$393</f>
        <v>35225</v>
      </c>
      <c r="P55" s="682">
        <f t="shared" ref="P55" si="32">+N55+J55+H55+F55+D55+B55+L55</f>
        <v>137836</v>
      </c>
      <c r="Q55" s="683">
        <f t="shared" si="31"/>
        <v>86303</v>
      </c>
      <c r="S55" s="115"/>
    </row>
    <row r="56" spans="1:19" ht="18.75" customHeight="1">
      <c r="A56" s="631" t="s">
        <v>110</v>
      </c>
      <c r="B56" s="523">
        <f t="shared" ref="B56" si="33">SUM(B57:B60)+B64</f>
        <v>51278</v>
      </c>
      <c r="C56" s="522">
        <f t="shared" ref="C56:K56" si="34">SUM(C57:C60)+C64</f>
        <v>36063</v>
      </c>
      <c r="D56" s="523">
        <f t="shared" ref="D56" si="35">SUM(D57:D60)+D64</f>
        <v>58968</v>
      </c>
      <c r="E56" s="507">
        <f t="shared" ref="E56" si="36">SUM(E57:E60)+E64</f>
        <v>39375</v>
      </c>
      <c r="F56" s="522">
        <f t="shared" ref="F56" si="37">SUM(F57:F60)+F64</f>
        <v>21837</v>
      </c>
      <c r="G56" s="522">
        <f t="shared" ref="G56" si="38">SUM(G57:G60)+G64</f>
        <v>12511</v>
      </c>
      <c r="H56" s="523">
        <f t="shared" ref="H56" si="39">SUM(H57:H60)+H64</f>
        <v>6485</v>
      </c>
      <c r="I56" s="507">
        <f t="shared" ref="I56" si="40">SUM(I57:I60)+I64</f>
        <v>4634</v>
      </c>
      <c r="J56" s="522">
        <f t="shared" ref="J56" si="41">SUM(J57:J60)</f>
        <v>0</v>
      </c>
      <c r="K56" s="522">
        <f t="shared" si="34"/>
        <v>0</v>
      </c>
      <c r="L56" s="523">
        <f>SUM(L57:L60)+L64</f>
        <v>1132</v>
      </c>
      <c r="M56" s="507">
        <f>SUM(M57:M60)+M64</f>
        <v>452</v>
      </c>
      <c r="N56" s="522">
        <f t="shared" ref="N56" si="42">SUM(N57:N60)</f>
        <v>3041</v>
      </c>
      <c r="O56" s="507">
        <f t="shared" ref="O56" si="43">SUM(O57:O60)</f>
        <v>1728</v>
      </c>
      <c r="P56" s="529">
        <f>SUM(P57:P60)+P64</f>
        <v>141419</v>
      </c>
      <c r="Q56" s="531">
        <f>SUM(Q57:Q60)+Q64</f>
        <v>94763</v>
      </c>
      <c r="R56" s="115"/>
      <c r="S56" s="115"/>
    </row>
    <row r="57" spans="1:19" ht="13.5" customHeight="1">
      <c r="A57" s="247" t="s">
        <v>111</v>
      </c>
      <c r="B57" s="523">
        <f>+[73]B17!$C300</f>
        <v>26311</v>
      </c>
      <c r="C57" s="507">
        <f>+[64]B17!$C301</f>
        <v>15485</v>
      </c>
      <c r="D57" s="523">
        <f>+[74]B17!$C300</f>
        <v>41663</v>
      </c>
      <c r="E57" s="507">
        <f>+[65]B17!$C301</f>
        <v>27635</v>
      </c>
      <c r="F57" s="522">
        <f>+[75]B17!$C300</f>
        <v>21431</v>
      </c>
      <c r="G57" s="507">
        <f>+[66]B17!$C301</f>
        <v>12113</v>
      </c>
      <c r="H57" s="523">
        <f>+[76]B17!$C300</f>
        <v>6485</v>
      </c>
      <c r="I57" s="507">
        <f>+[67]B17!$C301</f>
        <v>4634</v>
      </c>
      <c r="J57" s="522"/>
      <c r="K57" s="522"/>
      <c r="L57" s="523">
        <f>+[77]B17!$C300+[78]B17!$C300+[79]B17!$C300</f>
        <v>511</v>
      </c>
      <c r="M57" s="507">
        <f>+[69]B17!$C301+[70]B17!$C301+[71]B17!$C301</f>
        <v>0</v>
      </c>
      <c r="N57" s="522"/>
      <c r="O57" s="507"/>
      <c r="P57" s="682">
        <f t="shared" ref="P57:P58" si="44">+O57+J57+H57+F57+D57+B57+L57</f>
        <v>96401</v>
      </c>
      <c r="Q57" s="683">
        <f t="shared" ref="Q57:Q58" si="45">+O57+K57+I57+G57+E57+C57+M57</f>
        <v>59867</v>
      </c>
      <c r="S57" s="115"/>
    </row>
    <row r="58" spans="1:19" ht="13.5" customHeight="1">
      <c r="A58" s="247" t="s">
        <v>112</v>
      </c>
      <c r="B58" s="523">
        <f>+[73]B17!$C301</f>
        <v>17</v>
      </c>
      <c r="C58" s="507">
        <f>+[64]B17!$C302</f>
        <v>16</v>
      </c>
      <c r="D58" s="523">
        <f>+[74]B17!$C301</f>
        <v>51</v>
      </c>
      <c r="E58" s="507">
        <f>+[65]B17!$C302</f>
        <v>7</v>
      </c>
      <c r="F58" s="522">
        <f>+[75]B17!$C301</f>
        <v>0</v>
      </c>
      <c r="G58" s="507">
        <f>+[66]B17!$C302</f>
        <v>0</v>
      </c>
      <c r="H58" s="523">
        <f>+[76]B17!$C301</f>
        <v>0</v>
      </c>
      <c r="I58" s="507">
        <f>+[67]B17!$C302</f>
        <v>0</v>
      </c>
      <c r="J58" s="522"/>
      <c r="K58" s="522"/>
      <c r="L58" s="523"/>
      <c r="M58" s="507">
        <f>+[69]B17!$C302+[70]B17!$C302+[71]B17!$C302</f>
        <v>0</v>
      </c>
      <c r="N58" s="522"/>
      <c r="O58" s="507"/>
      <c r="P58" s="682">
        <f t="shared" si="44"/>
        <v>68</v>
      </c>
      <c r="Q58" s="683">
        <f t="shared" si="45"/>
        <v>23</v>
      </c>
      <c r="S58" s="115"/>
    </row>
    <row r="59" spans="1:19" ht="13.5" customHeight="1">
      <c r="A59" s="247" t="s">
        <v>113</v>
      </c>
      <c r="B59" s="523">
        <f>+[73]B17!$C302</f>
        <v>13307</v>
      </c>
      <c r="C59" s="507">
        <f>+[64]B17!$C303</f>
        <v>12415</v>
      </c>
      <c r="D59" s="523">
        <f>+[74]B17!$C302</f>
        <v>8617</v>
      </c>
      <c r="E59" s="507">
        <f>+[65]B17!$C303</f>
        <v>5836</v>
      </c>
      <c r="F59" s="522">
        <f>+[75]B17!$C302</f>
        <v>0</v>
      </c>
      <c r="G59" s="507">
        <f>+[66]B17!$C303</f>
        <v>0</v>
      </c>
      <c r="H59" s="523">
        <f>+[76]B17!$C302</f>
        <v>0</v>
      </c>
      <c r="I59" s="507">
        <f>+[67]B17!$C303</f>
        <v>0</v>
      </c>
      <c r="J59" s="522"/>
      <c r="K59" s="522"/>
      <c r="L59" s="523"/>
      <c r="M59" s="507">
        <f>+[69]B17!$C303+[70]B17!$C303+[71]B17!$C303</f>
        <v>0</v>
      </c>
      <c r="N59" s="522"/>
      <c r="O59" s="507"/>
      <c r="P59" s="682">
        <f t="shared" ref="P59" si="46">+O59+J59+H59+F59+D59+B59+L59</f>
        <v>21924</v>
      </c>
      <c r="Q59" s="683">
        <f t="shared" ref="Q59" si="47">+O59+K59+I59+G59+E59+C59+M59</f>
        <v>18251</v>
      </c>
      <c r="S59" s="115"/>
    </row>
    <row r="60" spans="1:19" ht="13.5" customHeight="1">
      <c r="A60" s="247" t="s">
        <v>114</v>
      </c>
      <c r="B60" s="523">
        <f t="shared" ref="B60" si="48">SUM(B61:B63)</f>
        <v>11643</v>
      </c>
      <c r="C60" s="507">
        <f>+[64]B17!$C304</f>
        <v>8147</v>
      </c>
      <c r="D60" s="523">
        <f t="shared" ref="D60" si="49">SUM(D61:D63)</f>
        <v>8637</v>
      </c>
      <c r="E60" s="507">
        <f>+[65]B17!$C304</f>
        <v>5897</v>
      </c>
      <c r="F60" s="522">
        <f t="shared" ref="F60" si="50">SUM(F61:F63)</f>
        <v>406</v>
      </c>
      <c r="G60" s="507">
        <f>+[66]B17!$C304</f>
        <v>398</v>
      </c>
      <c r="H60" s="523">
        <f t="shared" ref="H60" si="51">SUM(H61:H63)</f>
        <v>0</v>
      </c>
      <c r="I60" s="507">
        <f>+[67]B17!$C304</f>
        <v>0</v>
      </c>
      <c r="J60" s="522"/>
      <c r="K60" s="522"/>
      <c r="L60" s="523">
        <f>SUM(L61:L63)</f>
        <v>621</v>
      </c>
      <c r="M60" s="507">
        <f>+[69]B17!$C304+[70]B17!$C304+[71]B17!$C304</f>
        <v>452</v>
      </c>
      <c r="N60" s="522">
        <f t="shared" ref="N60" si="52">SUM(N61:N63)</f>
        <v>3041</v>
      </c>
      <c r="O60" s="507">
        <f t="shared" ref="O60:Q60" si="53">SUM(O61:O63)</f>
        <v>1728</v>
      </c>
      <c r="P60" s="523">
        <f t="shared" si="53"/>
        <v>23026</v>
      </c>
      <c r="Q60" s="683">
        <f t="shared" si="53"/>
        <v>16622</v>
      </c>
      <c r="R60" s="1077"/>
      <c r="S60" s="115"/>
    </row>
    <row r="61" spans="1:19" ht="13.5" customHeight="1">
      <c r="A61" s="247" t="s">
        <v>115</v>
      </c>
      <c r="B61" s="523">
        <f>+[73]B17!$C304</f>
        <v>7485</v>
      </c>
      <c r="C61" s="507">
        <f>+[64]B17!$C305</f>
        <v>4945</v>
      </c>
      <c r="D61" s="523">
        <f>+[74]B17!$C304</f>
        <v>5702</v>
      </c>
      <c r="E61" s="507">
        <f>+[65]B17!$C305</f>
        <v>3186</v>
      </c>
      <c r="F61" s="522">
        <f>+[75]B17!$C304</f>
        <v>0</v>
      </c>
      <c r="G61" s="507">
        <f>+[66]B17!$C305</f>
        <v>0</v>
      </c>
      <c r="H61" s="523">
        <f>+[76]B17!$C304</f>
        <v>0</v>
      </c>
      <c r="I61" s="507">
        <f>+[67]B17!$C305</f>
        <v>0</v>
      </c>
      <c r="J61" s="522"/>
      <c r="K61" s="522"/>
      <c r="L61" s="523">
        <f>+[77]B17!$C304+[78]B17!$C304+[79]B17!$C304</f>
        <v>16</v>
      </c>
      <c r="M61" s="507">
        <f>+[69]B17!$C305+[70]B17!$C305+[71]B17!$C305</f>
        <v>11</v>
      </c>
      <c r="N61" s="522"/>
      <c r="O61" s="507"/>
      <c r="P61" s="682">
        <f t="shared" ref="P61" si="54">+O61+J61+H61+F61+D61+B61+L61</f>
        <v>13203</v>
      </c>
      <c r="Q61" s="683">
        <f t="shared" ref="Q61:Q62" si="55">+O61+K61+I61+G61+E61+C61+M61</f>
        <v>8142</v>
      </c>
      <c r="S61" s="115"/>
    </row>
    <row r="62" spans="1:19" ht="13.5" customHeight="1">
      <c r="A62" s="247" t="s">
        <v>1137</v>
      </c>
      <c r="B62" s="523">
        <f>+[73]B17!$C305</f>
        <v>3114</v>
      </c>
      <c r="C62" s="507">
        <f>+[64]B17!$C306</f>
        <v>2504</v>
      </c>
      <c r="D62" s="523">
        <f>+[74]B17!$C305</f>
        <v>1929</v>
      </c>
      <c r="E62" s="507">
        <f>+[65]B17!$C306</f>
        <v>1861</v>
      </c>
      <c r="F62" s="522">
        <f>+[75]B17!$C305</f>
        <v>406</v>
      </c>
      <c r="G62" s="507">
        <f>+[66]B17!$C306</f>
        <v>398</v>
      </c>
      <c r="H62" s="523">
        <f>+[76]B17!$C305</f>
        <v>0</v>
      </c>
      <c r="I62" s="507">
        <f>+[67]B17!$C306</f>
        <v>0</v>
      </c>
      <c r="J62" s="522"/>
      <c r="K62" s="522"/>
      <c r="L62" s="523">
        <f>+[77]B17!$C305+[78]B17!$C305+[79]B17!$C305</f>
        <v>605</v>
      </c>
      <c r="M62" s="507">
        <f>+[69]B17!$C306+[70]B17!$C306+[71]B17!$C306</f>
        <v>437</v>
      </c>
      <c r="N62" s="522">
        <f>+[80]BM18A!$C$462+[80]BM18A!$F$462</f>
        <v>855</v>
      </c>
      <c r="O62" s="507">
        <f>+[72]BM18A!$C$462+[72]BM18A!$F$462</f>
        <v>864</v>
      </c>
      <c r="P62" s="682">
        <f t="shared" ref="P62" si="56">+N62+J62+H62+F62+D62+B62+L62</f>
        <v>6909</v>
      </c>
      <c r="Q62" s="683">
        <f t="shared" si="55"/>
        <v>6064</v>
      </c>
      <c r="S62" s="115"/>
    </row>
    <row r="63" spans="1:19" ht="13.5" customHeight="1">
      <c r="A63" s="247" t="s">
        <v>1138</v>
      </c>
      <c r="B63" s="523">
        <f>+[73]B17!$C306</f>
        <v>1044</v>
      </c>
      <c r="C63" s="507">
        <f>+[64]B17!$C307</f>
        <v>698</v>
      </c>
      <c r="D63" s="523">
        <f>+[74]B17!$C306</f>
        <v>1006</v>
      </c>
      <c r="E63" s="507">
        <f>+[65]B17!$C307</f>
        <v>850</v>
      </c>
      <c r="F63" s="522">
        <f>+[75]B17!$C306</f>
        <v>0</v>
      </c>
      <c r="G63" s="507">
        <f>+[66]B17!$C307</f>
        <v>0</v>
      </c>
      <c r="H63" s="523">
        <f>+[76]B17!$C306</f>
        <v>0</v>
      </c>
      <c r="I63" s="507">
        <f>+[67]B17!$C307</f>
        <v>0</v>
      </c>
      <c r="J63" s="522"/>
      <c r="K63" s="522"/>
      <c r="L63" s="523">
        <f>+[77]B17!$C306+[78]B17!$C306+[79]B17!$C306</f>
        <v>0</v>
      </c>
      <c r="M63" s="507">
        <f>+[69]B17!$C307+[70]B17!$C307+[71]B17!$C307</f>
        <v>4</v>
      </c>
      <c r="N63" s="522">
        <f>+[80]BM18A!$C$463+[80]BM18A!$F$463</f>
        <v>2186</v>
      </c>
      <c r="O63" s="507">
        <f>+[72]BM18A!$C$462+[72]BM18A!$F$462</f>
        <v>864</v>
      </c>
      <c r="P63" s="682">
        <f t="shared" ref="P63:P64" si="57">+O63+J63+H63+F63+D63+B63+L63</f>
        <v>2914</v>
      </c>
      <c r="Q63" s="683">
        <f t="shared" ref="Q63:Q64" si="58">+O63+K63+I63+G63+E63+C63+M63</f>
        <v>2416</v>
      </c>
      <c r="S63" s="115"/>
    </row>
    <row r="64" spans="1:19" ht="13.5" customHeight="1">
      <c r="A64" s="635" t="s">
        <v>1173</v>
      </c>
      <c r="B64" s="527"/>
      <c r="C64" s="525"/>
      <c r="D64" s="527"/>
      <c r="E64" s="526"/>
      <c r="F64" s="525"/>
      <c r="G64" s="525"/>
      <c r="H64" s="527"/>
      <c r="I64" s="526"/>
      <c r="J64" s="525"/>
      <c r="K64" s="525"/>
      <c r="L64" s="527"/>
      <c r="M64" s="526"/>
      <c r="N64" s="525"/>
      <c r="O64" s="526"/>
      <c r="P64" s="684">
        <f t="shared" si="57"/>
        <v>0</v>
      </c>
      <c r="Q64" s="683">
        <f t="shared" si="58"/>
        <v>0</v>
      </c>
    </row>
    <row r="65" spans="1:17" ht="23.25" customHeight="1">
      <c r="A65" s="247" t="s">
        <v>116</v>
      </c>
      <c r="B65" s="686">
        <f>+[73]B17!$C310</f>
        <v>11415</v>
      </c>
      <c r="C65" s="687">
        <f>+[64]B17!$C311</f>
        <v>6260</v>
      </c>
      <c r="D65" s="686">
        <f>+[74]B17!$C310</f>
        <v>0</v>
      </c>
      <c r="E65" s="687">
        <f>+[65]B17!$C311</f>
        <v>0</v>
      </c>
      <c r="F65" s="688">
        <f>+[75]B17!$C310</f>
        <v>0</v>
      </c>
      <c r="G65" s="687">
        <f>+[66]B17!$C311</f>
        <v>0</v>
      </c>
      <c r="H65" s="686">
        <f>+[76]B17!$C310</f>
        <v>0</v>
      </c>
      <c r="I65" s="687">
        <f>+[67]B17!$C311</f>
        <v>0</v>
      </c>
      <c r="J65" s="1475"/>
      <c r="K65" s="688"/>
      <c r="L65" s="1476"/>
      <c r="M65" s="1477"/>
      <c r="N65" s="1475"/>
      <c r="O65" s="1477"/>
      <c r="P65" s="684">
        <f t="shared" ref="P65:P68" si="59">+O65+J65+H65+F65+D65+B65+L65</f>
        <v>11415</v>
      </c>
      <c r="Q65" s="689">
        <f t="shared" ref="Q65:Q68" si="60">+O65+K65+I65+G65+E65+C65+M65</f>
        <v>6260</v>
      </c>
    </row>
    <row r="66" spans="1:17" ht="21.75" customHeight="1">
      <c r="A66" s="1473" t="s">
        <v>117</v>
      </c>
      <c r="B66" s="527">
        <f>+[73]B17!$C101</f>
        <v>0</v>
      </c>
      <c r="C66" s="526">
        <f>+[64]B17!$C101</f>
        <v>0</v>
      </c>
      <c r="D66" s="527">
        <f>+[74]B17!$C101</f>
        <v>372</v>
      </c>
      <c r="E66" s="526">
        <f>+[65]B17!$C101</f>
        <v>230</v>
      </c>
      <c r="F66" s="525">
        <f>+[75]B17!$C101</f>
        <v>0</v>
      </c>
      <c r="G66" s="526">
        <f>+[66]B17!$C101</f>
        <v>0</v>
      </c>
      <c r="H66" s="527">
        <f>+[76]B17!$C101</f>
        <v>0</v>
      </c>
      <c r="I66" s="526">
        <f>+[67]B17!$C101</f>
        <v>0</v>
      </c>
      <c r="J66" s="525"/>
      <c r="K66" s="525"/>
      <c r="L66" s="527"/>
      <c r="M66" s="526"/>
      <c r="N66" s="525"/>
      <c r="O66" s="526"/>
      <c r="P66" s="682">
        <f t="shared" si="59"/>
        <v>372</v>
      </c>
      <c r="Q66" s="683">
        <f t="shared" si="60"/>
        <v>230</v>
      </c>
    </row>
    <row r="67" spans="1:17" ht="18.75" customHeight="1">
      <c r="A67" s="1388" t="s">
        <v>118</v>
      </c>
      <c r="B67" s="686">
        <f>+[73]B17!$C251</f>
        <v>3165</v>
      </c>
      <c r="C67" s="687">
        <f>+[64]B17!$C252</f>
        <v>2639</v>
      </c>
      <c r="D67" s="686">
        <f>+[74]B17!$C251</f>
        <v>0</v>
      </c>
      <c r="E67" s="687">
        <f>+[65]B17!$C252</f>
        <v>0</v>
      </c>
      <c r="F67" s="688">
        <f>+[75]B17!$C251</f>
        <v>0</v>
      </c>
      <c r="G67" s="687">
        <f>+[66]B17!$C252</f>
        <v>0</v>
      </c>
      <c r="H67" s="686">
        <f>+[76]B17!$C251</f>
        <v>0</v>
      </c>
      <c r="I67" s="687">
        <f>+[67]B17!$C252</f>
        <v>0</v>
      </c>
      <c r="J67" s="691"/>
      <c r="K67" s="688"/>
      <c r="L67" s="183"/>
      <c r="M67" s="364"/>
      <c r="N67" s="691"/>
      <c r="O67" s="364"/>
      <c r="P67" s="690">
        <f t="shared" si="59"/>
        <v>3165</v>
      </c>
      <c r="Q67" s="689">
        <f t="shared" si="60"/>
        <v>2639</v>
      </c>
    </row>
    <row r="68" spans="1:17" ht="16.5" customHeight="1">
      <c r="A68" s="1474" t="s">
        <v>119</v>
      </c>
      <c r="B68" s="527">
        <f>+[73]B17!$C252</f>
        <v>993</v>
      </c>
      <c r="C68" s="687">
        <f>+[64]B17!$C253</f>
        <v>855</v>
      </c>
      <c r="D68" s="527">
        <f>+[74]B17!$C252</f>
        <v>0</v>
      </c>
      <c r="E68" s="687">
        <f>+[65]B17!$C253</f>
        <v>0</v>
      </c>
      <c r="F68" s="525">
        <f>+[75]B17!$C252</f>
        <v>0</v>
      </c>
      <c r="G68" s="687">
        <f>+[66]B17!$C253</f>
        <v>0</v>
      </c>
      <c r="H68" s="527">
        <f>+[76]B17!$C252</f>
        <v>0</v>
      </c>
      <c r="I68" s="687">
        <f>+[67]B17!$C253</f>
        <v>0</v>
      </c>
      <c r="J68" s="692"/>
      <c r="K68" s="525"/>
      <c r="L68" s="322"/>
      <c r="M68" s="323"/>
      <c r="N68" s="692"/>
      <c r="O68" s="323"/>
      <c r="P68" s="690">
        <f t="shared" si="59"/>
        <v>993</v>
      </c>
      <c r="Q68" s="689">
        <f t="shared" si="60"/>
        <v>855</v>
      </c>
    </row>
    <row r="69" spans="1:17">
      <c r="A69" s="584" t="s">
        <v>697</v>
      </c>
    </row>
    <row r="71" spans="1:17">
      <c r="A71" t="s">
        <v>1441</v>
      </c>
    </row>
  </sheetData>
  <phoneticPr fontId="19" type="noConversion"/>
  <pageMargins left="1.3779527559055118" right="0.78740157480314965" top="0.59055118110236227" bottom="0.78740157480314965" header="0.51181102362204722" footer="0.51181102362204722"/>
  <pageSetup paperSize="5" orientation="landscape" horizontalDpi="300" verticalDpi="300" r:id="rId1"/>
  <headerFooter alignWithMargins="0"/>
  <ignoredErrors>
    <ignoredError sqref="P56:Q56 P60 P62" formula="1"/>
    <ignoredError sqref="C43 C26" formulaRange="1"/>
    <ignoredError sqref="J26:K26" formula="1" formulaRange="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topLeftCell="A22" workbookViewId="0">
      <selection activeCell="K19" sqref="K19"/>
    </sheetView>
  </sheetViews>
  <sheetFormatPr baseColWidth="10" defaultRowHeight="13.2"/>
  <cols>
    <col min="1" max="1" width="6" customWidth="1"/>
    <col min="2" max="8" width="7.21875" customWidth="1"/>
    <col min="9" max="9" width="8" customWidth="1"/>
    <col min="10" max="10" width="9.21875" customWidth="1"/>
    <col min="11" max="11" width="6.21875" customWidth="1"/>
    <col min="12" max="12" width="8.21875" customWidth="1"/>
    <col min="13" max="13" width="7.21875" customWidth="1"/>
    <col min="14" max="14" width="10.44140625" customWidth="1"/>
    <col min="15" max="15" width="8.21875" customWidth="1"/>
    <col min="16" max="17" width="6.44140625" customWidth="1"/>
    <col min="18" max="18" width="8" customWidth="1"/>
    <col min="19" max="20" width="6.44140625" customWidth="1"/>
    <col min="21" max="21" width="7.77734375" customWidth="1"/>
    <col min="22" max="26" width="6.44140625" customWidth="1"/>
  </cols>
  <sheetData>
    <row r="1" spans="1:26">
      <c r="A1" s="144" t="s">
        <v>120</v>
      </c>
      <c r="B1" s="271"/>
      <c r="C1" s="271"/>
      <c r="D1" s="271"/>
      <c r="E1" s="271"/>
      <c r="F1" s="271"/>
      <c r="G1" s="271"/>
      <c r="H1" s="271"/>
      <c r="I1" s="271"/>
      <c r="J1" s="271"/>
      <c r="K1" s="271"/>
      <c r="L1" s="271"/>
      <c r="M1" s="271"/>
    </row>
    <row r="2" spans="1:26">
      <c r="A2" s="144" t="s">
        <v>913</v>
      </c>
      <c r="B2" s="271"/>
      <c r="C2" s="271"/>
      <c r="D2" s="271"/>
      <c r="E2" s="271"/>
      <c r="F2" s="271"/>
      <c r="G2" s="271"/>
      <c r="H2" s="271"/>
      <c r="I2" s="271"/>
      <c r="J2" s="271"/>
      <c r="K2" s="271"/>
      <c r="L2" s="271"/>
      <c r="M2" s="271"/>
    </row>
    <row r="3" spans="1:26">
      <c r="A3" s="144" t="s">
        <v>1648</v>
      </c>
      <c r="B3" s="271"/>
      <c r="C3" s="271"/>
      <c r="D3" s="271"/>
      <c r="E3" s="271"/>
      <c r="F3" s="271"/>
      <c r="G3" s="271"/>
      <c r="H3" s="271"/>
      <c r="I3" s="271"/>
      <c r="J3" s="271"/>
      <c r="K3" s="271"/>
      <c r="L3" s="271"/>
      <c r="M3" s="271"/>
    </row>
    <row r="4" spans="1:26">
      <c r="A4" s="144" t="s">
        <v>121</v>
      </c>
      <c r="B4" s="271"/>
      <c r="C4" s="271"/>
      <c r="D4" s="271"/>
      <c r="E4" s="271"/>
      <c r="F4" s="271"/>
      <c r="G4" s="271"/>
      <c r="H4" s="271"/>
      <c r="I4" s="271"/>
      <c r="J4" s="271"/>
      <c r="K4" s="271"/>
      <c r="L4" s="271"/>
      <c r="M4" s="271"/>
    </row>
    <row r="5" spans="1:26">
      <c r="A5" s="1"/>
      <c r="B5" s="1"/>
      <c r="C5" s="1"/>
      <c r="D5" s="1"/>
      <c r="E5" s="1"/>
      <c r="F5" s="1"/>
      <c r="G5" s="1"/>
      <c r="H5" s="1"/>
      <c r="I5" s="1"/>
      <c r="J5" s="1"/>
      <c r="K5" s="1"/>
      <c r="L5" s="1"/>
      <c r="M5" s="1"/>
    </row>
    <row r="7" spans="1:26">
      <c r="O7" s="274" t="s">
        <v>64</v>
      </c>
      <c r="P7" s="274"/>
      <c r="Q7" s="274"/>
      <c r="R7" s="274" t="s">
        <v>65</v>
      </c>
      <c r="S7" s="274"/>
      <c r="T7" s="274"/>
      <c r="U7" s="274" t="s">
        <v>873</v>
      </c>
      <c r="V7" s="274"/>
      <c r="W7" s="274"/>
      <c r="X7" s="274" t="s">
        <v>874</v>
      </c>
      <c r="Y7" s="274"/>
      <c r="Z7" s="274"/>
    </row>
    <row r="8" spans="1:26" ht="18" customHeight="1">
      <c r="A8" s="279" t="s">
        <v>640</v>
      </c>
      <c r="B8" s="279" t="s">
        <v>37</v>
      </c>
      <c r="C8" s="280"/>
      <c r="D8" s="279" t="s">
        <v>873</v>
      </c>
      <c r="E8" s="280"/>
      <c r="F8" s="281" t="s">
        <v>874</v>
      </c>
      <c r="G8" s="281"/>
      <c r="H8" s="279" t="s">
        <v>73</v>
      </c>
      <c r="I8" s="280"/>
      <c r="J8" s="279" t="s">
        <v>122</v>
      </c>
      <c r="K8" s="280"/>
      <c r="L8" s="279" t="s">
        <v>517</v>
      </c>
      <c r="M8" s="280"/>
      <c r="O8" s="10"/>
      <c r="P8" s="10"/>
      <c r="Q8" s="10"/>
      <c r="R8" s="10"/>
      <c r="S8" s="10"/>
      <c r="T8" s="10"/>
      <c r="U8" s="10"/>
      <c r="V8" s="10"/>
      <c r="W8" s="10"/>
      <c r="X8" s="10"/>
      <c r="Y8" s="10"/>
      <c r="Z8" s="10"/>
    </row>
    <row r="9" spans="1:26" ht="18" customHeight="1">
      <c r="A9" s="673"/>
      <c r="B9" s="693" t="s">
        <v>123</v>
      </c>
      <c r="C9" s="694" t="s">
        <v>124</v>
      </c>
      <c r="D9" s="693" t="s">
        <v>123</v>
      </c>
      <c r="E9" s="694" t="s">
        <v>124</v>
      </c>
      <c r="F9" s="693" t="s">
        <v>123</v>
      </c>
      <c r="G9" s="694" t="s">
        <v>124</v>
      </c>
      <c r="H9" s="693" t="s">
        <v>123</v>
      </c>
      <c r="I9" s="694" t="s">
        <v>124</v>
      </c>
      <c r="J9" s="693" t="s">
        <v>123</v>
      </c>
      <c r="K9" s="694" t="s">
        <v>124</v>
      </c>
      <c r="L9" s="693" t="s">
        <v>123</v>
      </c>
      <c r="M9" s="694" t="s">
        <v>124</v>
      </c>
      <c r="O9" s="274" t="s">
        <v>67</v>
      </c>
      <c r="P9" s="274" t="s">
        <v>125</v>
      </c>
      <c r="Q9" s="274" t="s">
        <v>126</v>
      </c>
      <c r="R9" s="274" t="s">
        <v>67</v>
      </c>
      <c r="S9" s="274" t="s">
        <v>125</v>
      </c>
      <c r="T9" s="274" t="s">
        <v>126</v>
      </c>
      <c r="U9" s="274" t="s">
        <v>67</v>
      </c>
      <c r="V9" s="274" t="s">
        <v>125</v>
      </c>
      <c r="W9" s="274" t="s">
        <v>126</v>
      </c>
      <c r="X9" s="274" t="s">
        <v>67</v>
      </c>
      <c r="Y9" s="274" t="s">
        <v>125</v>
      </c>
      <c r="Z9" s="274" t="s">
        <v>126</v>
      </c>
    </row>
    <row r="10" spans="1:26" ht="18" customHeight="1">
      <c r="A10" s="199">
        <v>2011</v>
      </c>
      <c r="B10" s="270">
        <v>469267</v>
      </c>
      <c r="C10" s="674">
        <v>47394</v>
      </c>
      <c r="D10" s="270">
        <v>444247</v>
      </c>
      <c r="E10" s="674">
        <v>53192</v>
      </c>
      <c r="F10" s="675">
        <v>102038</v>
      </c>
      <c r="G10" s="675">
        <v>13644</v>
      </c>
      <c r="H10" s="270">
        <v>3674</v>
      </c>
      <c r="I10" s="674">
        <v>5416</v>
      </c>
      <c r="J10" s="270">
        <v>76369</v>
      </c>
      <c r="K10" s="201">
        <v>1429</v>
      </c>
      <c r="L10" s="270">
        <v>1095595</v>
      </c>
      <c r="M10" s="674">
        <v>121075</v>
      </c>
      <c r="O10" s="115">
        <v>254846</v>
      </c>
      <c r="P10">
        <v>429.90472677617066</v>
      </c>
      <c r="Q10" s="152">
        <v>47.50908391734616</v>
      </c>
      <c r="R10">
        <v>112263</v>
      </c>
      <c r="S10" s="152">
        <v>402.53478357837668</v>
      </c>
      <c r="T10" s="152">
        <v>42.216937013976107</v>
      </c>
      <c r="U10">
        <v>104646</v>
      </c>
      <c r="V10" s="152">
        <v>424.52363205473694</v>
      </c>
      <c r="W10" s="152">
        <v>50.830418745102534</v>
      </c>
      <c r="X10">
        <v>37937</v>
      </c>
      <c r="Y10" s="152">
        <v>268.96697155810949</v>
      </c>
      <c r="Z10" s="152">
        <v>35.964889158341464</v>
      </c>
    </row>
    <row r="11" spans="1:26" ht="18" customHeight="1">
      <c r="A11" s="199">
        <v>2012</v>
      </c>
      <c r="B11" s="270">
        <v>492755</v>
      </c>
      <c r="C11" s="674">
        <v>48761</v>
      </c>
      <c r="D11" s="270">
        <v>423084</v>
      </c>
      <c r="E11" s="674">
        <v>50595</v>
      </c>
      <c r="F11" s="675">
        <v>117094</v>
      </c>
      <c r="G11" s="675">
        <v>15765</v>
      </c>
      <c r="H11" s="270">
        <v>3810</v>
      </c>
      <c r="I11" s="674">
        <v>5918</v>
      </c>
      <c r="J11" s="270">
        <v>88132</v>
      </c>
      <c r="K11" s="201">
        <v>1316</v>
      </c>
      <c r="L11" s="270">
        <v>1124875</v>
      </c>
      <c r="M11" s="674">
        <v>122355</v>
      </c>
      <c r="O11" s="115">
        <v>257878</v>
      </c>
      <c r="P11">
        <v>436.20432917891401</v>
      </c>
      <c r="Q11" s="152">
        <v>47.446854714244715</v>
      </c>
      <c r="R11">
        <v>113613</v>
      </c>
      <c r="S11" s="152">
        <v>417.68809548028349</v>
      </c>
      <c r="T11" s="152">
        <v>42.918504044431529</v>
      </c>
      <c r="U11">
        <v>105925</v>
      </c>
      <c r="V11" s="152">
        <v>399.41845645503895</v>
      </c>
      <c r="W11" s="152">
        <v>47.764928015105028</v>
      </c>
      <c r="X11">
        <v>38340</v>
      </c>
      <c r="Y11" s="152">
        <v>305.4094940010433</v>
      </c>
      <c r="Z11" s="152">
        <v>41.118935837245694</v>
      </c>
    </row>
    <row r="12" spans="1:26" ht="18" customHeight="1">
      <c r="A12" s="199">
        <v>2013</v>
      </c>
      <c r="B12" s="202">
        <v>487690</v>
      </c>
      <c r="C12" s="201">
        <v>47895</v>
      </c>
      <c r="D12" s="202">
        <v>444746</v>
      </c>
      <c r="E12" s="201">
        <v>51652</v>
      </c>
      <c r="F12" s="203">
        <v>111127</v>
      </c>
      <c r="G12" s="203">
        <v>17928</v>
      </c>
      <c r="H12" s="202">
        <v>3659</v>
      </c>
      <c r="I12" s="201">
        <v>5716</v>
      </c>
      <c r="J12" s="202">
        <v>92923</v>
      </c>
      <c r="K12" s="201">
        <v>687</v>
      </c>
      <c r="L12" s="270">
        <v>1140145</v>
      </c>
      <c r="M12" s="674">
        <v>123878</v>
      </c>
      <c r="O12" s="115">
        <v>260629</v>
      </c>
      <c r="P12">
        <v>437.45899343511275</v>
      </c>
      <c r="Q12" s="152">
        <v>47.530397615000638</v>
      </c>
      <c r="R12">
        <v>114848</v>
      </c>
      <c r="S12" s="152">
        <v>408.62512463447536</v>
      </c>
      <c r="T12" s="152">
        <v>41.702946503204238</v>
      </c>
      <c r="U12">
        <v>107079</v>
      </c>
      <c r="V12" s="152">
        <v>415.34381157836737</v>
      </c>
      <c r="W12" s="152">
        <v>48.237282753854629</v>
      </c>
      <c r="X12">
        <v>38702</v>
      </c>
      <c r="Y12" s="152">
        <v>287.13503178130327</v>
      </c>
      <c r="Z12" s="152">
        <v>46.323187432174045</v>
      </c>
    </row>
    <row r="13" spans="1:26" ht="18" customHeight="1">
      <c r="A13" s="245">
        <v>2014</v>
      </c>
      <c r="B13" s="675">
        <v>498600</v>
      </c>
      <c r="C13" s="674">
        <v>49140</v>
      </c>
      <c r="D13" s="675">
        <v>468195</v>
      </c>
      <c r="E13" s="674">
        <v>51292</v>
      </c>
      <c r="F13" s="675">
        <v>125415</v>
      </c>
      <c r="G13" s="674">
        <v>15957</v>
      </c>
      <c r="H13" s="675">
        <v>3152</v>
      </c>
      <c r="I13" s="674">
        <v>6918</v>
      </c>
      <c r="J13" s="675">
        <v>113168</v>
      </c>
      <c r="K13" s="201">
        <v>362</v>
      </c>
      <c r="L13" s="270">
        <v>1208530</v>
      </c>
      <c r="M13" s="674">
        <v>123669</v>
      </c>
      <c r="O13" s="115">
        <v>263459</v>
      </c>
      <c r="P13">
        <v>458.71653653889223</v>
      </c>
      <c r="Q13" s="152">
        <v>46.940510667694028</v>
      </c>
      <c r="R13">
        <v>116115</v>
      </c>
      <c r="S13" s="152">
        <v>412.95003354287275</v>
      </c>
      <c r="T13" s="152">
        <v>42.320113680403047</v>
      </c>
      <c r="U13">
        <v>108270</v>
      </c>
      <c r="V13" s="152">
        <v>432.43280687170966</v>
      </c>
      <c r="W13" s="152">
        <v>47.374157199593611</v>
      </c>
      <c r="X13">
        <v>39074</v>
      </c>
      <c r="Y13" s="152">
        <v>320.96790704816505</v>
      </c>
      <c r="Z13" s="152">
        <v>40.837897323028102</v>
      </c>
    </row>
    <row r="14" spans="1:26" ht="18" customHeight="1">
      <c r="A14" s="199">
        <v>2015</v>
      </c>
      <c r="B14" s="270">
        <v>473097</v>
      </c>
      <c r="C14" s="674">
        <v>45888</v>
      </c>
      <c r="D14" s="270">
        <v>452639</v>
      </c>
      <c r="E14" s="674">
        <v>51277</v>
      </c>
      <c r="F14" s="675">
        <v>150894</v>
      </c>
      <c r="G14" s="675">
        <v>16765</v>
      </c>
      <c r="H14" s="270">
        <v>3228</v>
      </c>
      <c r="I14" s="674">
        <v>7122</v>
      </c>
      <c r="J14" s="270">
        <v>111616</v>
      </c>
      <c r="K14" s="201">
        <v>584</v>
      </c>
      <c r="L14" s="675">
        <v>1191474</v>
      </c>
      <c r="M14" s="674">
        <v>121636</v>
      </c>
      <c r="O14" s="115">
        <v>266356</v>
      </c>
      <c r="P14">
        <v>447.32388232290623</v>
      </c>
      <c r="Q14" s="152">
        <v>45.666701707489224</v>
      </c>
      <c r="R14">
        <v>117430</v>
      </c>
      <c r="S14" s="152">
        <v>387.40020143955587</v>
      </c>
      <c r="T14" s="152">
        <v>39.076896874733883</v>
      </c>
      <c r="U14">
        <v>109467</v>
      </c>
      <c r="V14" s="152">
        <v>413.49356427051072</v>
      </c>
      <c r="W14" s="152">
        <v>46.842427398211335</v>
      </c>
      <c r="X14">
        <v>39459</v>
      </c>
      <c r="Y14" s="152">
        <v>382.40705542461797</v>
      </c>
      <c r="Z14" s="152">
        <v>42.487138548873517</v>
      </c>
    </row>
    <row r="15" spans="1:26" ht="18" customHeight="1">
      <c r="A15" s="199">
        <v>2016</v>
      </c>
      <c r="B15" s="270">
        <v>474928</v>
      </c>
      <c r="C15" s="674">
        <v>45156</v>
      </c>
      <c r="D15" s="270">
        <v>426887</v>
      </c>
      <c r="E15" s="674">
        <v>52925</v>
      </c>
      <c r="F15" s="675">
        <v>147018</v>
      </c>
      <c r="G15" s="675">
        <v>18058</v>
      </c>
      <c r="H15" s="270">
        <v>4155</v>
      </c>
      <c r="I15" s="674">
        <v>9181</v>
      </c>
      <c r="J15" s="270">
        <v>113628</v>
      </c>
      <c r="K15" s="201">
        <v>525</v>
      </c>
      <c r="L15" s="270">
        <v>1166616</v>
      </c>
      <c r="M15" s="674">
        <v>125845</v>
      </c>
      <c r="O15" s="115">
        <v>269239</v>
      </c>
      <c r="P15">
        <v>433.30126764696047</v>
      </c>
      <c r="Q15" s="152">
        <v>46.740999632296955</v>
      </c>
      <c r="R15">
        <v>118733</v>
      </c>
      <c r="S15" s="152">
        <v>385.02784781392637</v>
      </c>
      <c r="T15" s="152">
        <v>38.031549779757945</v>
      </c>
      <c r="U15">
        <v>110666</v>
      </c>
      <c r="V15" s="152">
        <v>385.74358881680013</v>
      </c>
      <c r="W15" s="152">
        <v>47.824083277610107</v>
      </c>
      <c r="X15">
        <v>39840</v>
      </c>
      <c r="Y15" s="152">
        <v>369.02108433734941</v>
      </c>
      <c r="Z15" s="152">
        <v>45.326305220883533</v>
      </c>
    </row>
    <row r="16" spans="1:26" ht="18" customHeight="1">
      <c r="A16" s="256">
        <v>2017</v>
      </c>
      <c r="B16" s="270">
        <v>445785</v>
      </c>
      <c r="C16" s="675">
        <v>50873</v>
      </c>
      <c r="D16" s="270">
        <v>381743</v>
      </c>
      <c r="E16" s="675">
        <v>52582</v>
      </c>
      <c r="F16" s="270">
        <v>112272</v>
      </c>
      <c r="G16" s="675">
        <v>18638</v>
      </c>
      <c r="H16" s="270">
        <v>3937</v>
      </c>
      <c r="I16" s="675">
        <v>9408</v>
      </c>
      <c r="J16" s="270">
        <v>108492</v>
      </c>
      <c r="K16" s="203">
        <v>1070</v>
      </c>
      <c r="L16" s="270">
        <v>1052229</v>
      </c>
      <c r="M16" s="674">
        <v>132571</v>
      </c>
      <c r="O16" s="115">
        <v>272453</v>
      </c>
      <c r="P16">
        <v>386.20569419312687</v>
      </c>
      <c r="Q16" s="152">
        <v>48.658300697735022</v>
      </c>
      <c r="R16">
        <v>120187</v>
      </c>
      <c r="S16" s="152">
        <v>357.77861602914976</v>
      </c>
      <c r="T16" s="152">
        <v>42.328205213542233</v>
      </c>
      <c r="U16">
        <v>111997</v>
      </c>
      <c r="V16" s="152">
        <v>340.85109422573822</v>
      </c>
      <c r="W16" s="152">
        <v>46.949471860853414</v>
      </c>
      <c r="X16">
        <v>40269</v>
      </c>
      <c r="Y16" s="152">
        <v>278.80503613201222</v>
      </c>
      <c r="Z16" s="152">
        <v>46.283741836151876</v>
      </c>
    </row>
    <row r="17" spans="1:26" ht="18" customHeight="1">
      <c r="A17" s="256">
        <v>2018</v>
      </c>
      <c r="B17" s="270">
        <v>617004</v>
      </c>
      <c r="C17" s="675">
        <v>46413</v>
      </c>
      <c r="D17" s="270">
        <v>462733</v>
      </c>
      <c r="E17" s="675">
        <v>53616</v>
      </c>
      <c r="F17" s="270">
        <v>140010</v>
      </c>
      <c r="G17" s="675">
        <v>19318</v>
      </c>
      <c r="H17" s="270">
        <v>3390</v>
      </c>
      <c r="I17" s="675">
        <v>5785</v>
      </c>
      <c r="J17" s="270">
        <v>137110</v>
      </c>
      <c r="K17" s="203">
        <v>3180</v>
      </c>
      <c r="L17" s="270">
        <v>1360247</v>
      </c>
      <c r="M17" s="674">
        <v>128312</v>
      </c>
      <c r="O17" s="115">
        <v>276064</v>
      </c>
      <c r="P17">
        <v>492.72885997449868</v>
      </c>
      <c r="Q17" s="152">
        <v>46.479077315405128</v>
      </c>
      <c r="R17">
        <v>121814</v>
      </c>
      <c r="S17" s="152">
        <v>499.65502162188432</v>
      </c>
      <c r="T17" s="152">
        <v>38.101531843630454</v>
      </c>
      <c r="U17">
        <v>113484</v>
      </c>
      <c r="V17" s="152">
        <v>407.75175355116141</v>
      </c>
      <c r="W17" s="152">
        <v>47.245426668076554</v>
      </c>
      <c r="X17">
        <v>40756</v>
      </c>
      <c r="Y17" s="152">
        <v>343.5322406516832</v>
      </c>
      <c r="Z17" s="152">
        <v>47.399155952497793</v>
      </c>
    </row>
    <row r="18" spans="1:26" ht="18" customHeight="1">
      <c r="A18" s="245">
        <v>2019</v>
      </c>
      <c r="B18" s="675">
        <v>674460</v>
      </c>
      <c r="C18" s="675">
        <v>51278</v>
      </c>
      <c r="D18" s="270">
        <v>486123</v>
      </c>
      <c r="E18" s="674">
        <v>58968</v>
      </c>
      <c r="F18" s="675">
        <v>150321</v>
      </c>
      <c r="G18" s="675">
        <v>21837</v>
      </c>
      <c r="H18" s="270">
        <v>3135</v>
      </c>
      <c r="I18" s="674">
        <v>6485</v>
      </c>
      <c r="J18" s="675">
        <v>118215</v>
      </c>
      <c r="K18" s="203">
        <v>1132</v>
      </c>
      <c r="L18" s="270">
        <v>1432254</v>
      </c>
      <c r="M18" s="674">
        <v>139700</v>
      </c>
      <c r="O18" s="115">
        <v>279717</v>
      </c>
      <c r="P18" s="152">
        <v>512.03680863158127</v>
      </c>
      <c r="Q18" s="152">
        <v>49.943335585609745</v>
      </c>
      <c r="R18">
        <v>123486</v>
      </c>
      <c r="S18" s="152">
        <v>546.1833730139449</v>
      </c>
      <c r="T18" s="152">
        <v>41.525355100983106</v>
      </c>
      <c r="U18">
        <v>114976</v>
      </c>
      <c r="V18" s="152">
        <v>422.80388950737546</v>
      </c>
      <c r="W18" s="152">
        <v>51.287225160033401</v>
      </c>
      <c r="X18">
        <v>41255</v>
      </c>
      <c r="Y18" s="152">
        <v>364.37037934795785</v>
      </c>
      <c r="Z18" s="152">
        <v>52.931765846564048</v>
      </c>
    </row>
    <row r="19" spans="1:26" ht="18" customHeight="1">
      <c r="A19" s="250">
        <v>2020</v>
      </c>
      <c r="B19" s="677">
        <f>+'72'!C$43</f>
        <v>742682</v>
      </c>
      <c r="C19" s="695">
        <f>+'72'!C$56</f>
        <v>36063</v>
      </c>
      <c r="D19" s="677">
        <f>+'72'!E$43</f>
        <v>426802</v>
      </c>
      <c r="E19" s="695">
        <f>+'72'!E$56</f>
        <v>39375</v>
      </c>
      <c r="F19" s="677">
        <f>+'72'!G$43</f>
        <v>94008</v>
      </c>
      <c r="G19" s="695">
        <f>+'72'!G$56</f>
        <v>12511</v>
      </c>
      <c r="H19" s="677">
        <f>+'72'!I$43</f>
        <v>1144</v>
      </c>
      <c r="I19" s="695">
        <f>+'72'!I$56</f>
        <v>4634</v>
      </c>
      <c r="J19" s="677">
        <f>+'72'!M43+'72'!K43</f>
        <v>67610</v>
      </c>
      <c r="K19" s="695">
        <f>+'72'!M$56</f>
        <v>452</v>
      </c>
      <c r="L19" s="677">
        <f t="shared" ref="L19:M19" si="0">+B19+D19+F19+H19+J19</f>
        <v>1332246</v>
      </c>
      <c r="M19" s="678">
        <f t="shared" si="0"/>
        <v>93035</v>
      </c>
      <c r="O19" s="115">
        <f>+'71'!M19</f>
        <v>283366</v>
      </c>
      <c r="P19" s="152">
        <f>+L19/O19*100</f>
        <v>470.15026502826737</v>
      </c>
      <c r="Q19" s="152">
        <f>+M19/O19*100</f>
        <v>32.83209700528645</v>
      </c>
      <c r="R19">
        <f>+'71'!P19</f>
        <v>125139</v>
      </c>
      <c r="S19" s="152">
        <f>+B19/R19*100</f>
        <v>593.48564396391214</v>
      </c>
      <c r="T19" s="152">
        <f>+C19/R19*100</f>
        <v>28.818353990362716</v>
      </c>
      <c r="U19">
        <f>+'71'!S19</f>
        <v>116481</v>
      </c>
      <c r="V19" s="152">
        <f>+D19/U19*100</f>
        <v>366.41340647830975</v>
      </c>
      <c r="W19" s="152">
        <f>+E19/U19*100</f>
        <v>33.803796327298016</v>
      </c>
      <c r="X19">
        <f>+'71'!V19</f>
        <v>41746</v>
      </c>
      <c r="Y19" s="152">
        <f>+F19/X19*100</f>
        <v>225.19043740717674</v>
      </c>
      <c r="Z19" s="152">
        <f>+G19/X19*100</f>
        <v>29.969338379725002</v>
      </c>
    </row>
    <row r="20" spans="1:26">
      <c r="U20" s="115"/>
    </row>
    <row r="21" spans="1:26">
      <c r="R21" s="115"/>
    </row>
    <row r="62" spans="1:13">
      <c r="A62" s="696"/>
      <c r="B62" s="1"/>
      <c r="C62" s="1"/>
      <c r="D62" s="1"/>
      <c r="E62" s="1"/>
      <c r="F62" s="1"/>
      <c r="G62" s="1"/>
      <c r="H62" s="1"/>
      <c r="I62" s="1"/>
      <c r="J62" s="1"/>
      <c r="K62" s="1"/>
      <c r="L62" s="1"/>
      <c r="M62" s="1"/>
    </row>
    <row r="63" spans="1:13">
      <c r="A63" s="696"/>
      <c r="B63" s="1"/>
      <c r="C63" s="1"/>
      <c r="D63" s="1"/>
      <c r="E63" s="1"/>
      <c r="F63" s="1"/>
      <c r="G63" s="1"/>
      <c r="H63" s="1"/>
      <c r="I63" s="1"/>
      <c r="J63" s="1"/>
      <c r="K63" s="1"/>
      <c r="L63" s="1"/>
      <c r="M63" s="1"/>
    </row>
    <row r="64" spans="1:13">
      <c r="A64" s="696"/>
      <c r="B64" s="1"/>
      <c r="C64" s="1"/>
      <c r="D64" s="1"/>
      <c r="E64" s="1"/>
      <c r="F64" s="1"/>
      <c r="G64" s="1"/>
      <c r="H64" s="1"/>
      <c r="I64" s="1"/>
      <c r="J64" s="1"/>
      <c r="K64" s="1"/>
      <c r="L64" s="1"/>
      <c r="M64" s="1"/>
    </row>
  </sheetData>
  <phoneticPr fontId="19"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1"/>
  <sheetViews>
    <sheetView showGridLines="0" topLeftCell="C1" zoomScale="75" workbookViewId="0">
      <selection activeCell="S12" sqref="S12"/>
    </sheetView>
  </sheetViews>
  <sheetFormatPr baseColWidth="10" defaultColWidth="12.5546875" defaultRowHeight="13.2"/>
  <cols>
    <col min="1" max="1" width="29.77734375" style="762" customWidth="1"/>
    <col min="2" max="2" width="9.21875" style="762" customWidth="1"/>
    <col min="3" max="3" width="8.21875" style="762" customWidth="1"/>
    <col min="4" max="4" width="8" style="762" customWidth="1"/>
    <col min="5" max="9" width="8.21875" style="762" customWidth="1"/>
    <col min="10" max="10" width="7" style="762" customWidth="1"/>
    <col min="11" max="12" width="8.21875" style="762" customWidth="1"/>
    <col min="13" max="13" width="8.5546875" style="762" customWidth="1"/>
    <col min="14" max="17" width="8.21875" style="762" customWidth="1"/>
    <col min="18" max="18" width="10.44140625" style="762" customWidth="1"/>
    <col min="19" max="19" width="9.77734375" style="762" customWidth="1"/>
    <col min="20" max="20" width="9.44140625" style="762" customWidth="1"/>
    <col min="21" max="21" width="9.21875" style="762" customWidth="1"/>
    <col min="22" max="22" width="8.21875" style="762" customWidth="1"/>
    <col min="23" max="23" width="8.77734375" style="762" customWidth="1"/>
    <col min="24" max="24" width="10" style="762" customWidth="1"/>
    <col min="25" max="25" width="8.77734375" style="762" customWidth="1"/>
    <col min="26" max="26" width="10.77734375" style="700" customWidth="1"/>
    <col min="27" max="27" width="9.21875" style="700" customWidth="1"/>
    <col min="28" max="16384" width="12.5546875" style="700"/>
  </cols>
  <sheetData>
    <row r="1" spans="1:27">
      <c r="A1" s="697" t="s">
        <v>130</v>
      </c>
      <c r="B1" s="697"/>
      <c r="C1" s="698"/>
      <c r="D1" s="698"/>
      <c r="E1" s="698"/>
      <c r="F1" s="698"/>
      <c r="G1" s="698"/>
      <c r="H1" s="698"/>
      <c r="I1" s="698"/>
      <c r="J1" s="698"/>
      <c r="K1" s="699"/>
      <c r="L1" s="698"/>
      <c r="M1" s="698"/>
      <c r="N1" s="698"/>
      <c r="O1" s="698"/>
      <c r="P1" s="698"/>
      <c r="Q1" s="698"/>
      <c r="R1" s="698"/>
      <c r="S1" s="698"/>
      <c r="T1" s="698"/>
      <c r="U1" s="698"/>
      <c r="V1" s="698"/>
      <c r="W1" s="698"/>
      <c r="X1" s="698"/>
      <c r="Y1" s="698"/>
    </row>
    <row r="2" spans="1:27">
      <c r="A2" s="697"/>
      <c r="B2" s="697"/>
      <c r="C2" s="698"/>
      <c r="D2" s="698"/>
      <c r="E2" s="698"/>
      <c r="F2" s="698"/>
      <c r="G2" s="698"/>
      <c r="H2" s="698"/>
      <c r="I2" s="698"/>
      <c r="J2" s="698"/>
      <c r="K2" s="698"/>
      <c r="L2" s="698"/>
      <c r="M2" s="698"/>
      <c r="N2" s="698"/>
      <c r="O2" s="698"/>
      <c r="P2" s="698"/>
      <c r="Q2" s="698"/>
      <c r="R2" s="698"/>
      <c r="S2" s="698"/>
      <c r="T2" s="698"/>
      <c r="U2" s="698"/>
      <c r="V2" s="698"/>
      <c r="W2" s="698"/>
      <c r="X2" s="698"/>
      <c r="Y2" s="698"/>
    </row>
    <row r="3" spans="1:27">
      <c r="A3" s="697" t="s">
        <v>1644</v>
      </c>
      <c r="B3" s="697"/>
      <c r="C3" s="698"/>
      <c r="D3" s="698"/>
      <c r="E3" s="698"/>
      <c r="F3" s="698"/>
      <c r="G3" s="698"/>
      <c r="H3" s="698"/>
      <c r="I3" s="698"/>
      <c r="J3" s="698"/>
      <c r="K3" s="698"/>
      <c r="L3" s="698"/>
      <c r="M3" s="698"/>
      <c r="N3" s="698"/>
      <c r="O3" s="698"/>
      <c r="P3" s="698"/>
      <c r="Q3" s="698"/>
      <c r="R3" s="698"/>
      <c r="S3" s="698"/>
      <c r="T3" s="698"/>
      <c r="U3" s="698"/>
      <c r="V3" s="698"/>
      <c r="W3" s="698"/>
      <c r="X3" s="698"/>
      <c r="Y3" s="698"/>
    </row>
    <row r="4" spans="1:27" ht="15.6">
      <c r="A4" s="698"/>
      <c r="B4" s="698"/>
      <c r="C4" s="701"/>
      <c r="D4" s="698"/>
      <c r="E4" s="698"/>
      <c r="F4" s="698"/>
      <c r="G4" s="698"/>
      <c r="H4" s="698"/>
      <c r="I4" s="698"/>
      <c r="J4" s="698"/>
      <c r="K4" s="698"/>
      <c r="L4" s="698"/>
      <c r="M4" s="698"/>
      <c r="N4" s="698"/>
      <c r="O4" s="698"/>
      <c r="P4" s="698"/>
      <c r="Q4" s="698"/>
      <c r="R4" s="698"/>
      <c r="S4" s="698"/>
      <c r="T4" s="698"/>
      <c r="U4" s="698"/>
      <c r="V4" s="698"/>
      <c r="W4" s="698"/>
      <c r="X4" s="698"/>
      <c r="Y4" s="698"/>
    </row>
    <row r="5" spans="1:27">
      <c r="A5" s="698"/>
      <c r="B5" s="698"/>
      <c r="C5" s="698"/>
      <c r="D5" s="698"/>
      <c r="E5" s="698"/>
      <c r="F5" s="698"/>
      <c r="G5" s="698"/>
      <c r="H5" s="698"/>
      <c r="I5" s="698"/>
      <c r="J5" s="698"/>
      <c r="K5" s="698"/>
      <c r="L5" s="698"/>
      <c r="M5" s="698"/>
      <c r="N5" s="698"/>
      <c r="O5" s="698"/>
      <c r="P5" s="698"/>
      <c r="Q5" s="698"/>
      <c r="R5" s="698"/>
      <c r="S5" s="698"/>
      <c r="T5" s="698"/>
      <c r="U5" s="698"/>
      <c r="V5" s="698"/>
      <c r="W5" s="698"/>
      <c r="X5" s="698"/>
      <c r="Y5" s="698"/>
    </row>
    <row r="6" spans="1:27">
      <c r="A6" s="698"/>
      <c r="B6" s="698"/>
      <c r="C6" s="698"/>
      <c r="D6" s="698"/>
      <c r="E6" s="698"/>
      <c r="F6" s="698"/>
      <c r="G6" s="698"/>
      <c r="H6" s="698"/>
      <c r="I6" s="698"/>
      <c r="J6" s="698"/>
      <c r="K6" s="698"/>
      <c r="L6" s="698"/>
      <c r="M6" s="698"/>
      <c r="N6" s="698"/>
      <c r="O6" s="698"/>
      <c r="P6" s="698"/>
      <c r="Q6" s="698"/>
      <c r="R6" s="698"/>
      <c r="S6" s="698"/>
      <c r="T6" s="698"/>
      <c r="U6" s="698"/>
      <c r="V6" s="698"/>
      <c r="W6" s="698"/>
      <c r="X6" s="698"/>
      <c r="Y6" s="698"/>
    </row>
    <row r="7" spans="1:27">
      <c r="A7" s="698"/>
      <c r="B7" s="698"/>
      <c r="C7" s="698"/>
      <c r="D7" s="698"/>
      <c r="E7" s="698"/>
      <c r="F7" s="698"/>
      <c r="G7" s="698"/>
      <c r="H7" s="698"/>
      <c r="I7" s="698"/>
      <c r="J7" s="698"/>
      <c r="K7" s="698"/>
      <c r="L7" s="698"/>
      <c r="M7" s="698"/>
      <c r="N7" s="698"/>
      <c r="O7" s="698"/>
      <c r="P7" s="698"/>
      <c r="Q7" s="698"/>
      <c r="R7" s="698"/>
      <c r="S7" s="698"/>
      <c r="T7" s="698"/>
      <c r="U7" s="698"/>
      <c r="V7" s="698"/>
      <c r="W7" s="698"/>
      <c r="X7" s="698"/>
      <c r="Y7" s="698"/>
    </row>
    <row r="8" spans="1:27" ht="15.6">
      <c r="A8" s="702"/>
      <c r="B8" s="702"/>
      <c r="C8" s="702"/>
      <c r="D8" s="702"/>
      <c r="E8" s="702"/>
      <c r="F8" s="702"/>
      <c r="G8" s="702"/>
      <c r="H8" s="702"/>
      <c r="I8" s="702"/>
      <c r="J8" s="702"/>
      <c r="K8" s="702"/>
      <c r="L8" s="702"/>
      <c r="M8" s="702"/>
      <c r="N8" s="702"/>
      <c r="O8" s="702"/>
      <c r="P8" s="702"/>
      <c r="Q8" s="702"/>
      <c r="R8" s="702"/>
      <c r="S8" s="702"/>
      <c r="T8" s="702"/>
      <c r="U8" s="702"/>
      <c r="V8" s="702"/>
      <c r="W8" s="702"/>
      <c r="X8" s="702"/>
      <c r="Y8" s="702"/>
      <c r="Z8" s="701"/>
      <c r="AA8" s="701"/>
    </row>
    <row r="9" spans="1:27" s="713" customFormat="1" ht="21.75" customHeight="1">
      <c r="A9" s="703"/>
      <c r="B9" s="703"/>
      <c r="C9" s="704"/>
      <c r="D9" s="705"/>
      <c r="E9" s="1692" t="s">
        <v>131</v>
      </c>
      <c r="F9" s="1692"/>
      <c r="G9" s="1692"/>
      <c r="H9" s="1692"/>
      <c r="I9" s="1692"/>
      <c r="J9" s="1692"/>
      <c r="K9" s="1692"/>
      <c r="L9" s="1692"/>
      <c r="M9" s="1692"/>
      <c r="N9" s="1692"/>
      <c r="O9" s="1692"/>
      <c r="P9" s="706"/>
      <c r="Q9" s="1690" t="s">
        <v>132</v>
      </c>
      <c r="R9" s="707" t="s">
        <v>133</v>
      </c>
      <c r="S9" s="708"/>
      <c r="T9" s="709" t="s">
        <v>134</v>
      </c>
      <c r="U9" s="710"/>
      <c r="V9" s="707" t="s">
        <v>135</v>
      </c>
      <c r="W9" s="711"/>
      <c r="X9" s="711"/>
      <c r="Y9" s="708"/>
      <c r="Z9" s="712"/>
      <c r="AA9" s="712"/>
    </row>
    <row r="10" spans="1:27" s="713" customFormat="1" ht="19.5" customHeight="1">
      <c r="A10" s="714" t="s">
        <v>136</v>
      </c>
      <c r="B10" s="1048" t="s">
        <v>1231</v>
      </c>
      <c r="C10" s="715"/>
      <c r="D10" s="716" t="s">
        <v>137</v>
      </c>
      <c r="E10" s="717" t="s">
        <v>138</v>
      </c>
      <c r="F10" s="718"/>
      <c r="G10" s="718"/>
      <c r="H10" s="718"/>
      <c r="I10" s="718"/>
      <c r="J10" s="718"/>
      <c r="K10" s="719"/>
      <c r="L10" s="720" t="s">
        <v>139</v>
      </c>
      <c r="M10" s="720"/>
      <c r="N10" s="720"/>
      <c r="O10" s="720"/>
      <c r="P10" s="716" t="s">
        <v>137</v>
      </c>
      <c r="Q10" s="1691"/>
      <c r="R10" s="721"/>
      <c r="S10" s="722"/>
      <c r="T10" s="723"/>
      <c r="U10" s="723"/>
      <c r="V10" s="724"/>
      <c r="W10" s="725"/>
      <c r="X10" s="725"/>
      <c r="Y10" s="726"/>
      <c r="Z10" s="712"/>
      <c r="AA10" s="712"/>
    </row>
    <row r="11" spans="1:27" s="713" customFormat="1" ht="36" customHeight="1">
      <c r="A11" s="714" t="s">
        <v>140</v>
      </c>
      <c r="B11" s="1048" t="s">
        <v>1232</v>
      </c>
      <c r="C11" s="727" t="s">
        <v>141</v>
      </c>
      <c r="D11" s="727" t="s">
        <v>142</v>
      </c>
      <c r="E11" s="728" t="s">
        <v>1022</v>
      </c>
      <c r="F11" s="729" t="s">
        <v>1020</v>
      </c>
      <c r="G11" s="729" t="s">
        <v>143</v>
      </c>
      <c r="H11" s="730" t="s">
        <v>144</v>
      </c>
      <c r="I11" s="730" t="s">
        <v>145</v>
      </c>
      <c r="J11" s="731" t="s">
        <v>220</v>
      </c>
      <c r="K11" s="729" t="s">
        <v>517</v>
      </c>
      <c r="L11" s="732" t="s">
        <v>146</v>
      </c>
      <c r="M11" s="730" t="s">
        <v>147</v>
      </c>
      <c r="N11" s="733" t="s">
        <v>148</v>
      </c>
      <c r="O11" s="729" t="s">
        <v>517</v>
      </c>
      <c r="P11" s="727" t="s">
        <v>149</v>
      </c>
      <c r="Q11" s="734" t="s">
        <v>150</v>
      </c>
      <c r="R11" s="735" t="s">
        <v>151</v>
      </c>
      <c r="S11" s="729" t="s">
        <v>152</v>
      </c>
      <c r="T11" s="729" t="s">
        <v>517</v>
      </c>
      <c r="U11" s="736" t="s">
        <v>153</v>
      </c>
      <c r="V11" s="730" t="s">
        <v>154</v>
      </c>
      <c r="W11" s="730" t="s">
        <v>155</v>
      </c>
      <c r="X11" s="737" t="s">
        <v>156</v>
      </c>
      <c r="Y11" s="738" t="s">
        <v>157</v>
      </c>
      <c r="Z11" s="712"/>
      <c r="AA11" s="712"/>
    </row>
    <row r="12" spans="1:27" ht="23.25" customHeight="1">
      <c r="A12" s="739" t="s">
        <v>625</v>
      </c>
      <c r="B12" s="1050"/>
      <c r="C12" s="740">
        <f t="shared" ref="C12:J12" si="0">SUM(C13:C27)</f>
        <v>817</v>
      </c>
      <c r="D12" s="740">
        <f t="shared" si="0"/>
        <v>475</v>
      </c>
      <c r="E12" s="740">
        <f t="shared" si="0"/>
        <v>12299</v>
      </c>
      <c r="F12" s="740">
        <f t="shared" si="0"/>
        <v>10</v>
      </c>
      <c r="G12" s="740">
        <f t="shared" si="0"/>
        <v>2859</v>
      </c>
      <c r="H12" s="740">
        <f t="shared" si="0"/>
        <v>206</v>
      </c>
      <c r="I12" s="740">
        <f t="shared" si="0"/>
        <v>1368</v>
      </c>
      <c r="J12" s="740">
        <f t="shared" si="0"/>
        <v>3915</v>
      </c>
      <c r="K12" s="740">
        <f>SUM(K13:K27)-J12</f>
        <v>16742</v>
      </c>
      <c r="L12" s="740">
        <f>SUM(L13:L27)</f>
        <v>16531</v>
      </c>
      <c r="M12" s="740">
        <f>SUM(M13:M27)</f>
        <v>3381</v>
      </c>
      <c r="N12" s="740">
        <f>SUM(N13:N27)</f>
        <v>799</v>
      </c>
      <c r="O12" s="741">
        <f>L12+N12</f>
        <v>17330</v>
      </c>
      <c r="P12" s="740">
        <f t="shared" ref="P12:U12" si="1">SUM(P13:P27)</f>
        <v>421</v>
      </c>
      <c r="Q12" s="740">
        <f t="shared" si="1"/>
        <v>728</v>
      </c>
      <c r="R12" s="740">
        <f t="shared" si="1"/>
        <v>263129</v>
      </c>
      <c r="S12" s="740">
        <f t="shared" si="1"/>
        <v>196957</v>
      </c>
      <c r="T12" s="740">
        <f t="shared" si="1"/>
        <v>169239</v>
      </c>
      <c r="U12" s="740">
        <f t="shared" si="1"/>
        <v>163390</v>
      </c>
      <c r="V12" s="742">
        <f>S12/R12*100</f>
        <v>74.851878736285244</v>
      </c>
      <c r="W12" s="743">
        <f>+T12/O12</f>
        <v>9.7656664743219856</v>
      </c>
      <c r="X12" s="744">
        <f>+O12/(R12/30.4)</f>
        <v>2.0021814395220594</v>
      </c>
      <c r="Y12" s="745">
        <f>(+R12-S12)/O12</f>
        <v>3.8183496826312751</v>
      </c>
      <c r="Z12" s="701"/>
      <c r="AA12" s="701"/>
    </row>
    <row r="13" spans="1:27" ht="23.25" customHeight="1">
      <c r="A13" s="1043" t="s">
        <v>1348</v>
      </c>
      <c r="B13" s="714">
        <v>401</v>
      </c>
      <c r="C13" s="747">
        <f>+'76'!C13+'78'!C13+'80'!C13+'81'!C13+'82'!C13</f>
        <v>64</v>
      </c>
      <c r="D13" s="748">
        <f>+'76'!D13+'78'!D13+'80'!D13+'81'!D13+'82'!D13</f>
        <v>28</v>
      </c>
      <c r="E13" s="749">
        <f>+'76'!E13+'78'!E13+'80'!E13+'81'!E13+'82'!E13</f>
        <v>1589</v>
      </c>
      <c r="F13" s="749">
        <f>+'76'!F13+'78'!F13+'80'!F13+'81'!F13+'82'!F13</f>
        <v>0</v>
      </c>
      <c r="G13" s="749">
        <f>+'76'!G13+'78'!G13+'80'!G13+'81'!G13+'82'!G13</f>
        <v>0</v>
      </c>
      <c r="H13" s="749">
        <f>+'76'!H13+'78'!H13+'80'!H13+'81'!H13+'82'!H13</f>
        <v>0</v>
      </c>
      <c r="I13" s="749">
        <f>+'76'!I13+'78'!I13+'80'!I13+'81'!I13+'82'!I13</f>
        <v>0</v>
      </c>
      <c r="J13" s="748">
        <f>+'76'!J13+'78'!J13+'80'!J13+'81'!J13+'82'!J13</f>
        <v>0</v>
      </c>
      <c r="K13" s="741">
        <f>SUM(E13:J13)</f>
        <v>1589</v>
      </c>
      <c r="L13" s="748">
        <f>+'76'!L13+'78'!L13+'80'!L13+'81'!L13+'82'!L13</f>
        <v>1437</v>
      </c>
      <c r="M13" s="748">
        <f>+'76'!M13+'78'!M13+'80'!M13+'81'!M13+'82'!M13</f>
        <v>0</v>
      </c>
      <c r="N13" s="748">
        <f>+'76'!N13+'78'!N13+'80'!N13+'81'!N13+'82'!N13</f>
        <v>140</v>
      </c>
      <c r="O13" s="741">
        <f>SUM(L13:N13)</f>
        <v>1577</v>
      </c>
      <c r="P13" s="750">
        <f>SUM(D13,K13)-O13</f>
        <v>40</v>
      </c>
      <c r="Q13" s="748">
        <f>+'76'!Q13+'78'!Q13+'80'!Q13+'81'!Q13+'82'!Q13</f>
        <v>84</v>
      </c>
      <c r="R13" s="748">
        <f>+'76'!R13+'78'!R13+'80'!R13+'81'!R13+'82'!R13</f>
        <v>22453</v>
      </c>
      <c r="S13" s="748">
        <f>+'76'!S13+'78'!S13+'80'!S13+'81'!S13+'82'!S13</f>
        <v>13028</v>
      </c>
      <c r="T13" s="748">
        <f>+'76'!T13+'78'!T13+'80'!T13+'81'!T13+'82'!T13</f>
        <v>11262</v>
      </c>
      <c r="U13" s="749">
        <f>+'76'!U13+'78'!U13+'80'!U13+'81'!U13+'82'!U13</f>
        <v>11242</v>
      </c>
      <c r="V13" s="742">
        <f>S13/R13*100</f>
        <v>58.023426713579475</v>
      </c>
      <c r="W13" s="743">
        <f>+T13/O13</f>
        <v>7.1414077362079897</v>
      </c>
      <c r="X13" s="744">
        <f>+O13/(R13/30.4)</f>
        <v>2.1351623391083598</v>
      </c>
      <c r="Y13" s="745">
        <f>(+R13-S13)/O13</f>
        <v>5.9765377298668358</v>
      </c>
      <c r="Z13" s="701"/>
      <c r="AA13" s="701"/>
    </row>
    <row r="14" spans="1:27" ht="23.25" customHeight="1">
      <c r="A14" s="1043" t="s">
        <v>1233</v>
      </c>
      <c r="B14" s="714">
        <v>403</v>
      </c>
      <c r="C14" s="747">
        <f>+'76'!C14+'78'!C14+'80'!C14+'81'!C14+'82'!C14</f>
        <v>203</v>
      </c>
      <c r="D14" s="748">
        <f>+'76'!D14+'78'!D14+'80'!D14+'81'!D14+'82'!D14</f>
        <v>119</v>
      </c>
      <c r="E14" s="749">
        <f>+'76'!E14+'78'!E14+'80'!E14+'81'!E14+'82'!E14</f>
        <v>5541</v>
      </c>
      <c r="F14" s="749">
        <f>+'76'!F14+'78'!F14+'80'!F14+'81'!F14+'82'!F14</f>
        <v>2</v>
      </c>
      <c r="G14" s="749">
        <f>+'76'!G14+'78'!G14+'80'!G14+'81'!G14+'82'!G14</f>
        <v>1413</v>
      </c>
      <c r="H14" s="749">
        <f>+'76'!H14+'78'!H14+'80'!H14+'81'!H14+'82'!H14</f>
        <v>37</v>
      </c>
      <c r="I14" s="749">
        <f>+'76'!I14+'78'!I14+'80'!I14+'81'!I14+'82'!I14</f>
        <v>50</v>
      </c>
      <c r="J14" s="748">
        <f>+'76'!J14+'78'!J14+'80'!J14+'81'!J14+'82'!J14</f>
        <v>1357</v>
      </c>
      <c r="K14" s="741">
        <f>SUM(E14:J14)</f>
        <v>8400</v>
      </c>
      <c r="L14" s="748">
        <f>+'76'!L14+'78'!L14+'80'!L14+'81'!L14+'82'!L14</f>
        <v>7085</v>
      </c>
      <c r="M14" s="748">
        <f>+'76'!M14+'78'!M14+'80'!M14+'81'!M14+'82'!M14</f>
        <v>977</v>
      </c>
      <c r="N14" s="748">
        <f>+'76'!N14+'78'!N14+'80'!N14+'81'!N14+'82'!N14</f>
        <v>390</v>
      </c>
      <c r="O14" s="741">
        <f>SUM(L14:N14)</f>
        <v>8452</v>
      </c>
      <c r="P14" s="750">
        <f>SUM(D14,K14)-O14</f>
        <v>67</v>
      </c>
      <c r="Q14" s="748">
        <f>+'76'!Q14+'78'!Q14+'80'!Q14+'81'!Q14+'82'!Q14</f>
        <v>192</v>
      </c>
      <c r="R14" s="748">
        <f>+'76'!R14+'78'!R14+'80'!R14+'81'!R14+'82'!R14</f>
        <v>72608</v>
      </c>
      <c r="S14" s="748">
        <f>+'76'!S14+'78'!S14+'80'!S14+'81'!S14+'82'!S14</f>
        <v>51906</v>
      </c>
      <c r="T14" s="748">
        <f>+'76'!T14+'78'!T14+'80'!T14+'81'!T14+'82'!T14</f>
        <v>50224</v>
      </c>
      <c r="U14" s="749">
        <f>+'76'!U14+'78'!U14+'80'!U14+'81'!U14+'82'!U14</f>
        <v>48603</v>
      </c>
      <c r="V14" s="742">
        <f>S14/R14*100</f>
        <v>71.48799030409873</v>
      </c>
      <c r="W14" s="743">
        <f>+T14/O14</f>
        <v>5.9422621864647418</v>
      </c>
      <c r="X14" s="744">
        <f>+O14/(R14/30.4)</f>
        <v>3.5387395328338473</v>
      </c>
      <c r="Y14" s="745">
        <f>(+R14-S14)/O14</f>
        <v>2.4493610979649789</v>
      </c>
      <c r="Z14" s="701"/>
      <c r="AA14" s="701"/>
    </row>
    <row r="15" spans="1:27" ht="23.25" customHeight="1">
      <c r="A15" s="1043" t="s">
        <v>1234</v>
      </c>
      <c r="B15" s="714">
        <v>404</v>
      </c>
      <c r="C15" s="747">
        <f>+'76'!C15+'78'!C15+'80'!C15+'81'!C15+'82'!C15</f>
        <v>12</v>
      </c>
      <c r="D15" s="748">
        <f>+'76'!D15+'78'!D15+'80'!D15+'81'!D15+'82'!D15</f>
        <v>33</v>
      </c>
      <c r="E15" s="749">
        <f>+'76'!E15+'78'!E15+'80'!E15+'81'!E15+'82'!E15</f>
        <v>851</v>
      </c>
      <c r="F15" s="749">
        <f>+'76'!F15+'78'!F15+'80'!F15+'81'!F15+'82'!F15</f>
        <v>0</v>
      </c>
      <c r="G15" s="749">
        <f>+'76'!G15+'78'!G15+'80'!G15+'81'!G15+'82'!G15</f>
        <v>277</v>
      </c>
      <c r="H15" s="749">
        <f>+'76'!H15+'78'!H15+'80'!H15+'81'!H15+'82'!H15</f>
        <v>2</v>
      </c>
      <c r="I15" s="749">
        <f>+'76'!I15+'78'!I15+'80'!I15+'81'!I15+'82'!I15</f>
        <v>19</v>
      </c>
      <c r="J15" s="748">
        <f>+'76'!J15+'78'!J15+'80'!J15+'81'!J15+'82'!J15</f>
        <v>242</v>
      </c>
      <c r="K15" s="741">
        <f>SUM(E15:J15)</f>
        <v>1391</v>
      </c>
      <c r="L15" s="748">
        <f>+'76'!L15+'78'!L15+'80'!L15+'81'!L15+'82'!L15</f>
        <v>1122</v>
      </c>
      <c r="M15" s="748">
        <f>+'76'!M15+'78'!M15+'80'!M15+'81'!M15+'82'!M15</f>
        <v>205</v>
      </c>
      <c r="N15" s="748">
        <f>+'76'!N15+'78'!N15+'80'!N15+'81'!N15+'82'!N15</f>
        <v>47</v>
      </c>
      <c r="O15" s="741">
        <f>SUM(L15:N15)</f>
        <v>1374</v>
      </c>
      <c r="P15" s="750">
        <f>SUM(D15,K15)-O15</f>
        <v>50</v>
      </c>
      <c r="Q15" s="748">
        <f>+'76'!Q15+'78'!Q15+'80'!Q15+'81'!Q15+'82'!Q15</f>
        <v>37</v>
      </c>
      <c r="R15" s="748">
        <f>+'76'!R15+'78'!R15+'80'!R15+'81'!R15+'82'!R15</f>
        <v>8663</v>
      </c>
      <c r="S15" s="748">
        <f>+'76'!S15+'78'!S15+'80'!S15+'81'!S15+'82'!S15</f>
        <v>6574</v>
      </c>
      <c r="T15" s="748">
        <f>+'76'!T15+'78'!T15+'80'!T15+'81'!T15+'82'!T15</f>
        <v>8308</v>
      </c>
      <c r="U15" s="749">
        <f>+'76'!U15+'78'!U15+'80'!U15+'81'!U15+'82'!U15</f>
        <v>7876</v>
      </c>
      <c r="V15" s="742">
        <f>S15/R15*100</f>
        <v>75.885951748816808</v>
      </c>
      <c r="W15" s="743">
        <f>+T15/O15</f>
        <v>6.0465793304221256</v>
      </c>
      <c r="X15" s="744">
        <f>+O15/(R15/30.4)</f>
        <v>4.8216091423294465</v>
      </c>
      <c r="Y15" s="745">
        <f>(+R15-S15)/O15</f>
        <v>1.5203784570596797</v>
      </c>
      <c r="Z15" s="701"/>
      <c r="AA15" s="701"/>
    </row>
    <row r="16" spans="1:27" ht="23.25" customHeight="1">
      <c r="A16" s="746" t="s">
        <v>158</v>
      </c>
      <c r="B16" s="714">
        <v>416</v>
      </c>
      <c r="C16" s="747">
        <f>+'76'!C16+'78'!C16+'80'!C16+'81'!C16+'82'!C16</f>
        <v>58</v>
      </c>
      <c r="D16" s="748">
        <f>+'76'!D16+'78'!D16+'80'!D16+'81'!D16+'82'!D16</f>
        <v>26</v>
      </c>
      <c r="E16" s="751">
        <f>+'76'!E16+'78'!E16+'80'!E16+'81'!E16+'82'!E16</f>
        <v>2252</v>
      </c>
      <c r="F16" s="751">
        <f>+'76'!F16+'78'!F16+'80'!F16+'81'!F16+'82'!F16</f>
        <v>0</v>
      </c>
      <c r="G16" s="751">
        <f>+'76'!G16+'78'!G16+'80'!G16+'81'!G16+'82'!G16</f>
        <v>693</v>
      </c>
      <c r="H16" s="751">
        <f>+'76'!H16+'78'!H16+'80'!H16+'81'!H16+'82'!H16</f>
        <v>0</v>
      </c>
      <c r="I16" s="751">
        <f>+'76'!I16+'78'!I16+'80'!I16+'81'!I16+'82'!I16</f>
        <v>115</v>
      </c>
      <c r="J16" s="748">
        <f>+'76'!J16+'78'!J16+'80'!J16+'81'!J16+'82'!J16</f>
        <v>654</v>
      </c>
      <c r="K16" s="741">
        <f t="shared" ref="K16:K27" si="2">SUM(E16:J16)</f>
        <v>3714</v>
      </c>
      <c r="L16" s="748">
        <f>+'76'!L16+'78'!L16+'80'!L16+'81'!L16+'82'!L16</f>
        <v>3612</v>
      </c>
      <c r="M16" s="748">
        <f>+'76'!M16+'78'!M16+'80'!M16+'81'!M16+'82'!M16</f>
        <v>110</v>
      </c>
      <c r="N16" s="748">
        <f>+'76'!N16+'78'!N16+'80'!N16+'81'!N16+'82'!N16</f>
        <v>0</v>
      </c>
      <c r="O16" s="741">
        <f t="shared" ref="O16:O27" si="3">SUM(L16:N16)</f>
        <v>3722</v>
      </c>
      <c r="P16" s="750">
        <f t="shared" ref="P16:P27" si="4">SUM(D16,K16)-O16</f>
        <v>18</v>
      </c>
      <c r="Q16" s="748">
        <f>+'76'!Q16+'78'!Q16+'80'!Q16+'81'!Q16+'82'!Q16</f>
        <v>67</v>
      </c>
      <c r="R16" s="748">
        <f>+'76'!R16+'78'!R16+'80'!R16+'81'!R16+'82'!R16</f>
        <v>20842</v>
      </c>
      <c r="S16" s="748">
        <f>+'76'!S16+'78'!S16+'80'!S16+'81'!S16+'82'!S16</f>
        <v>11667</v>
      </c>
      <c r="T16" s="748">
        <f>+'76'!T16+'78'!T16+'80'!T16+'81'!T16+'82'!T16</f>
        <v>11766</v>
      </c>
      <c r="U16" s="748">
        <f>+'76'!U16+'78'!U16+'80'!U16+'81'!U16+'82'!U16</f>
        <v>11299</v>
      </c>
      <c r="V16" s="742">
        <f t="shared" ref="V16:V26" si="5">S16/R16*100</f>
        <v>55.978313021782931</v>
      </c>
      <c r="W16" s="743">
        <f t="shared" ref="W16:W26" si="6">+T16/O16</f>
        <v>3.1612036539494897</v>
      </c>
      <c r="X16" s="744">
        <f t="shared" ref="X16:X26" si="7">+O16/(R16/30.4)</f>
        <v>5.4288839842625469</v>
      </c>
      <c r="Y16" s="745">
        <f t="shared" ref="Y16:Y26" si="8">(+R16-S16)/O16</f>
        <v>2.4650725416442771</v>
      </c>
      <c r="Z16" s="701"/>
      <c r="AA16" s="701"/>
    </row>
    <row r="17" spans="1:27" ht="23.25" customHeight="1">
      <c r="A17" s="1043" t="s">
        <v>1235</v>
      </c>
      <c r="B17" s="714">
        <v>407</v>
      </c>
      <c r="C17" s="747">
        <f>+'76'!C17+'78'!C17+'80'!C17+'81'!C17+'82'!C17</f>
        <v>23</v>
      </c>
      <c r="D17" s="748">
        <f>+'76'!D17+'78'!D17+'80'!D17+'81'!D17+'82'!D17</f>
        <v>3</v>
      </c>
      <c r="E17" s="749">
        <f>+'76'!E17+'78'!E17+'80'!E17+'81'!E17+'82'!E17</f>
        <v>436</v>
      </c>
      <c r="F17" s="749">
        <f>+'76'!F17+'78'!F17+'80'!F17+'81'!F17+'82'!F17</f>
        <v>8</v>
      </c>
      <c r="G17" s="749">
        <f>+'76'!G17+'78'!G17+'80'!G17+'81'!G17+'82'!G17</f>
        <v>74</v>
      </c>
      <c r="H17" s="749">
        <f>+'76'!H17+'78'!H17+'80'!H17+'81'!H17+'82'!H17</f>
        <v>0</v>
      </c>
      <c r="I17" s="749">
        <f>+'76'!I17+'78'!I17+'80'!I17+'81'!I17+'82'!I17</f>
        <v>6</v>
      </c>
      <c r="J17" s="748">
        <f>+'76'!J17+'78'!J17+'80'!J17+'81'!J17+'82'!J17</f>
        <v>103</v>
      </c>
      <c r="K17" s="741">
        <f t="shared" si="2"/>
        <v>627</v>
      </c>
      <c r="L17" s="748">
        <f>+'76'!L17+'78'!L17+'80'!L17+'81'!L17+'82'!L17</f>
        <v>441</v>
      </c>
      <c r="M17" s="748">
        <f>+'76'!M17+'78'!M17+'80'!M17+'81'!M17+'82'!M17</f>
        <v>171</v>
      </c>
      <c r="N17" s="748">
        <f>+'76'!N17+'78'!N17+'80'!N17+'81'!N17+'82'!N17</f>
        <v>13</v>
      </c>
      <c r="O17" s="741">
        <f t="shared" si="3"/>
        <v>625</v>
      </c>
      <c r="P17" s="750">
        <f t="shared" si="4"/>
        <v>5</v>
      </c>
      <c r="Q17" s="748">
        <f>+'76'!Q17+'78'!Q17+'80'!Q17+'81'!Q17+'82'!Q17</f>
        <v>56</v>
      </c>
      <c r="R17" s="748">
        <f>+'76'!R17+'78'!R17+'80'!R17+'81'!R17+'82'!R17</f>
        <v>5841</v>
      </c>
      <c r="S17" s="748">
        <f>+'76'!S17+'78'!S17+'80'!S17+'81'!S17+'82'!S17</f>
        <v>1865</v>
      </c>
      <c r="T17" s="748">
        <f>+'76'!T17+'78'!T17+'80'!T17+'81'!T17+'82'!T17</f>
        <v>2583</v>
      </c>
      <c r="U17" s="748">
        <f>+'76'!U17+'78'!U17+'80'!U17+'81'!U17+'82'!U17</f>
        <v>2502</v>
      </c>
      <c r="V17" s="742">
        <f t="shared" si="5"/>
        <v>31.929464132853962</v>
      </c>
      <c r="W17" s="743">
        <f t="shared" si="6"/>
        <v>4.1327999999999996</v>
      </c>
      <c r="X17" s="744">
        <f t="shared" si="7"/>
        <v>3.2528676596473205</v>
      </c>
      <c r="Y17" s="745">
        <f t="shared" si="8"/>
        <v>6.3616000000000001</v>
      </c>
      <c r="Z17" s="701"/>
      <c r="AA17" s="701"/>
    </row>
    <row r="18" spans="1:27" ht="23.25" customHeight="1">
      <c r="A18" s="1043" t="s">
        <v>1236</v>
      </c>
      <c r="B18" s="714">
        <v>409</v>
      </c>
      <c r="C18" s="747">
        <f>+'76'!C18+'78'!C18+'80'!C18+'81'!C18+'82'!C18</f>
        <v>23</v>
      </c>
      <c r="D18" s="748">
        <f>+'76'!D18+'78'!D18+'80'!D18+'81'!D18+'82'!D18</f>
        <v>11</v>
      </c>
      <c r="E18" s="749">
        <f>+'76'!E18+'78'!E18+'80'!E18+'81'!E18+'82'!E18</f>
        <v>581</v>
      </c>
      <c r="F18" s="749">
        <f>+'76'!F18+'78'!F18+'80'!F18+'81'!F18+'82'!F18</f>
        <v>0</v>
      </c>
      <c r="G18" s="749">
        <f>+'76'!G18+'78'!G18+'80'!G18+'81'!G18+'82'!G18</f>
        <v>216</v>
      </c>
      <c r="H18" s="749">
        <f>+'76'!H18+'78'!H18+'80'!H18+'81'!H18+'82'!H18</f>
        <v>19</v>
      </c>
      <c r="I18" s="749">
        <f>+'76'!I18+'78'!I18+'80'!I18+'81'!I18+'82'!I18</f>
        <v>5</v>
      </c>
      <c r="J18" s="748">
        <f>+'76'!J18+'78'!J18+'80'!J18+'81'!J18+'82'!J18</f>
        <v>175</v>
      </c>
      <c r="K18" s="741">
        <f t="shared" ref="K18" si="9">SUM(E18:J18)</f>
        <v>996</v>
      </c>
      <c r="L18" s="748">
        <f>+'76'!L18+'78'!L18+'80'!L18+'81'!L18+'82'!L18</f>
        <v>877</v>
      </c>
      <c r="M18" s="748">
        <f>+'76'!M18+'78'!M18+'80'!M18+'81'!M18+'82'!M18</f>
        <v>118</v>
      </c>
      <c r="N18" s="748">
        <f>+'76'!N18+'78'!N18+'80'!N18+'81'!N18+'82'!N18</f>
        <v>1</v>
      </c>
      <c r="O18" s="741">
        <f t="shared" ref="O18" si="10">SUM(L18:N18)</f>
        <v>996</v>
      </c>
      <c r="P18" s="750">
        <f t="shared" ref="P18" si="11">SUM(D18,K18)-O18</f>
        <v>11</v>
      </c>
      <c r="Q18" s="748">
        <f>+'76'!Q18+'78'!Q18+'80'!Q18+'81'!Q18+'82'!Q18</f>
        <v>183</v>
      </c>
      <c r="R18" s="748">
        <f>+'76'!R18+'78'!R18+'80'!R18+'81'!R18+'82'!R18</f>
        <v>7458</v>
      </c>
      <c r="S18" s="748">
        <f>+'76'!S18+'78'!S18+'80'!S18+'81'!S18+'82'!S18</f>
        <v>3290</v>
      </c>
      <c r="T18" s="748">
        <f>+'76'!T18+'78'!T18+'80'!T18+'81'!T18+'82'!T18</f>
        <v>3240</v>
      </c>
      <c r="U18" s="748">
        <f>+'76'!U18+'78'!U18+'80'!U18+'81'!U18+'82'!U18</f>
        <v>3179</v>
      </c>
      <c r="V18" s="742">
        <f t="shared" ref="V18" si="12">S18/R18*100</f>
        <v>44.113703405738804</v>
      </c>
      <c r="W18" s="743">
        <f t="shared" ref="W18" si="13">+T18/O18</f>
        <v>3.2530120481927711</v>
      </c>
      <c r="X18" s="744">
        <f t="shared" ref="X18" si="14">+O18/(R18/30.4)</f>
        <v>4.0598551890587284</v>
      </c>
      <c r="Y18" s="745">
        <f t="shared" ref="Y18" si="15">(+R18-S18)/O18</f>
        <v>4.1847389558232928</v>
      </c>
      <c r="Z18" s="701"/>
      <c r="AA18" s="701"/>
    </row>
    <row r="19" spans="1:27" ht="23.25" customHeight="1">
      <c r="A19" s="746" t="s">
        <v>159</v>
      </c>
      <c r="B19" s="714">
        <v>413</v>
      </c>
      <c r="C19" s="747">
        <f>+'76'!C19+'78'!C19+'80'!C19+'81'!C19+'82'!C19</f>
        <v>16</v>
      </c>
      <c r="D19" s="748">
        <f>+'76'!D19+'78'!D19+'80'!D19+'81'!D19+'82'!D19</f>
        <v>3</v>
      </c>
      <c r="E19" s="749">
        <f>+'76'!E19+'78'!E19+'80'!E19+'81'!E19+'82'!E19</f>
        <v>119</v>
      </c>
      <c r="F19" s="749">
        <f>+'76'!F19+'78'!F19+'80'!F19+'81'!F19+'82'!F19</f>
        <v>0</v>
      </c>
      <c r="G19" s="749">
        <f>+'76'!G19+'78'!G19+'80'!G19+'81'!G19+'82'!G19</f>
        <v>77</v>
      </c>
      <c r="H19" s="749">
        <f>+'76'!H19+'78'!H19+'80'!H19+'81'!H19+'82'!H19</f>
        <v>4</v>
      </c>
      <c r="I19" s="749">
        <f>+'76'!I19+'78'!I19+'80'!I19+'81'!I19+'82'!I19</f>
        <v>72</v>
      </c>
      <c r="J19" s="748">
        <f>+'76'!J19+'78'!J19+'80'!J19+'81'!J19+'82'!J19</f>
        <v>182</v>
      </c>
      <c r="K19" s="741">
        <f t="shared" si="2"/>
        <v>454</v>
      </c>
      <c r="L19" s="748">
        <f>+'76'!L19+'78'!L19+'80'!L19+'81'!L19+'82'!L19</f>
        <v>374</v>
      </c>
      <c r="M19" s="748">
        <f>+'76'!M19+'78'!M19+'80'!M19+'81'!M19+'82'!M19</f>
        <v>77</v>
      </c>
      <c r="N19" s="748">
        <f>+'76'!N19+'78'!N19+'80'!N19+'81'!N19+'82'!N19</f>
        <v>2</v>
      </c>
      <c r="O19" s="741">
        <f t="shared" si="3"/>
        <v>453</v>
      </c>
      <c r="P19" s="750">
        <f t="shared" si="4"/>
        <v>4</v>
      </c>
      <c r="Q19" s="748">
        <f>+'76'!Q19+'78'!Q19+'80'!Q19+'81'!Q19+'82'!Q19</f>
        <v>18</v>
      </c>
      <c r="R19" s="748">
        <f>+'76'!R19+'78'!R19+'80'!R19+'81'!R19+'82'!R19</f>
        <v>4201</v>
      </c>
      <c r="S19" s="748">
        <f>+'76'!S19+'78'!S19+'80'!S19+'81'!S19+'82'!S19</f>
        <v>1937</v>
      </c>
      <c r="T19" s="748">
        <f>+'76'!T19+'78'!T19+'80'!T19+'81'!T19+'82'!T19</f>
        <v>1830</v>
      </c>
      <c r="U19" s="748">
        <f>+'76'!U19+'78'!U19+'80'!U19+'81'!U19+'82'!U19</f>
        <v>1723</v>
      </c>
      <c r="V19" s="742">
        <f t="shared" si="5"/>
        <v>46.108069507260176</v>
      </c>
      <c r="W19" s="743">
        <f t="shared" si="6"/>
        <v>4.0397350993377481</v>
      </c>
      <c r="X19" s="744">
        <f t="shared" si="7"/>
        <v>3.2780766484170432</v>
      </c>
      <c r="Y19" s="745">
        <f t="shared" si="8"/>
        <v>4.997792494481236</v>
      </c>
      <c r="Z19" s="701"/>
      <c r="AA19" s="701"/>
    </row>
    <row r="20" spans="1:27" ht="23.25" customHeight="1">
      <c r="A20" s="1043" t="s">
        <v>1425</v>
      </c>
      <c r="B20" s="714">
        <v>411</v>
      </c>
      <c r="C20" s="747">
        <f>+'76'!C20+'78'!C20+'80'!C20+'81'!C20+'82'!C20</f>
        <v>2</v>
      </c>
      <c r="D20" s="748">
        <v>0</v>
      </c>
      <c r="E20" s="749">
        <f>+'76'!E20+'78'!E20+'80'!E20+'81'!E20+'82'!E20</f>
        <v>16</v>
      </c>
      <c r="F20" s="749">
        <f>+'76'!F20+'78'!F20+'80'!F20+'81'!F20+'82'!F20</f>
        <v>0</v>
      </c>
      <c r="G20" s="749">
        <f>+'76'!G20+'78'!G20+'80'!G20+'81'!G20+'82'!G20</f>
        <v>4</v>
      </c>
      <c r="H20" s="749">
        <f>+'76'!H20+'78'!H20+'80'!H20+'81'!H20+'82'!H20</f>
        <v>7</v>
      </c>
      <c r="I20" s="749">
        <f>+'76'!I20+'78'!I20+'80'!I20+'81'!I20+'82'!I20</f>
        <v>1</v>
      </c>
      <c r="J20" s="748">
        <f>+'76'!J20+'78'!J20+'80'!J20+'81'!J20+'82'!J20</f>
        <v>11</v>
      </c>
      <c r="K20" s="741">
        <f t="shared" ref="K20" si="16">SUM(E20:J20)</f>
        <v>39</v>
      </c>
      <c r="L20" s="748">
        <f>+'76'!L20+'78'!L20+'80'!L20+'81'!L20+'82'!L20</f>
        <v>5</v>
      </c>
      <c r="M20" s="748">
        <f>+'76'!M20+'78'!M20+'80'!M20+'81'!M20+'82'!M20</f>
        <v>34</v>
      </c>
      <c r="N20" s="748">
        <f>+'76'!N20+'78'!N20+'80'!N20+'81'!N20+'82'!N20</f>
        <v>1</v>
      </c>
      <c r="O20" s="741">
        <f t="shared" ref="O20" si="17">SUM(L20:N20)</f>
        <v>40</v>
      </c>
      <c r="P20" s="750">
        <f t="shared" ref="P20" si="18">SUM(D20,K20)-O20</f>
        <v>-1</v>
      </c>
      <c r="Q20" s="748">
        <f>+'76'!Q20+'78'!Q20+'80'!Q20+'81'!Q20+'82'!Q20</f>
        <v>0</v>
      </c>
      <c r="R20" s="748">
        <f>+'76'!R20+'78'!R20+'80'!R20+'81'!R20+'82'!R20</f>
        <v>350</v>
      </c>
      <c r="S20" s="748">
        <f>+'76'!S20+'78'!S20+'80'!S20+'81'!S20+'82'!S20</f>
        <v>157</v>
      </c>
      <c r="T20" s="748">
        <f>+'76'!T20+'78'!T20+'80'!T20+'81'!T20+'82'!T20</f>
        <v>164</v>
      </c>
      <c r="U20" s="748">
        <f>+'76'!U20+'78'!U20+'80'!U20+'81'!U20+'82'!U20</f>
        <v>120</v>
      </c>
      <c r="V20" s="742">
        <f t="shared" ref="V20" si="19">S20/R20*100</f>
        <v>44.857142857142854</v>
      </c>
      <c r="W20" s="743">
        <f t="shared" ref="W20" si="20">+T20/O20</f>
        <v>4.0999999999999996</v>
      </c>
      <c r="X20" s="744">
        <f t="shared" ref="X20" si="21">+O20/(R20/30.4)</f>
        <v>3.4742857142857142</v>
      </c>
      <c r="Y20" s="745">
        <f t="shared" ref="Y20" si="22">(+R20-S20)/O20</f>
        <v>4.8250000000000002</v>
      </c>
      <c r="Z20" s="701"/>
      <c r="AA20" s="701"/>
    </row>
    <row r="21" spans="1:27" ht="23.25" customHeight="1">
      <c r="A21" s="1043" t="s">
        <v>1230</v>
      </c>
      <c r="B21" s="1048">
        <v>412</v>
      </c>
      <c r="C21" s="747">
        <v>4</v>
      </c>
      <c r="D21" s="748">
        <f>+'76'!D21+'78'!D21+'80'!D21+'81'!D21+'82'!D21</f>
        <v>2</v>
      </c>
      <c r="E21" s="749">
        <f>+'76'!E21+'78'!E21+'80'!E21+'81'!E21+'82'!E21</f>
        <v>53</v>
      </c>
      <c r="F21" s="749">
        <f>+'76'!F21+'78'!F21+'80'!F21+'81'!F21+'82'!F21</f>
        <v>0</v>
      </c>
      <c r="G21" s="749">
        <f>+'76'!G21+'78'!G21+'80'!G21+'81'!G21+'82'!G21</f>
        <v>4</v>
      </c>
      <c r="H21" s="749">
        <f>+'76'!H21+'78'!H21+'80'!H21+'81'!H21+'82'!H21</f>
        <v>1</v>
      </c>
      <c r="I21" s="749">
        <f>+'76'!I21+'78'!I21+'80'!I21+'81'!I21+'82'!I21</f>
        <v>0</v>
      </c>
      <c r="J21" s="748">
        <f>+'76'!J21+'78'!J21+'80'!J21+'81'!J21+'82'!J21</f>
        <v>36</v>
      </c>
      <c r="K21" s="741">
        <f t="shared" si="2"/>
        <v>94</v>
      </c>
      <c r="L21" s="748">
        <f>+'76'!L21+'78'!L21+'80'!L21+'81'!L21+'82'!L21</f>
        <v>24</v>
      </c>
      <c r="M21" s="748">
        <f>+'76'!M21+'78'!M21+'80'!M21+'81'!M21+'82'!M21</f>
        <v>70</v>
      </c>
      <c r="N21" s="748">
        <f>+'76'!N21+'78'!N21+'80'!N21+'81'!N21+'82'!N21</f>
        <v>1</v>
      </c>
      <c r="O21" s="741">
        <f t="shared" si="3"/>
        <v>95</v>
      </c>
      <c r="P21" s="750">
        <f t="shared" si="4"/>
        <v>1</v>
      </c>
      <c r="Q21" s="748">
        <f>+'76'!Q21+'78'!Q21+'80'!Q21+'81'!Q21+'82'!Q21</f>
        <v>1</v>
      </c>
      <c r="R21" s="748">
        <f>+'76'!R21+'78'!R21+'80'!R21+'81'!R21+'82'!R21</f>
        <v>1447</v>
      </c>
      <c r="S21" s="748">
        <f>+'76'!S21+'78'!S21+'80'!S21+'81'!S21+'82'!S21</f>
        <v>971</v>
      </c>
      <c r="T21" s="748">
        <f>+'76'!T21+'78'!T21+'80'!T21+'81'!T21+'82'!T21</f>
        <v>1079</v>
      </c>
      <c r="U21" s="748">
        <f>+'76'!U21+'78'!U21+'80'!U21+'81'!U21+'82'!U21</f>
        <v>1072</v>
      </c>
      <c r="V21" s="742">
        <f t="shared" si="5"/>
        <v>67.104353835521763</v>
      </c>
      <c r="W21" s="743">
        <f t="shared" si="6"/>
        <v>11.357894736842105</v>
      </c>
      <c r="X21" s="744">
        <f t="shared" si="7"/>
        <v>1.9958534899792675</v>
      </c>
      <c r="Y21" s="745">
        <f t="shared" si="8"/>
        <v>5.0105263157894733</v>
      </c>
      <c r="Z21" s="701"/>
      <c r="AA21" s="701"/>
    </row>
    <row r="22" spans="1:27" ht="23.25" customHeight="1">
      <c r="A22" s="746" t="s">
        <v>160</v>
      </c>
      <c r="B22" s="714">
        <v>414</v>
      </c>
      <c r="C22" s="747">
        <f>+'76'!C22+'78'!C22+'80'!C22+'81'!C22+'82'!C22</f>
        <v>5</v>
      </c>
      <c r="D22" s="748">
        <f>+'76'!D22+'78'!D22+'80'!D22+'81'!D22+'82'!D22</f>
        <v>5</v>
      </c>
      <c r="E22" s="749">
        <f>+'76'!E22+'78'!E22+'80'!E22+'81'!E22+'82'!E22</f>
        <v>2</v>
      </c>
      <c r="F22" s="749">
        <f>+'76'!F22+'78'!F22+'80'!F22+'81'!F22+'82'!F22</f>
        <v>0</v>
      </c>
      <c r="G22" s="749">
        <f>+'76'!G22+'78'!G22+'80'!G22+'81'!G22+'82'!G22</f>
        <v>13</v>
      </c>
      <c r="H22" s="749">
        <f>+'76'!H22+'78'!H22+'80'!H22+'81'!H22+'82'!H22</f>
        <v>0</v>
      </c>
      <c r="I22" s="749">
        <f>+'76'!I22+'78'!I22+'80'!I22+'81'!I22+'82'!I22</f>
        <v>124</v>
      </c>
      <c r="J22" s="748">
        <f>+'76'!J22+'78'!J22+'80'!J22+'81'!J22+'82'!J22</f>
        <v>32</v>
      </c>
      <c r="K22" s="741">
        <f t="shared" si="2"/>
        <v>171</v>
      </c>
      <c r="L22" s="748">
        <f>+'76'!L22+'78'!L22+'80'!L22+'81'!L22+'82'!L22</f>
        <v>10</v>
      </c>
      <c r="M22" s="748">
        <f>+'76'!M22+'78'!M22+'80'!M22+'81'!M22+'82'!M22</f>
        <v>155</v>
      </c>
      <c r="N22" s="748">
        <f>+'76'!N22+'78'!N22+'80'!N22+'81'!N22+'82'!N22</f>
        <v>8</v>
      </c>
      <c r="O22" s="741">
        <f t="shared" si="3"/>
        <v>173</v>
      </c>
      <c r="P22" s="750">
        <f t="shared" si="4"/>
        <v>3</v>
      </c>
      <c r="Q22" s="748">
        <f>+'76'!Q22+'78'!Q22+'80'!Q22+'81'!Q22+'82'!Q22</f>
        <v>4</v>
      </c>
      <c r="R22" s="748">
        <f>+'76'!R22+'78'!R22+'80'!R22+'81'!R22+'82'!R22</f>
        <v>1830</v>
      </c>
      <c r="S22" s="748">
        <f>+'76'!S22+'78'!S22+'80'!S22+'81'!S22+'82'!S22</f>
        <v>1563</v>
      </c>
      <c r="T22" s="748">
        <f>+'76'!T22+'78'!T22+'80'!T22+'81'!T22+'82'!T22</f>
        <v>1437</v>
      </c>
      <c r="U22" s="748">
        <f>+'76'!U22+'78'!U22+'80'!U22+'81'!U22+'82'!U22</f>
        <v>1430</v>
      </c>
      <c r="V22" s="742">
        <f t="shared" si="5"/>
        <v>85.409836065573771</v>
      </c>
      <c r="W22" s="743">
        <f t="shared" si="6"/>
        <v>8.306358381502891</v>
      </c>
      <c r="X22" s="744">
        <f t="shared" si="7"/>
        <v>2.8738797814207646</v>
      </c>
      <c r="Y22" s="745">
        <f t="shared" si="8"/>
        <v>1.5433526011560694</v>
      </c>
      <c r="Z22" s="701"/>
      <c r="AA22" s="701"/>
    </row>
    <row r="23" spans="1:27" ht="23.25" customHeight="1">
      <c r="A23" s="746" t="s">
        <v>161</v>
      </c>
      <c r="B23" s="714">
        <v>405</v>
      </c>
      <c r="C23" s="747">
        <f>+'76'!C23+'78'!C23+'80'!C23+'81'!C23+'82'!C23</f>
        <v>6</v>
      </c>
      <c r="D23" s="748">
        <f>+'76'!D23+'78'!D23+'80'!D23+'81'!D23+'82'!D23</f>
        <v>5</v>
      </c>
      <c r="E23" s="749">
        <f>+'76'!E23+'78'!E23+'80'!E23+'81'!E23+'82'!E23</f>
        <v>200</v>
      </c>
      <c r="F23" s="749">
        <f>+'76'!F23+'78'!F23+'80'!F23+'81'!F23+'82'!F23</f>
        <v>0</v>
      </c>
      <c r="G23" s="749">
        <f>+'76'!G23+'78'!G23+'80'!G23+'81'!G23+'82'!G23</f>
        <v>7</v>
      </c>
      <c r="H23" s="749">
        <f>+'76'!H23+'78'!H23+'80'!H23+'81'!H23+'82'!H23</f>
        <v>62</v>
      </c>
      <c r="I23" s="749">
        <f>+'76'!I23+'78'!I23+'80'!I23+'81'!I23+'82'!I23</f>
        <v>3</v>
      </c>
      <c r="J23" s="748">
        <f>+'76'!J23+'78'!J23+'80'!J23+'81'!J23+'82'!J23</f>
        <v>206</v>
      </c>
      <c r="K23" s="741">
        <f>SUM(E23:J23)</f>
        <v>478</v>
      </c>
      <c r="L23" s="748">
        <f>+'76'!L23+'78'!L23+'80'!L23+'81'!L23+'82'!L23</f>
        <v>51</v>
      </c>
      <c r="M23" s="748">
        <f>+'76'!M23+'78'!M23+'80'!M23+'81'!M23+'82'!M23</f>
        <v>310</v>
      </c>
      <c r="N23" s="748">
        <f>+'76'!N23+'78'!N23+'80'!N23+'81'!N23+'82'!N23</f>
        <v>112</v>
      </c>
      <c r="O23" s="741">
        <f>SUM(L23:N23)</f>
        <v>473</v>
      </c>
      <c r="P23" s="750">
        <f>SUM(D23,K23)-O23</f>
        <v>10</v>
      </c>
      <c r="Q23" s="748">
        <f>+'76'!Q23+'78'!Q23+'80'!Q23+'81'!Q23+'82'!Q23</f>
        <v>14</v>
      </c>
      <c r="R23" s="748">
        <f>+'76'!R23+'78'!R23+'80'!R23+'81'!R23+'82'!R23</f>
        <v>6618</v>
      </c>
      <c r="S23" s="748">
        <f>+'76'!S23+'78'!S23+'80'!S23+'81'!S23+'82'!S23</f>
        <v>4062</v>
      </c>
      <c r="T23" s="748">
        <f>+'76'!T23+'78'!T23+'80'!T23+'81'!T23+'82'!T23</f>
        <v>3872</v>
      </c>
      <c r="U23" s="748">
        <f>+'76'!U23+'78'!U23+'80'!U23+'81'!U23+'82'!U23</f>
        <v>3466</v>
      </c>
      <c r="V23" s="742">
        <f>S23/R23*100</f>
        <v>61.37805983680871</v>
      </c>
      <c r="W23" s="743">
        <f>+T23/O23</f>
        <v>8.1860465116279073</v>
      </c>
      <c r="X23" s="744">
        <f>+O23/(R23/30.4)</f>
        <v>2.1727410093683894</v>
      </c>
      <c r="Y23" s="745">
        <f>(+R23-S23)/O23</f>
        <v>5.4038054968287526</v>
      </c>
      <c r="Z23" s="701"/>
      <c r="AA23" s="701"/>
    </row>
    <row r="24" spans="1:27" ht="23.25" customHeight="1">
      <c r="A24" s="746" t="s">
        <v>162</v>
      </c>
      <c r="B24" s="714">
        <v>406</v>
      </c>
      <c r="C24" s="747">
        <f>+'76'!C24+'78'!C24+'80'!C24+'81'!C24+'82'!C24</f>
        <v>12</v>
      </c>
      <c r="D24" s="748">
        <f>+'76'!D24+'78'!D24+'80'!D24+'81'!D24+'82'!D24</f>
        <v>10</v>
      </c>
      <c r="E24" s="749">
        <f>+'76'!E24+'78'!E24+'80'!E24+'81'!E24+'82'!E24</f>
        <v>416</v>
      </c>
      <c r="F24" s="749">
        <f>+'76'!F24+'78'!F24+'80'!F24+'81'!F24+'82'!F24</f>
        <v>0</v>
      </c>
      <c r="G24" s="749">
        <f>+'76'!G24+'78'!G24+'80'!G24+'81'!G24+'82'!G24</f>
        <v>40</v>
      </c>
      <c r="H24" s="749">
        <f>+'76'!H24+'78'!H24+'80'!H24+'81'!H24+'82'!H24</f>
        <v>31</v>
      </c>
      <c r="I24" s="749">
        <f>+'76'!I24+'78'!I24+'80'!I24+'81'!I24+'82'!I24</f>
        <v>2</v>
      </c>
      <c r="J24" s="748">
        <f>+'76'!J24+'78'!J24+'80'!J24+'81'!J24+'82'!J24</f>
        <v>448</v>
      </c>
      <c r="K24" s="741">
        <f>SUM(E24:J24)</f>
        <v>937</v>
      </c>
      <c r="L24" s="748">
        <f>+'76'!L24+'78'!L24+'80'!L24+'81'!L24+'82'!L24</f>
        <v>175</v>
      </c>
      <c r="M24" s="748">
        <f>+'76'!M24+'78'!M24+'80'!M24+'81'!M24+'82'!M24</f>
        <v>697</v>
      </c>
      <c r="N24" s="748">
        <f>+'76'!N24+'78'!N24+'80'!N24+'81'!N24+'82'!N24</f>
        <v>68</v>
      </c>
      <c r="O24" s="741">
        <f>SUM(L24:N24)</f>
        <v>940</v>
      </c>
      <c r="P24" s="750">
        <f>SUM(D24,K24)-O24</f>
        <v>7</v>
      </c>
      <c r="Q24" s="748">
        <f>+'76'!Q24+'78'!Q24+'80'!Q24+'81'!Q24+'82'!Q24</f>
        <v>16</v>
      </c>
      <c r="R24" s="748">
        <f>+'76'!R24+'78'!R24+'80'!R24+'81'!R24+'82'!R24</f>
        <v>5160</v>
      </c>
      <c r="S24" s="748">
        <f>+'76'!S24+'78'!S24+'80'!S24+'81'!S24+'82'!S24</f>
        <v>3473</v>
      </c>
      <c r="T24" s="748">
        <f>+'76'!T24+'78'!T24+'80'!T24+'81'!T24+'82'!T24</f>
        <v>3720</v>
      </c>
      <c r="U24" s="748">
        <f>+'76'!U24+'78'!U24+'80'!U24+'81'!U24+'82'!U24</f>
        <v>3580</v>
      </c>
      <c r="V24" s="742">
        <f>S24/R24*100</f>
        <v>67.306201550387598</v>
      </c>
      <c r="W24" s="743">
        <f>+T24/O24</f>
        <v>3.9574468085106385</v>
      </c>
      <c r="X24" s="744">
        <f>+O24/(R24/30.4)</f>
        <v>5.5379844961240305</v>
      </c>
      <c r="Y24" s="745">
        <f>(+R24-S24)/O24</f>
        <v>1.7946808510638297</v>
      </c>
      <c r="Z24" s="701"/>
      <c r="AA24" s="701"/>
    </row>
    <row r="25" spans="1:27" ht="23.25" customHeight="1">
      <c r="A25" s="746" t="s">
        <v>764</v>
      </c>
      <c r="B25" s="714">
        <v>415</v>
      </c>
      <c r="C25" s="747">
        <f>+'76'!C25+'78'!C25+'80'!C25+'81'!C25+'82'!C25</f>
        <v>6</v>
      </c>
      <c r="D25" s="748">
        <f>+'76'!D25+'78'!D25+'80'!D25+'81'!D25+'82'!D25</f>
        <v>2</v>
      </c>
      <c r="E25" s="749">
        <f>+'76'!E25+'78'!E25+'80'!E25+'81'!E25+'82'!E25</f>
        <v>12</v>
      </c>
      <c r="F25" s="749">
        <f>+'76'!F25+'78'!F25+'80'!F25+'81'!F25+'82'!F25</f>
        <v>0</v>
      </c>
      <c r="G25" s="749">
        <f>+'76'!G25+'78'!G25+'80'!G25+'81'!G25+'82'!G25</f>
        <v>8</v>
      </c>
      <c r="H25" s="749">
        <f>+'76'!H25+'78'!H25+'80'!H25+'81'!H25+'82'!H25</f>
        <v>0</v>
      </c>
      <c r="I25" s="749">
        <f>+'76'!I25+'78'!I25+'80'!I25+'81'!I25+'82'!I25</f>
        <v>70</v>
      </c>
      <c r="J25" s="748">
        <f>+'76'!J25+'78'!J25+'80'!J25+'81'!J25+'82'!J25</f>
        <v>167</v>
      </c>
      <c r="K25" s="741">
        <f>SUM(E25:J25)</f>
        <v>257</v>
      </c>
      <c r="L25" s="748">
        <f>+'76'!L25+'78'!L25+'80'!L25+'81'!L25+'82'!L25</f>
        <v>109</v>
      </c>
      <c r="M25" s="748">
        <f>+'76'!M25+'78'!M25+'80'!M25+'81'!M25+'82'!M25</f>
        <v>150</v>
      </c>
      <c r="N25" s="748">
        <f>+'76'!N25+'78'!N25+'80'!N25+'81'!N25+'82'!N25</f>
        <v>0</v>
      </c>
      <c r="O25" s="741">
        <f>SUM(L25:N25)</f>
        <v>259</v>
      </c>
      <c r="P25" s="750">
        <f>SUM(D25,K25)-O25</f>
        <v>0</v>
      </c>
      <c r="Q25" s="748">
        <f>+'76'!Q25+'78'!Q25+'80'!Q25+'81'!Q25+'82'!Q25</f>
        <v>1</v>
      </c>
      <c r="R25" s="748">
        <f>+'76'!R25+'78'!R25+'80'!R25+'81'!R25+'82'!R25</f>
        <v>2382</v>
      </c>
      <c r="S25" s="748">
        <f>+'76'!S25+'78'!S25+'80'!S25+'81'!S25+'82'!S25</f>
        <v>1374</v>
      </c>
      <c r="T25" s="748">
        <f>+'76'!T25+'78'!T25+'80'!T25+'81'!T25+'82'!T25</f>
        <v>1361</v>
      </c>
      <c r="U25" s="748">
        <f>+'76'!U25+'78'!U25+'80'!U25+'81'!U25+'82'!U25</f>
        <v>1337</v>
      </c>
      <c r="V25" s="742">
        <f>S25/R25*100</f>
        <v>57.68261964735516</v>
      </c>
      <c r="W25" s="743">
        <f>+T25/O25</f>
        <v>5.2548262548262548</v>
      </c>
      <c r="X25" s="744">
        <f>+O25/(R25/30.4)</f>
        <v>3.3054575986565911</v>
      </c>
      <c r="Y25" s="745">
        <f>(+R25-S25)/O25</f>
        <v>3.8918918918918921</v>
      </c>
      <c r="Z25" s="701"/>
      <c r="AA25" s="701"/>
    </row>
    <row r="26" spans="1:27" ht="23.25" customHeight="1">
      <c r="A26" s="746" t="s">
        <v>163</v>
      </c>
      <c r="B26" s="714">
        <v>330</v>
      </c>
      <c r="C26" s="747">
        <f>+'76'!C26+'78'!C26+'80'!C26+'81'!C26+'82'!C26</f>
        <v>29</v>
      </c>
      <c r="D26" s="748">
        <f>+'76'!D26+'78'!D26+'80'!D26+'81'!D26+'82'!D26</f>
        <v>5</v>
      </c>
      <c r="E26" s="749">
        <f>+'76'!E26+'78'!E26+'80'!E26+'81'!E26+'82'!E26</f>
        <v>231</v>
      </c>
      <c r="F26" s="749">
        <f>+'76'!F26+'78'!F26+'80'!F26+'81'!F26+'82'!F26</f>
        <v>0</v>
      </c>
      <c r="G26" s="749">
        <f>+'76'!G26+'78'!G26+'80'!G26+'81'!G26+'82'!G26</f>
        <v>33</v>
      </c>
      <c r="H26" s="749">
        <f>+'76'!H26+'78'!H26+'80'!H26+'81'!H26+'82'!H26</f>
        <v>1</v>
      </c>
      <c r="I26" s="749">
        <f>+'76'!I26+'78'!I26+'80'!I26+'81'!I26+'82'!I26</f>
        <v>507</v>
      </c>
      <c r="J26" s="748">
        <f>+'76'!J26+'78'!J26+'80'!J26+'81'!J26+'82'!J26</f>
        <v>171</v>
      </c>
      <c r="K26" s="741">
        <f t="shared" si="2"/>
        <v>943</v>
      </c>
      <c r="L26" s="748">
        <f>+'76'!L26+'78'!L26+'80'!L26+'81'!L26+'82'!L26</f>
        <v>755</v>
      </c>
      <c r="M26" s="748">
        <f>+'76'!M26+'78'!M26+'80'!M26+'81'!M26+'82'!M26</f>
        <v>176</v>
      </c>
      <c r="N26" s="748">
        <f>+'76'!N26+'78'!N26+'80'!N26+'81'!N26+'82'!N26</f>
        <v>10</v>
      </c>
      <c r="O26" s="741">
        <f t="shared" si="3"/>
        <v>941</v>
      </c>
      <c r="P26" s="750">
        <f t="shared" si="4"/>
        <v>7</v>
      </c>
      <c r="Q26" s="748">
        <f>+'76'!Q26+'78'!Q26+'80'!Q26+'81'!Q26+'82'!Q26</f>
        <v>53</v>
      </c>
      <c r="R26" s="748">
        <f>+'76'!R26+'78'!R26+'80'!R26+'81'!R26+'82'!R26</f>
        <v>3643</v>
      </c>
      <c r="S26" s="748">
        <f>+'76'!S26+'78'!S26+'80'!S26+'81'!S26+'82'!S26</f>
        <v>2286</v>
      </c>
      <c r="T26" s="748">
        <f>+'76'!T26+'78'!T26+'80'!T26+'81'!T26+'82'!T26</f>
        <v>2323</v>
      </c>
      <c r="U26" s="748">
        <f>+'76'!U26+'78'!U26+'80'!U26+'81'!U26+'82'!U26</f>
        <v>0</v>
      </c>
      <c r="V26" s="742">
        <f t="shared" si="5"/>
        <v>62.750480373318695</v>
      </c>
      <c r="W26" s="743">
        <f t="shared" si="6"/>
        <v>2.4686503719447397</v>
      </c>
      <c r="X26" s="744">
        <f t="shared" si="7"/>
        <v>7.8524293164973917</v>
      </c>
      <c r="Y26" s="745">
        <f t="shared" si="8"/>
        <v>1.4420828905419767</v>
      </c>
      <c r="Z26" s="701"/>
      <c r="AA26" s="701"/>
    </row>
    <row r="27" spans="1:27" ht="23.25" customHeight="1">
      <c r="A27" s="752" t="s">
        <v>981</v>
      </c>
      <c r="B27" s="1051"/>
      <c r="C27" s="753">
        <f>+'76'!C27+'78'!C27+'80'!C27+'81'!C27+'82'!C27</f>
        <v>354</v>
      </c>
      <c r="D27" s="754">
        <f>+'76'!D27+'78'!D27+'80'!D27+'81'!D27+'82'!D27</f>
        <v>223</v>
      </c>
      <c r="E27" s="755">
        <f>+'76'!E27+'78'!E27+'80'!E27+'81'!E27+'82'!E27</f>
        <v>0</v>
      </c>
      <c r="F27" s="755">
        <f>+'76'!F27+'78'!F27+'80'!F27+'81'!F27+'82'!F27</f>
        <v>0</v>
      </c>
      <c r="G27" s="755">
        <f>+'76'!G27+'78'!G27+'80'!G27+'81'!G27+'82'!G27</f>
        <v>0</v>
      </c>
      <c r="H27" s="755">
        <f>+'76'!H27+'78'!H27+'80'!H27+'81'!H27+'82'!H27</f>
        <v>42</v>
      </c>
      <c r="I27" s="755">
        <f>+'76'!I27+'78'!I27+'80'!I27+'81'!I27+'82'!I27</f>
        <v>394</v>
      </c>
      <c r="J27" s="754">
        <f>+'76'!J27+'78'!J27+'80'!J27+'81'!J27+'82'!J27</f>
        <v>131</v>
      </c>
      <c r="K27" s="756">
        <f t="shared" si="2"/>
        <v>567</v>
      </c>
      <c r="L27" s="754">
        <f>+'76'!L27+'78'!L27+'80'!L27+'81'!L27+'82'!L27</f>
        <v>454</v>
      </c>
      <c r="M27" s="754">
        <f>+'76'!M27+'78'!M27+'80'!M27+'81'!M27+'82'!M27</f>
        <v>131</v>
      </c>
      <c r="N27" s="754">
        <f>+'76'!N27+'78'!N27+'80'!N27+'81'!N27+'82'!N27</f>
        <v>6</v>
      </c>
      <c r="O27" s="756">
        <f t="shared" si="3"/>
        <v>591</v>
      </c>
      <c r="P27" s="757">
        <f t="shared" si="4"/>
        <v>199</v>
      </c>
      <c r="Q27" s="754">
        <f>+'76'!Q27+'78'!Q27+'80'!Q27+'81'!Q27+'82'!Q27</f>
        <v>2</v>
      </c>
      <c r="R27" s="754">
        <f>+'76'!R27+'78'!R27+'80'!R27+'81'!R27+'82'!R27</f>
        <v>99633</v>
      </c>
      <c r="S27" s="754">
        <f>+'76'!S27+'78'!S27+'80'!S27+'81'!S27+'82'!S27</f>
        <v>92804</v>
      </c>
      <c r="T27" s="754">
        <f>+'76'!T27+'78'!T27+'80'!T27+'81'!T27+'82'!T27</f>
        <v>66070</v>
      </c>
      <c r="U27" s="754">
        <f>+'76'!U27+'78'!U27+'80'!U27+'81'!U27+'82'!U27</f>
        <v>65961</v>
      </c>
      <c r="V27" s="758">
        <f>S27/R27*100</f>
        <v>93.145845252075119</v>
      </c>
      <c r="W27" s="759">
        <f>+T27/O27</f>
        <v>111.79357021996616</v>
      </c>
      <c r="X27" s="760">
        <f>+O27/(R27/30.4)</f>
        <v>0.18032579567010928</v>
      </c>
      <c r="Y27" s="761">
        <f>(+R27-S27)/O27</f>
        <v>11.554991539763114</v>
      </c>
      <c r="Z27" s="701"/>
      <c r="AA27" s="701"/>
    </row>
    <row r="28" spans="1:27" ht="15.6">
      <c r="A28" s="762" t="s">
        <v>166</v>
      </c>
      <c r="Z28" s="701"/>
      <c r="AA28" s="701"/>
    </row>
    <row r="29" spans="1:27" ht="15.6">
      <c r="Z29" s="701"/>
      <c r="AA29" s="701"/>
    </row>
    <row r="30" spans="1:27">
      <c r="O30" s="763"/>
    </row>
    <row r="31" spans="1:27">
      <c r="D31" s="764"/>
      <c r="O31" s="964"/>
    </row>
  </sheetData>
  <mergeCells count="2">
    <mergeCell ref="Q9:Q10"/>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2:U27 C13:Y13 C14:U19 D21:U21" unlockedFormula="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34"/>
  <sheetViews>
    <sheetView showGridLines="0" topLeftCell="A28" zoomScale="75" workbookViewId="0">
      <selection activeCell="F34" sqref="F34"/>
    </sheetView>
  </sheetViews>
  <sheetFormatPr baseColWidth="10" defaultColWidth="12.5546875" defaultRowHeight="13.2"/>
  <cols>
    <col min="1" max="1" width="50.44140625" style="762" customWidth="1"/>
    <col min="2" max="2" width="11.21875" style="762" customWidth="1"/>
    <col min="3" max="3" width="14" style="762" customWidth="1"/>
    <col min="4" max="14" width="11.21875" style="762" customWidth="1"/>
    <col min="15" max="17" width="8.21875" style="762" customWidth="1"/>
    <col min="18" max="18" width="10.44140625" style="762" customWidth="1"/>
    <col min="19" max="19" width="9.77734375" style="762" customWidth="1"/>
    <col min="20" max="20" width="9.44140625" style="762" customWidth="1"/>
    <col min="21" max="21" width="9.21875" style="762" customWidth="1"/>
    <col min="22" max="22" width="8.21875" style="762" customWidth="1"/>
    <col min="23" max="23" width="8.77734375" style="762" customWidth="1"/>
    <col min="24" max="24" width="10" style="762" customWidth="1"/>
    <col min="25" max="25" width="8.77734375" style="762" customWidth="1"/>
    <col min="26" max="26" width="10.77734375" style="700" customWidth="1"/>
    <col min="27" max="27" width="9.21875" style="700" customWidth="1"/>
    <col min="28" max="16384" width="12.5546875" style="700"/>
  </cols>
  <sheetData>
    <row r="1" spans="1:14">
      <c r="A1" s="1693" t="s">
        <v>1360</v>
      </c>
      <c r="B1" s="1693"/>
      <c r="C1" s="1693"/>
      <c r="D1" s="1693"/>
      <c r="E1" s="1693"/>
      <c r="F1" s="1693"/>
      <c r="G1" s="1693"/>
      <c r="H1" s="1693"/>
      <c r="I1" s="1693"/>
      <c r="J1" s="1693"/>
      <c r="K1" s="1693"/>
      <c r="L1" s="1693"/>
      <c r="M1" s="1693"/>
      <c r="N1" s="1693"/>
    </row>
    <row r="2" spans="1:14">
      <c r="A2" s="697"/>
      <c r="B2" s="697"/>
      <c r="C2" s="698"/>
      <c r="D2" s="698"/>
      <c r="E2" s="698"/>
      <c r="F2" s="698"/>
      <c r="G2" s="698"/>
      <c r="H2" s="698"/>
      <c r="I2" s="698"/>
      <c r="J2" s="698"/>
      <c r="K2" s="698"/>
      <c r="L2" s="698"/>
      <c r="M2" s="698"/>
      <c r="N2" s="698"/>
    </row>
    <row r="3" spans="1:14">
      <c r="A3" s="1693" t="str">
        <f>+'74'!A3</f>
        <v>SERVICIO DE SALUD   ACONCAGUA   2020</v>
      </c>
      <c r="B3" s="1693"/>
      <c r="C3" s="1693"/>
      <c r="D3" s="1693"/>
      <c r="E3" s="1693"/>
      <c r="F3" s="1693"/>
      <c r="G3" s="1693"/>
      <c r="H3" s="1693"/>
      <c r="I3" s="1693"/>
      <c r="J3" s="1693"/>
      <c r="K3" s="1693"/>
      <c r="L3" s="1693"/>
      <c r="M3" s="1693"/>
      <c r="N3" s="1693"/>
    </row>
    <row r="4" spans="1:14">
      <c r="A4" s="698"/>
      <c r="B4" s="698"/>
      <c r="C4" s="698"/>
      <c r="D4" s="698"/>
      <c r="E4" s="698"/>
      <c r="F4" s="698"/>
      <c r="G4" s="698"/>
      <c r="H4" s="698"/>
      <c r="I4" s="698"/>
      <c r="J4" s="698"/>
      <c r="K4" s="698"/>
      <c r="L4" s="698"/>
      <c r="M4" s="698"/>
      <c r="N4" s="698"/>
    </row>
    <row r="6" spans="1:14" ht="28.5" customHeight="1">
      <c r="A6" s="1088" t="s">
        <v>1267</v>
      </c>
      <c r="B6" s="1115" t="s">
        <v>491</v>
      </c>
      <c r="C6" s="1113" t="s">
        <v>1243</v>
      </c>
      <c r="D6" s="1113" t="s">
        <v>1244</v>
      </c>
      <c r="E6" s="1113" t="s">
        <v>1245</v>
      </c>
      <c r="F6" s="1113" t="s">
        <v>1246</v>
      </c>
      <c r="G6" s="1113" t="s">
        <v>1247</v>
      </c>
      <c r="H6" s="1113" t="s">
        <v>1248</v>
      </c>
      <c r="I6" s="1113" t="s">
        <v>1249</v>
      </c>
      <c r="J6" s="1113" t="s">
        <v>1250</v>
      </c>
      <c r="K6" s="1113" t="s">
        <v>1251</v>
      </c>
      <c r="L6" s="1113" t="s">
        <v>1252</v>
      </c>
      <c r="M6" s="1113" t="s">
        <v>1253</v>
      </c>
      <c r="N6" s="1114" t="s">
        <v>1254</v>
      </c>
    </row>
    <row r="7" spans="1:14" ht="22.5" customHeight="1">
      <c r="A7" s="1085" t="s">
        <v>1255</v>
      </c>
      <c r="B7" s="529">
        <f>SUM(C7:N7)</f>
        <v>47830</v>
      </c>
      <c r="C7" s="530">
        <f>+'77'!C7+'79'!C7</f>
        <v>1121</v>
      </c>
      <c r="D7" s="530">
        <f>+'77'!D7+'79'!D7</f>
        <v>13</v>
      </c>
      <c r="E7" s="530">
        <f>+'77'!E7+'79'!E7</f>
        <v>0</v>
      </c>
      <c r="F7" s="530">
        <f>+'77'!F7+'79'!F7</f>
        <v>6816</v>
      </c>
      <c r="G7" s="530">
        <f>+'77'!G7+'79'!G7</f>
        <v>1534</v>
      </c>
      <c r="H7" s="530">
        <f>+'77'!H7+'79'!H7</f>
        <v>128</v>
      </c>
      <c r="I7" s="530">
        <f>+'77'!I7+'79'!I7</f>
        <v>12375</v>
      </c>
      <c r="J7" s="530">
        <f>+'77'!J7+'79'!J7</f>
        <v>19831</v>
      </c>
      <c r="K7" s="530">
        <f>+'77'!K7+'79'!K7</f>
        <v>3197</v>
      </c>
      <c r="L7" s="530">
        <f>+'77'!L7+'79'!L7</f>
        <v>247</v>
      </c>
      <c r="M7" s="530">
        <f>+'77'!M7+'79'!M7</f>
        <v>1748</v>
      </c>
      <c r="N7" s="531">
        <f>+'77'!N7+'79'!N7</f>
        <v>820</v>
      </c>
    </row>
    <row r="8" spans="1:14" ht="21.75" customHeight="1">
      <c r="A8" s="1086" t="s">
        <v>1264</v>
      </c>
      <c r="B8" s="523">
        <f t="shared" ref="B8" si="0">SUM(C8:N8)</f>
        <v>7404</v>
      </c>
      <c r="C8" s="522">
        <f>+'79'!C8</f>
        <v>439</v>
      </c>
      <c r="D8" s="522">
        <f>+'79'!D8</f>
        <v>2</v>
      </c>
      <c r="E8" s="522">
        <f>+'79'!E8</f>
        <v>0</v>
      </c>
      <c r="F8" s="522">
        <f>+'79'!F8</f>
        <v>1511</v>
      </c>
      <c r="G8" s="522">
        <f>+'79'!G8</f>
        <v>298</v>
      </c>
      <c r="H8" s="522">
        <f>+'79'!H8</f>
        <v>6</v>
      </c>
      <c r="I8" s="522">
        <f>+'79'!I8</f>
        <v>1990</v>
      </c>
      <c r="J8" s="522">
        <f>+'79'!J8</f>
        <v>2815</v>
      </c>
      <c r="K8" s="522">
        <f>+'79'!K8</f>
        <v>192</v>
      </c>
      <c r="L8" s="522">
        <f>+'79'!L8</f>
        <v>20</v>
      </c>
      <c r="M8" s="522">
        <f>+'79'!M8</f>
        <v>118</v>
      </c>
      <c r="N8" s="507">
        <f>+'79'!N8</f>
        <v>13</v>
      </c>
    </row>
    <row r="9" spans="1:14" ht="18" customHeight="1">
      <c r="A9" s="1086" t="s">
        <v>1256</v>
      </c>
      <c r="B9" s="523">
        <f t="shared" ref="B9:B17" si="1">SUM(C9:N9)</f>
        <v>4363</v>
      </c>
      <c r="C9" s="522">
        <f>+'77'!C8+'79'!C10</f>
        <v>38</v>
      </c>
      <c r="D9" s="522">
        <f>+'77'!D8+'79'!D10</f>
        <v>0</v>
      </c>
      <c r="E9" s="522">
        <f>+'77'!E8+'79'!E10</f>
        <v>13</v>
      </c>
      <c r="F9" s="522">
        <f>+'77'!F8+'79'!F10</f>
        <v>1046</v>
      </c>
      <c r="G9" s="522">
        <f>+'77'!G8+'79'!G10</f>
        <v>98</v>
      </c>
      <c r="H9" s="522">
        <f>+'77'!H8+'79'!H10</f>
        <v>20</v>
      </c>
      <c r="I9" s="522">
        <f>+'77'!I8+'79'!I10</f>
        <v>1628</v>
      </c>
      <c r="J9" s="522">
        <f>+'77'!J8+'79'!J10</f>
        <v>1040</v>
      </c>
      <c r="K9" s="522">
        <f>+'77'!K8+'79'!K10</f>
        <v>132</v>
      </c>
      <c r="L9" s="522">
        <f>+'77'!L8+'79'!L10</f>
        <v>120</v>
      </c>
      <c r="M9" s="522">
        <f>+'77'!M8+'79'!M10</f>
        <v>193</v>
      </c>
      <c r="N9" s="507">
        <f>+'77'!N8+'79'!N10</f>
        <v>35</v>
      </c>
    </row>
    <row r="10" spans="1:14" ht="18" customHeight="1">
      <c r="A10" s="1086" t="s">
        <v>1257</v>
      </c>
      <c r="B10" s="523">
        <f t="shared" si="1"/>
        <v>1563</v>
      </c>
      <c r="C10" s="522">
        <f>+'77'!C9+'79'!C11</f>
        <v>4</v>
      </c>
      <c r="D10" s="522">
        <f>+'77'!D9+'79'!D11</f>
        <v>0</v>
      </c>
      <c r="E10" s="522">
        <f>+'77'!E9+'79'!E11</f>
        <v>0</v>
      </c>
      <c r="F10" s="522">
        <f>+'77'!F9+'79'!F11</f>
        <v>267</v>
      </c>
      <c r="G10" s="522">
        <f>+'77'!G9+'79'!G11</f>
        <v>0</v>
      </c>
      <c r="H10" s="522">
        <f>+'77'!H9+'79'!H11</f>
        <v>0</v>
      </c>
      <c r="I10" s="522">
        <f>+'77'!I9+'79'!I11</f>
        <v>1150</v>
      </c>
      <c r="J10" s="522">
        <f>+'77'!J9+'79'!J11</f>
        <v>0</v>
      </c>
      <c r="K10" s="522">
        <f>+'77'!K9+'79'!K11</f>
        <v>3</v>
      </c>
      <c r="L10" s="522">
        <f>+'77'!L9+'79'!L11</f>
        <v>139</v>
      </c>
      <c r="M10" s="522">
        <f>+'77'!M9+'79'!M11</f>
        <v>0</v>
      </c>
      <c r="N10" s="507">
        <f>+'77'!N9+'79'!N11</f>
        <v>0</v>
      </c>
    </row>
    <row r="11" spans="1:14" ht="18" customHeight="1">
      <c r="A11" s="1086" t="s">
        <v>1258</v>
      </c>
      <c r="B11" s="523">
        <f t="shared" si="1"/>
        <v>10378</v>
      </c>
      <c r="C11" s="522">
        <f>+'77'!C10+'79'!C12</f>
        <v>12</v>
      </c>
      <c r="D11" s="522">
        <f>+'77'!D10+'79'!D12</f>
        <v>0</v>
      </c>
      <c r="E11" s="522">
        <f>+'77'!E10+'79'!E12</f>
        <v>0</v>
      </c>
      <c r="F11" s="522">
        <f>+'77'!F10+'79'!F12</f>
        <v>977</v>
      </c>
      <c r="G11" s="522">
        <f>+'77'!G10+'79'!G12</f>
        <v>453</v>
      </c>
      <c r="H11" s="522">
        <f>+'77'!H10+'79'!H12</f>
        <v>0</v>
      </c>
      <c r="I11" s="522">
        <f>+'77'!I10+'79'!I12</f>
        <v>335</v>
      </c>
      <c r="J11" s="522">
        <f>+'77'!J10+'79'!J12</f>
        <v>4772</v>
      </c>
      <c r="K11" s="522">
        <f>+'77'!K10+'79'!K12</f>
        <v>1075</v>
      </c>
      <c r="L11" s="522">
        <f>+'77'!L10+'79'!L12</f>
        <v>19</v>
      </c>
      <c r="M11" s="522">
        <f>+'77'!M10+'79'!M12</f>
        <v>1687</v>
      </c>
      <c r="N11" s="507">
        <f>+'77'!N10+'79'!N12</f>
        <v>1048</v>
      </c>
    </row>
    <row r="12" spans="1:14" ht="39.75" customHeight="1">
      <c r="A12" s="1086" t="s">
        <v>1263</v>
      </c>
      <c r="B12" s="523">
        <f t="shared" si="1"/>
        <v>1476</v>
      </c>
      <c r="C12" s="522">
        <f>+'77'!C11</f>
        <v>396</v>
      </c>
      <c r="D12" s="522">
        <f>+'77'!D11</f>
        <v>0</v>
      </c>
      <c r="E12" s="522">
        <f>+'77'!E11</f>
        <v>0</v>
      </c>
      <c r="F12" s="522">
        <f>+'77'!F11</f>
        <v>1013</v>
      </c>
      <c r="G12" s="522">
        <f>+'77'!G11</f>
        <v>0</v>
      </c>
      <c r="H12" s="522">
        <f>+'77'!H11</f>
        <v>0</v>
      </c>
      <c r="I12" s="522">
        <f>+'77'!I11</f>
        <v>67</v>
      </c>
      <c r="J12" s="522">
        <f>+'77'!J11</f>
        <v>0</v>
      </c>
      <c r="K12" s="522">
        <f>+'77'!K11</f>
        <v>0</v>
      </c>
      <c r="L12" s="522">
        <f>+'77'!L11</f>
        <v>0</v>
      </c>
      <c r="M12" s="522">
        <f>+'77'!M11</f>
        <v>0</v>
      </c>
      <c r="N12" s="507">
        <f>+'77'!N11</f>
        <v>0</v>
      </c>
    </row>
    <row r="13" spans="1:14">
      <c r="A13" s="1086" t="s">
        <v>1259</v>
      </c>
      <c r="B13" s="523">
        <f t="shared" si="1"/>
        <v>3135</v>
      </c>
      <c r="C13" s="522">
        <f>+'77'!C12</f>
        <v>2782</v>
      </c>
      <c r="D13" s="522">
        <f>+'77'!D12</f>
        <v>1</v>
      </c>
      <c r="E13" s="522">
        <f>+'77'!E12</f>
        <v>1</v>
      </c>
      <c r="F13" s="522">
        <f>+'77'!F12</f>
        <v>313</v>
      </c>
      <c r="G13" s="522">
        <f>+'77'!G12</f>
        <v>34</v>
      </c>
      <c r="H13" s="522">
        <f>+'77'!H12</f>
        <v>0</v>
      </c>
      <c r="I13" s="522">
        <f>+'77'!I12</f>
        <v>1</v>
      </c>
      <c r="J13" s="522">
        <f>+'77'!J12</f>
        <v>3</v>
      </c>
      <c r="K13" s="522">
        <f>+'77'!K12</f>
        <v>0</v>
      </c>
      <c r="L13" s="522">
        <f>+'77'!L12</f>
        <v>0</v>
      </c>
      <c r="M13" s="522">
        <f>+'77'!M12</f>
        <v>0</v>
      </c>
      <c r="N13" s="507">
        <f>+'77'!N12</f>
        <v>0</v>
      </c>
    </row>
    <row r="14" spans="1:14" ht="33.75" customHeight="1">
      <c r="A14" s="1086" t="s">
        <v>1260</v>
      </c>
      <c r="B14" s="523">
        <f t="shared" si="1"/>
        <v>3038</v>
      </c>
      <c r="C14" s="522">
        <f>+'77'!C13+'79'!C13</f>
        <v>523</v>
      </c>
      <c r="D14" s="522">
        <f>+'77'!D13+'79'!D13</f>
        <v>1</v>
      </c>
      <c r="E14" s="522">
        <f>+'77'!E13+'79'!E13</f>
        <v>5</v>
      </c>
      <c r="F14" s="522">
        <f>+'77'!F13+'79'!F13</f>
        <v>1518</v>
      </c>
      <c r="G14" s="522">
        <f>+'77'!G13+'79'!G13</f>
        <v>317</v>
      </c>
      <c r="H14" s="522">
        <f>+'77'!H13+'79'!H13</f>
        <v>9</v>
      </c>
      <c r="I14" s="522">
        <f>+'77'!I13+'79'!I13</f>
        <v>241</v>
      </c>
      <c r="J14" s="522">
        <f>+'77'!J13+'79'!J13</f>
        <v>377</v>
      </c>
      <c r="K14" s="522">
        <f>+'77'!K13+'79'!K13</f>
        <v>33</v>
      </c>
      <c r="L14" s="522">
        <f>+'77'!L13+'79'!L13</f>
        <v>0</v>
      </c>
      <c r="M14" s="522">
        <f>+'77'!M13+'79'!M13</f>
        <v>13</v>
      </c>
      <c r="N14" s="507">
        <f>+'77'!N13+'79'!N13</f>
        <v>1</v>
      </c>
    </row>
    <row r="15" spans="1:14" ht="33.75" customHeight="1">
      <c r="A15" s="1086" t="s">
        <v>1426</v>
      </c>
      <c r="B15" s="523">
        <f t="shared" ref="B15" si="2">SUM(C15:N15)</f>
        <v>110</v>
      </c>
      <c r="C15" s="522">
        <f>+'77'!C14</f>
        <v>71</v>
      </c>
      <c r="D15" s="522">
        <f>+'77'!D14</f>
        <v>0</v>
      </c>
      <c r="E15" s="522">
        <f>+'77'!E14</f>
        <v>0</v>
      </c>
      <c r="F15" s="522">
        <f>+'77'!F14</f>
        <v>31</v>
      </c>
      <c r="G15" s="522">
        <f>+'77'!G14</f>
        <v>1</v>
      </c>
      <c r="H15" s="522">
        <f>+'77'!H14</f>
        <v>0</v>
      </c>
      <c r="I15" s="522">
        <f>+'77'!I14</f>
        <v>5</v>
      </c>
      <c r="J15" s="522">
        <f>+'77'!J14</f>
        <v>2</v>
      </c>
      <c r="K15" s="522">
        <f>+'77'!K14</f>
        <v>0</v>
      </c>
      <c r="L15" s="522">
        <f>+'77'!L14</f>
        <v>0</v>
      </c>
      <c r="M15" s="522">
        <f>+'77'!M14</f>
        <v>0</v>
      </c>
      <c r="N15" s="507">
        <f>+'77'!N14</f>
        <v>0</v>
      </c>
    </row>
    <row r="16" spans="1:14" ht="22.8">
      <c r="A16" s="1086" t="s">
        <v>1262</v>
      </c>
      <c r="B16" s="523">
        <f t="shared" si="1"/>
        <v>897</v>
      </c>
      <c r="C16" s="522">
        <f>+'77'!C15</f>
        <v>343</v>
      </c>
      <c r="D16" s="522">
        <f>+'77'!D15</f>
        <v>0</v>
      </c>
      <c r="E16" s="522">
        <f>+'77'!E15</f>
        <v>0</v>
      </c>
      <c r="F16" s="522">
        <f>+'77'!F15</f>
        <v>544</v>
      </c>
      <c r="G16" s="522">
        <f>+'77'!G15</f>
        <v>5</v>
      </c>
      <c r="H16" s="522">
        <f>+'77'!H15</f>
        <v>0</v>
      </c>
      <c r="I16" s="522">
        <f>+'77'!I15</f>
        <v>5</v>
      </c>
      <c r="J16" s="522">
        <f>+'77'!J15</f>
        <v>0</v>
      </c>
      <c r="K16" s="522">
        <f>+'77'!K15</f>
        <v>0</v>
      </c>
      <c r="L16" s="522">
        <f>+'77'!L15</f>
        <v>0</v>
      </c>
      <c r="M16" s="522">
        <f>+'77'!M15</f>
        <v>0</v>
      </c>
      <c r="N16" s="507">
        <f>+'77'!N15</f>
        <v>0</v>
      </c>
    </row>
    <row r="17" spans="1:14" ht="36" customHeight="1">
      <c r="A17" s="1086" t="s">
        <v>1261</v>
      </c>
      <c r="B17" s="523">
        <f t="shared" si="1"/>
        <v>1255</v>
      </c>
      <c r="C17" s="522">
        <f>+'77'!C16</f>
        <v>2</v>
      </c>
      <c r="D17" s="522">
        <f>+'77'!D16</f>
        <v>0</v>
      </c>
      <c r="E17" s="522">
        <f>+'77'!E16</f>
        <v>0</v>
      </c>
      <c r="F17" s="522">
        <f>+'77'!F16</f>
        <v>322</v>
      </c>
      <c r="G17" s="522">
        <f>+'77'!G16</f>
        <v>0</v>
      </c>
      <c r="H17" s="522">
        <f>+'77'!H16</f>
        <v>2</v>
      </c>
      <c r="I17" s="522">
        <f>+'77'!I16</f>
        <v>891</v>
      </c>
      <c r="J17" s="522">
        <f>+'77'!J16</f>
        <v>0</v>
      </c>
      <c r="K17" s="522">
        <f>+'77'!K16</f>
        <v>0</v>
      </c>
      <c r="L17" s="522">
        <f>+'77'!L16</f>
        <v>38</v>
      </c>
      <c r="M17" s="522">
        <f>+'77'!M16</f>
        <v>0</v>
      </c>
      <c r="N17" s="507">
        <f>+'77'!N16</f>
        <v>0</v>
      </c>
    </row>
    <row r="18" spans="1:14" ht="27.75" customHeight="1">
      <c r="A18" s="1087" t="s">
        <v>491</v>
      </c>
      <c r="B18" s="527">
        <f>SUM(B7:B17)</f>
        <v>81449</v>
      </c>
      <c r="C18" s="525">
        <f>SUM(C7:C17)</f>
        <v>5731</v>
      </c>
      <c r="D18" s="525">
        <f t="shared" ref="D18:N18" si="3">SUM(D7:D17)</f>
        <v>17</v>
      </c>
      <c r="E18" s="525">
        <f t="shared" si="3"/>
        <v>19</v>
      </c>
      <c r="F18" s="525">
        <f t="shared" si="3"/>
        <v>14358</v>
      </c>
      <c r="G18" s="525">
        <f t="shared" si="3"/>
        <v>2740</v>
      </c>
      <c r="H18" s="525">
        <f t="shared" si="3"/>
        <v>165</v>
      </c>
      <c r="I18" s="525">
        <f t="shared" si="3"/>
        <v>18688</v>
      </c>
      <c r="J18" s="525">
        <f t="shared" si="3"/>
        <v>28840</v>
      </c>
      <c r="K18" s="525">
        <f t="shared" si="3"/>
        <v>4632</v>
      </c>
      <c r="L18" s="525">
        <f t="shared" si="3"/>
        <v>583</v>
      </c>
      <c r="M18" s="1121">
        <f t="shared" si="3"/>
        <v>3759</v>
      </c>
      <c r="N18" s="1122">
        <f t="shared" si="3"/>
        <v>1917</v>
      </c>
    </row>
    <row r="21" spans="1:14">
      <c r="A21" s="62"/>
      <c r="B21" s="1694" t="s">
        <v>133</v>
      </c>
      <c r="C21" s="1694"/>
      <c r="D21" s="1694"/>
      <c r="E21" s="1695" t="s">
        <v>1272</v>
      </c>
      <c r="F21" s="1696"/>
    </row>
    <row r="22" spans="1:14" ht="19.5" customHeight="1">
      <c r="A22" s="1089" t="s">
        <v>1267</v>
      </c>
      <c r="B22" s="1090" t="s">
        <v>1271</v>
      </c>
      <c r="C22" s="1090" t="s">
        <v>1270</v>
      </c>
      <c r="D22" s="1090" t="s">
        <v>891</v>
      </c>
      <c r="E22" s="1091" t="s">
        <v>491</v>
      </c>
      <c r="F22" s="1091" t="s">
        <v>511</v>
      </c>
    </row>
    <row r="23" spans="1:14" ht="31.5" customHeight="1">
      <c r="A23" s="1085" t="s">
        <v>1255</v>
      </c>
      <c r="B23" s="1082">
        <f>+'76'!S14+'78'!S14</f>
        <v>51906</v>
      </c>
      <c r="C23" s="1083">
        <f t="shared" ref="C23:C34" si="4">+B7</f>
        <v>47830</v>
      </c>
      <c r="D23" s="1117">
        <f>+C23/B23*100</f>
        <v>92.147343274380617</v>
      </c>
      <c r="E23" s="1082">
        <f t="shared" ref="E23:E34" si="5">SUM(M7:N7)</f>
        <v>2568</v>
      </c>
      <c r="F23" s="1117">
        <f t="shared" ref="F23:F34" si="6">+E23/B7*100</f>
        <v>5.3690152623876228</v>
      </c>
    </row>
    <row r="24" spans="1:14" ht="31.5" customHeight="1">
      <c r="A24" s="1086" t="s">
        <v>1264</v>
      </c>
      <c r="B24" s="1084">
        <f>+'78'!S15</f>
        <v>6574</v>
      </c>
      <c r="C24" s="325">
        <f t="shared" si="4"/>
        <v>7404</v>
      </c>
      <c r="D24" s="1118">
        <f t="shared" ref="D24" si="7">+C24/B24*100</f>
        <v>112.62549437176756</v>
      </c>
      <c r="E24" s="1084">
        <f t="shared" si="5"/>
        <v>131</v>
      </c>
      <c r="F24" s="1118">
        <f t="shared" si="6"/>
        <v>1.7693138843868181</v>
      </c>
    </row>
    <row r="25" spans="1:14" ht="31.5" customHeight="1">
      <c r="A25" s="1086" t="s">
        <v>1256</v>
      </c>
      <c r="B25" s="1084">
        <f>+'76'!S18+'78'!S17</f>
        <v>4966</v>
      </c>
      <c r="C25" s="325">
        <f t="shared" si="4"/>
        <v>4363</v>
      </c>
      <c r="D25" s="1118">
        <f t="shared" ref="D25:D34" si="8">+C25/B25*100</f>
        <v>87.857430527587596</v>
      </c>
      <c r="E25" s="1084">
        <f t="shared" si="5"/>
        <v>228</v>
      </c>
      <c r="F25" s="1118">
        <f t="shared" si="6"/>
        <v>5.2257620903048361</v>
      </c>
    </row>
    <row r="26" spans="1:14" ht="31.5" customHeight="1">
      <c r="A26" s="1086" t="s">
        <v>1257</v>
      </c>
      <c r="B26" s="1084">
        <f>+'76'!S19+'78'!S19</f>
        <v>1937</v>
      </c>
      <c r="C26" s="325">
        <f t="shared" si="4"/>
        <v>1563</v>
      </c>
      <c r="D26" s="1118">
        <f t="shared" si="8"/>
        <v>80.691791430046464</v>
      </c>
      <c r="E26" s="1084">
        <f t="shared" si="5"/>
        <v>0</v>
      </c>
      <c r="F26" s="1118">
        <f t="shared" si="6"/>
        <v>0</v>
      </c>
    </row>
    <row r="27" spans="1:14" ht="31.5" customHeight="1">
      <c r="A27" s="1086" t="s">
        <v>1258</v>
      </c>
      <c r="B27" s="1084">
        <f>+'76'!S16+'78'!S16</f>
        <v>11667</v>
      </c>
      <c r="C27" s="325">
        <f t="shared" si="4"/>
        <v>10378</v>
      </c>
      <c r="D27" s="1118">
        <f t="shared" si="8"/>
        <v>88.951744235878976</v>
      </c>
      <c r="E27" s="1084">
        <f t="shared" si="5"/>
        <v>2735</v>
      </c>
      <c r="F27" s="1118">
        <f t="shared" si="6"/>
        <v>26.353825399884371</v>
      </c>
    </row>
    <row r="28" spans="1:14" ht="31.5" customHeight="1">
      <c r="A28" s="1086" t="s">
        <v>1263</v>
      </c>
      <c r="B28" s="1084">
        <f>+'76'!S22</f>
        <v>1563</v>
      </c>
      <c r="C28" s="325">
        <f t="shared" si="4"/>
        <v>1476</v>
      </c>
      <c r="D28" s="1118">
        <f t="shared" si="8"/>
        <v>94.433781190019189</v>
      </c>
      <c r="E28" s="1084">
        <f t="shared" si="5"/>
        <v>0</v>
      </c>
      <c r="F28" s="1118">
        <f t="shared" si="6"/>
        <v>0</v>
      </c>
    </row>
    <row r="29" spans="1:14" ht="31.5" customHeight="1">
      <c r="A29" s="1086" t="s">
        <v>1259</v>
      </c>
      <c r="B29" s="1084">
        <f>+'76'!S23</f>
        <v>3266</v>
      </c>
      <c r="C29" s="325">
        <f t="shared" si="4"/>
        <v>3135</v>
      </c>
      <c r="D29" s="1118">
        <f t="shared" si="8"/>
        <v>95.988977342314769</v>
      </c>
      <c r="E29" s="1084">
        <f t="shared" si="5"/>
        <v>0</v>
      </c>
      <c r="F29" s="1118">
        <f t="shared" si="6"/>
        <v>0</v>
      </c>
    </row>
    <row r="30" spans="1:14" ht="31.5" customHeight="1">
      <c r="A30" s="1086" t="s">
        <v>1260</v>
      </c>
      <c r="B30" s="1084">
        <f>+'76'!S24+'78'!S24</f>
        <v>3473</v>
      </c>
      <c r="C30" s="325">
        <f t="shared" si="4"/>
        <v>3038</v>
      </c>
      <c r="D30" s="1118">
        <f t="shared" si="8"/>
        <v>87.474805643535845</v>
      </c>
      <c r="E30" s="1084">
        <f t="shared" si="5"/>
        <v>14</v>
      </c>
      <c r="F30" s="1118">
        <f t="shared" si="6"/>
        <v>0.46082949308755761</v>
      </c>
    </row>
    <row r="31" spans="1:14" ht="31.5" customHeight="1">
      <c r="A31" s="1086" t="s">
        <v>1426</v>
      </c>
      <c r="B31" s="1084">
        <f>+'76'!S20+'78'!S20</f>
        <v>157</v>
      </c>
      <c r="C31" s="325">
        <f t="shared" si="4"/>
        <v>110</v>
      </c>
      <c r="D31" s="1118">
        <f t="shared" ref="D31" si="9">+C31/B31*100</f>
        <v>70.063694267515913</v>
      </c>
      <c r="E31" s="1084">
        <f t="shared" si="5"/>
        <v>0</v>
      </c>
      <c r="F31" s="1118">
        <f t="shared" si="6"/>
        <v>0</v>
      </c>
    </row>
    <row r="32" spans="1:14" ht="31.5" customHeight="1">
      <c r="A32" s="1086" t="s">
        <v>1262</v>
      </c>
      <c r="B32" s="1084">
        <f>+'76'!S21</f>
        <v>971</v>
      </c>
      <c r="C32" s="325">
        <f t="shared" si="4"/>
        <v>897</v>
      </c>
      <c r="D32" s="1118">
        <f t="shared" si="8"/>
        <v>92.378990731204951</v>
      </c>
      <c r="E32" s="1084">
        <f t="shared" si="5"/>
        <v>0</v>
      </c>
      <c r="F32" s="1118">
        <f t="shared" si="6"/>
        <v>0</v>
      </c>
    </row>
    <row r="33" spans="1:6" ht="31.5" customHeight="1">
      <c r="A33" s="1086" t="s">
        <v>1261</v>
      </c>
      <c r="B33" s="1084">
        <f>+'76'!S25</f>
        <v>1374</v>
      </c>
      <c r="C33" s="325">
        <f t="shared" si="4"/>
        <v>1255</v>
      </c>
      <c r="D33" s="1118">
        <f t="shared" si="8"/>
        <v>91.339155749636106</v>
      </c>
      <c r="E33" s="1084">
        <f t="shared" si="5"/>
        <v>0</v>
      </c>
      <c r="F33" s="1118">
        <f t="shared" si="6"/>
        <v>0</v>
      </c>
    </row>
    <row r="34" spans="1:6" ht="31.5" customHeight="1">
      <c r="A34" s="1087" t="s">
        <v>491</v>
      </c>
      <c r="B34" s="629">
        <f>SUM(B23:B33)</f>
        <v>87854</v>
      </c>
      <c r="C34" s="327">
        <f t="shared" si="4"/>
        <v>81449</v>
      </c>
      <c r="D34" s="1119">
        <f t="shared" si="8"/>
        <v>92.709495299018826</v>
      </c>
      <c r="E34" s="629">
        <f t="shared" si="5"/>
        <v>5676</v>
      </c>
      <c r="F34" s="1120">
        <f t="shared" si="6"/>
        <v>6.9687780083242279</v>
      </c>
    </row>
  </sheetData>
  <mergeCells count="4">
    <mergeCell ref="A1:N1"/>
    <mergeCell ref="A3:N3"/>
    <mergeCell ref="B21:D21"/>
    <mergeCell ref="E21:F21"/>
  </mergeCells>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E24" formulaRange="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
  <sheetViews>
    <sheetView showGridLines="0" zoomScale="75" workbookViewId="0">
      <selection activeCell="S26" sqref="S26"/>
    </sheetView>
  </sheetViews>
  <sheetFormatPr baseColWidth="10" defaultColWidth="12.5546875" defaultRowHeight="13.2"/>
  <cols>
    <col min="1" max="1" width="32.5546875" style="762" customWidth="1"/>
    <col min="2" max="2" width="9.77734375" style="762" customWidth="1"/>
    <col min="3" max="3" width="8.21875" style="762" customWidth="1"/>
    <col min="4" max="4" width="8.5546875" style="762" customWidth="1"/>
    <col min="5" max="9" width="8.21875" style="762" customWidth="1"/>
    <col min="10" max="10" width="7" style="762" customWidth="1"/>
    <col min="11" max="12" width="8.21875" style="762" customWidth="1"/>
    <col min="13" max="14" width="9.21875" style="762" customWidth="1"/>
    <col min="15" max="17" width="8.21875" style="762" customWidth="1"/>
    <col min="18" max="19" width="9.5546875" style="762" customWidth="1"/>
    <col min="20" max="21" width="9.21875" style="762" customWidth="1"/>
    <col min="22" max="22" width="8.21875" style="762" customWidth="1"/>
    <col min="23" max="23" width="8.77734375" style="762" customWidth="1"/>
    <col min="24" max="25" width="8.5546875" style="762" customWidth="1"/>
    <col min="26" max="26" width="10.77734375" style="700" customWidth="1"/>
    <col min="27" max="27" width="9.21875" style="700" customWidth="1"/>
    <col min="28" max="16384" width="12.5546875" style="700"/>
  </cols>
  <sheetData>
    <row r="1" spans="1:27">
      <c r="A1" s="697" t="s">
        <v>167</v>
      </c>
      <c r="B1" s="697"/>
      <c r="C1" s="698"/>
      <c r="D1" s="698"/>
      <c r="E1" s="698"/>
      <c r="F1" s="698"/>
      <c r="G1" s="698"/>
      <c r="H1" s="698"/>
      <c r="I1" s="698"/>
      <c r="J1" s="698"/>
      <c r="K1" s="699"/>
      <c r="L1" s="698"/>
      <c r="M1" s="698"/>
      <c r="N1" s="698"/>
      <c r="O1" s="698"/>
      <c r="P1" s="698"/>
      <c r="Q1" s="698"/>
      <c r="R1" s="698"/>
      <c r="S1" s="698"/>
      <c r="T1" s="698"/>
      <c r="U1" s="698"/>
      <c r="V1" s="698"/>
      <c r="W1" s="698"/>
      <c r="X1" s="698"/>
      <c r="Y1" s="698"/>
    </row>
    <row r="2" spans="1:27">
      <c r="A2" s="697"/>
      <c r="B2" s="697"/>
      <c r="C2" s="698"/>
      <c r="D2" s="698"/>
      <c r="E2" s="698"/>
      <c r="F2" s="698"/>
      <c r="G2" s="698"/>
      <c r="H2" s="698"/>
      <c r="I2" s="698"/>
      <c r="J2" s="698"/>
      <c r="K2" s="698"/>
      <c r="L2" s="698"/>
      <c r="M2" s="698"/>
      <c r="N2" s="698"/>
      <c r="O2" s="698"/>
      <c r="P2" s="698"/>
      <c r="Q2" s="698"/>
      <c r="R2" s="698"/>
      <c r="S2" s="698"/>
      <c r="T2" s="698"/>
      <c r="U2" s="698"/>
      <c r="V2" s="698"/>
      <c r="W2" s="698"/>
      <c r="X2" s="698"/>
      <c r="Y2" s="698"/>
    </row>
    <row r="3" spans="1:27">
      <c r="A3" s="697" t="str">
        <f>+'74'!A3</f>
        <v>SERVICIO DE SALUD   ACONCAGUA   2020</v>
      </c>
      <c r="B3" s="697"/>
      <c r="C3" s="698"/>
      <c r="D3" s="698"/>
      <c r="E3" s="698"/>
      <c r="F3" s="698"/>
      <c r="G3" s="698"/>
      <c r="H3" s="698"/>
      <c r="I3" s="698"/>
      <c r="J3" s="698"/>
      <c r="K3" s="698"/>
      <c r="L3" s="698"/>
      <c r="M3" s="698"/>
      <c r="N3" s="698"/>
      <c r="O3" s="698"/>
      <c r="P3" s="698"/>
      <c r="Q3" s="698"/>
      <c r="R3" s="698"/>
      <c r="S3" s="698"/>
      <c r="T3" s="698"/>
      <c r="U3" s="698"/>
      <c r="V3" s="698"/>
      <c r="W3" s="698"/>
      <c r="X3" s="698"/>
      <c r="Y3" s="698"/>
    </row>
    <row r="4" spans="1:27">
      <c r="A4" s="698"/>
      <c r="B4" s="698"/>
      <c r="C4" s="698"/>
      <c r="D4" s="698"/>
      <c r="E4" s="698"/>
      <c r="F4" s="698"/>
      <c r="G4" s="698"/>
      <c r="H4" s="698"/>
      <c r="I4" s="698"/>
      <c r="J4" s="698"/>
      <c r="K4" s="698"/>
      <c r="L4" s="698"/>
      <c r="M4" s="698"/>
      <c r="N4" s="698"/>
      <c r="O4" s="698"/>
      <c r="P4" s="698"/>
      <c r="Q4" s="698"/>
      <c r="R4" s="698"/>
      <c r="S4" s="698"/>
      <c r="T4" s="698"/>
      <c r="U4" s="698"/>
      <c r="V4" s="698"/>
      <c r="W4" s="698"/>
      <c r="X4" s="698"/>
      <c r="Y4" s="698"/>
    </row>
    <row r="5" spans="1:27">
      <c r="A5" s="698"/>
      <c r="B5" s="698"/>
      <c r="C5" s="698"/>
      <c r="D5" s="698"/>
      <c r="E5" s="698"/>
      <c r="F5" s="698"/>
      <c r="G5" s="698"/>
      <c r="H5" s="698"/>
      <c r="I5" s="698"/>
      <c r="J5" s="698"/>
      <c r="K5" s="698"/>
      <c r="L5" s="698"/>
      <c r="M5" s="698"/>
      <c r="N5" s="698"/>
      <c r="O5" s="698"/>
      <c r="P5" s="698"/>
      <c r="Q5" s="698"/>
      <c r="R5" s="698"/>
      <c r="S5" s="698"/>
      <c r="T5" s="698"/>
      <c r="U5" s="698"/>
      <c r="V5" s="698"/>
      <c r="W5" s="698"/>
      <c r="X5" s="698"/>
      <c r="Y5" s="698"/>
    </row>
    <row r="6" spans="1:27">
      <c r="A6" s="698"/>
      <c r="B6" s="698"/>
      <c r="C6" s="698"/>
      <c r="D6" s="698"/>
      <c r="E6" s="698"/>
      <c r="F6" s="698"/>
      <c r="G6" s="698"/>
      <c r="H6" s="698"/>
      <c r="I6" s="698"/>
      <c r="J6" s="698"/>
      <c r="K6" s="698"/>
      <c r="L6" s="698"/>
      <c r="M6" s="698"/>
      <c r="N6" s="698"/>
      <c r="O6" s="698"/>
      <c r="P6" s="698"/>
      <c r="Q6" s="698"/>
      <c r="R6" s="698"/>
      <c r="S6" s="698"/>
      <c r="T6" s="698"/>
      <c r="U6" s="698"/>
      <c r="V6" s="698"/>
      <c r="W6" s="698"/>
      <c r="X6" s="698"/>
      <c r="Y6" s="698"/>
    </row>
    <row r="7" spans="1:27">
      <c r="A7" s="698"/>
      <c r="B7" s="698"/>
      <c r="C7" s="698"/>
      <c r="D7" s="698"/>
      <c r="E7" s="698"/>
      <c r="F7" s="698"/>
      <c r="G7" s="698"/>
      <c r="H7" s="698"/>
      <c r="I7" s="698"/>
      <c r="J7" s="698"/>
      <c r="K7" s="698"/>
      <c r="L7" s="698"/>
      <c r="M7" s="698"/>
      <c r="N7" s="698"/>
      <c r="O7" s="698"/>
      <c r="P7" s="698"/>
      <c r="Q7" s="698"/>
      <c r="R7" s="698"/>
      <c r="S7" s="698"/>
      <c r="T7" s="698"/>
      <c r="U7" s="698"/>
      <c r="V7" s="698"/>
      <c r="W7" s="698"/>
      <c r="X7" s="698"/>
      <c r="Y7" s="698"/>
    </row>
    <row r="8" spans="1:27" ht="15.6">
      <c r="A8" s="702"/>
      <c r="B8" s="702"/>
      <c r="C8" s="702"/>
      <c r="D8" s="702"/>
      <c r="E8" s="702"/>
      <c r="F8" s="702"/>
      <c r="G8" s="702"/>
      <c r="H8" s="702"/>
      <c r="I8" s="702"/>
      <c r="J8" s="702"/>
      <c r="K8" s="702"/>
      <c r="L8" s="702"/>
      <c r="M8" s="702"/>
      <c r="N8" s="1250"/>
      <c r="O8" s="1250"/>
      <c r="P8" s="1250"/>
      <c r="Q8" s="1250"/>
      <c r="R8" s="1250"/>
      <c r="S8" s="1250"/>
      <c r="T8" s="1250"/>
      <c r="U8" s="1250"/>
      <c r="V8" s="702"/>
      <c r="W8" s="702"/>
      <c r="X8" s="702"/>
      <c r="Y8" s="702"/>
      <c r="Z8" s="701"/>
      <c r="AA8" s="701"/>
    </row>
    <row r="9" spans="1:27" s="713" customFormat="1" ht="21.75" customHeight="1">
      <c r="A9" s="703"/>
      <c r="B9" s="703"/>
      <c r="C9" s="704"/>
      <c r="D9" s="705"/>
      <c r="E9" s="1692" t="s">
        <v>131</v>
      </c>
      <c r="F9" s="1692"/>
      <c r="G9" s="1692"/>
      <c r="H9" s="1692"/>
      <c r="I9" s="1692"/>
      <c r="J9" s="1692"/>
      <c r="K9" s="1692"/>
      <c r="L9" s="1692"/>
      <c r="M9" s="1692"/>
      <c r="N9" s="1692"/>
      <c r="O9" s="1692"/>
      <c r="P9" s="706"/>
      <c r="Q9" s="1690" t="s">
        <v>132</v>
      </c>
      <c r="R9" s="707" t="s">
        <v>133</v>
      </c>
      <c r="S9" s="708"/>
      <c r="T9" s="709" t="s">
        <v>134</v>
      </c>
      <c r="U9" s="710"/>
      <c r="V9" s="707" t="s">
        <v>135</v>
      </c>
      <c r="W9" s="711"/>
      <c r="X9" s="711"/>
      <c r="Y9" s="708"/>
      <c r="Z9" s="712"/>
      <c r="AA9" s="712"/>
    </row>
    <row r="10" spans="1:27" s="713" customFormat="1" ht="19.5" customHeight="1">
      <c r="A10" s="714" t="s">
        <v>136</v>
      </c>
      <c r="B10" s="1048" t="s">
        <v>1231</v>
      </c>
      <c r="C10" s="715"/>
      <c r="D10" s="716" t="s">
        <v>137</v>
      </c>
      <c r="E10" s="717" t="s">
        <v>138</v>
      </c>
      <c r="F10" s="718"/>
      <c r="G10" s="718"/>
      <c r="H10" s="718"/>
      <c r="I10" s="718"/>
      <c r="J10" s="718"/>
      <c r="K10" s="719"/>
      <c r="L10" s="720" t="s">
        <v>139</v>
      </c>
      <c r="M10" s="720"/>
      <c r="N10" s="720"/>
      <c r="O10" s="720"/>
      <c r="P10" s="716" t="s">
        <v>137</v>
      </c>
      <c r="Q10" s="1691"/>
      <c r="R10" s="721"/>
      <c r="S10" s="722"/>
      <c r="T10" s="723"/>
      <c r="U10" s="723"/>
      <c r="V10" s="724"/>
      <c r="W10" s="725"/>
      <c r="X10" s="725"/>
      <c r="Y10" s="726"/>
      <c r="Z10" s="712"/>
      <c r="AA10" s="712"/>
    </row>
    <row r="11" spans="1:27" s="713" customFormat="1" ht="36" customHeight="1">
      <c r="A11" s="714" t="s">
        <v>140</v>
      </c>
      <c r="B11" s="1048" t="s">
        <v>1232</v>
      </c>
      <c r="C11" s="727" t="s">
        <v>141</v>
      </c>
      <c r="D11" s="727" t="s">
        <v>142</v>
      </c>
      <c r="E11" s="728" t="s">
        <v>1022</v>
      </c>
      <c r="F11" s="729" t="s">
        <v>1020</v>
      </c>
      <c r="G11" s="729" t="s">
        <v>143</v>
      </c>
      <c r="H11" s="730" t="s">
        <v>144</v>
      </c>
      <c r="I11" s="730" t="s">
        <v>145</v>
      </c>
      <c r="J11" s="731" t="s">
        <v>220</v>
      </c>
      <c r="K11" s="729" t="s">
        <v>517</v>
      </c>
      <c r="L11" s="732" t="s">
        <v>146</v>
      </c>
      <c r="M11" s="730" t="s">
        <v>147</v>
      </c>
      <c r="N11" s="733" t="s">
        <v>148</v>
      </c>
      <c r="O11" s="729" t="s">
        <v>517</v>
      </c>
      <c r="P11" s="727" t="s">
        <v>149</v>
      </c>
      <c r="Q11" s="734" t="s">
        <v>150</v>
      </c>
      <c r="R11" s="735" t="s">
        <v>151</v>
      </c>
      <c r="S11" s="729" t="s">
        <v>152</v>
      </c>
      <c r="T11" s="729" t="s">
        <v>517</v>
      </c>
      <c r="U11" s="736" t="s">
        <v>153</v>
      </c>
      <c r="V11" s="730" t="s">
        <v>154</v>
      </c>
      <c r="W11" s="730" t="s">
        <v>155</v>
      </c>
      <c r="X11" s="737" t="s">
        <v>156</v>
      </c>
      <c r="Y11" s="738" t="s">
        <v>157</v>
      </c>
      <c r="Z11" s="712"/>
      <c r="AA11" s="712"/>
    </row>
    <row r="12" spans="1:27" ht="24.75" customHeight="1">
      <c r="A12" s="739" t="s">
        <v>625</v>
      </c>
      <c r="B12" s="1050"/>
      <c r="C12" s="1047">
        <f>SUM(C14:C27)</f>
        <v>225</v>
      </c>
      <c r="D12" s="740">
        <f t="shared" ref="D12:U12" si="0">SUM(D14:D27)</f>
        <v>129</v>
      </c>
      <c r="E12" s="740">
        <f t="shared" si="0"/>
        <v>5826</v>
      </c>
      <c r="F12" s="740">
        <f t="shared" si="0"/>
        <v>0</v>
      </c>
      <c r="G12" s="740">
        <f t="shared" si="0"/>
        <v>1341</v>
      </c>
      <c r="H12" s="740">
        <f t="shared" si="0"/>
        <v>139</v>
      </c>
      <c r="I12" s="740">
        <f t="shared" si="0"/>
        <v>578</v>
      </c>
      <c r="J12" s="740">
        <f t="shared" si="0"/>
        <v>2370</v>
      </c>
      <c r="K12" s="740">
        <f>SUM(K14:K27)-J12</f>
        <v>7884</v>
      </c>
      <c r="L12" s="740">
        <f t="shared" si="0"/>
        <v>8054</v>
      </c>
      <c r="M12" s="740">
        <f t="shared" si="0"/>
        <v>1824</v>
      </c>
      <c r="N12" s="740">
        <f t="shared" si="0"/>
        <v>406</v>
      </c>
      <c r="O12" s="741">
        <f>L12+N12</f>
        <v>8460</v>
      </c>
      <c r="P12" s="740">
        <f t="shared" si="0"/>
        <v>99</v>
      </c>
      <c r="Q12" s="740">
        <f t="shared" si="0"/>
        <v>352</v>
      </c>
      <c r="R12" s="740">
        <f t="shared" si="0"/>
        <v>81632</v>
      </c>
      <c r="S12" s="740">
        <f t="shared" si="0"/>
        <v>50103</v>
      </c>
      <c r="T12" s="740">
        <f t="shared" si="0"/>
        <v>50331</v>
      </c>
      <c r="U12" s="740">
        <f t="shared" si="0"/>
        <v>47892</v>
      </c>
      <c r="V12" s="742">
        <f>S12/R12*100</f>
        <v>61.376666013328105</v>
      </c>
      <c r="W12" s="743">
        <f>+T12/O12</f>
        <v>5.949290780141844</v>
      </c>
      <c r="X12" s="744">
        <f>+O12/(R12/30.4)</f>
        <v>3.1505292042336337</v>
      </c>
      <c r="Y12" s="745">
        <f>(+R12-S12)/O12</f>
        <v>3.7268321513002363</v>
      </c>
      <c r="Z12" s="701"/>
      <c r="AA12" s="701"/>
    </row>
    <row r="13" spans="1:27" ht="24.75" customHeight="1">
      <c r="A13" s="1043" t="s">
        <v>1348</v>
      </c>
      <c r="B13" s="714">
        <v>401</v>
      </c>
      <c r="C13" s="1168"/>
      <c r="D13" s="750"/>
      <c r="E13" s="1168"/>
      <c r="F13" s="750"/>
      <c r="G13" s="750"/>
      <c r="H13" s="750"/>
      <c r="I13" s="750"/>
      <c r="J13" s="750"/>
      <c r="K13" s="741"/>
      <c r="L13" s="750"/>
      <c r="M13" s="750"/>
      <c r="N13" s="750"/>
      <c r="O13" s="741"/>
      <c r="P13" s="750"/>
      <c r="Q13" s="750"/>
      <c r="R13" s="750"/>
      <c r="S13" s="750"/>
      <c r="T13" s="750"/>
      <c r="U13" s="741"/>
      <c r="V13" s="742"/>
      <c r="W13" s="743"/>
      <c r="X13" s="744"/>
      <c r="Y13" s="745"/>
      <c r="Z13" s="701"/>
      <c r="AA13" s="701"/>
    </row>
    <row r="14" spans="1:27" ht="24.75" customHeight="1">
      <c r="A14" s="1043" t="s">
        <v>1233</v>
      </c>
      <c r="B14" s="714">
        <v>403</v>
      </c>
      <c r="C14" s="1044">
        <v>110</v>
      </c>
      <c r="D14" s="767">
        <v>74</v>
      </c>
      <c r="E14" s="1044">
        <v>3406</v>
      </c>
      <c r="F14" s="767"/>
      <c r="G14" s="767">
        <v>652</v>
      </c>
      <c r="H14" s="767">
        <v>29</v>
      </c>
      <c r="I14" s="767">
        <v>11</v>
      </c>
      <c r="J14" s="767">
        <v>776</v>
      </c>
      <c r="K14" s="741">
        <f t="shared" ref="K14:K26" si="1">SUM(E14:J14)</f>
        <v>4874</v>
      </c>
      <c r="L14" s="767">
        <v>4070</v>
      </c>
      <c r="M14" s="767">
        <v>548</v>
      </c>
      <c r="N14" s="767">
        <v>272</v>
      </c>
      <c r="O14" s="741">
        <f t="shared" ref="O14:O26" si="2">SUM(L14:N14)</f>
        <v>4890</v>
      </c>
      <c r="P14" s="750">
        <f t="shared" ref="P14:P26" si="3">SUM(D14,K14)-O14</f>
        <v>58</v>
      </c>
      <c r="Q14" s="767">
        <v>90</v>
      </c>
      <c r="R14" s="767">
        <v>42923</v>
      </c>
      <c r="S14" s="767">
        <v>28185</v>
      </c>
      <c r="T14" s="767">
        <v>28368</v>
      </c>
      <c r="U14" s="766">
        <v>27482</v>
      </c>
      <c r="V14" s="742">
        <f t="shared" ref="V14" si="4">S14/R14*100</f>
        <v>65.664096172215352</v>
      </c>
      <c r="W14" s="743">
        <f t="shared" ref="W14" si="5">+T14/O14</f>
        <v>5.8012269938650309</v>
      </c>
      <c r="X14" s="744">
        <f t="shared" ref="X14" si="6">+O14/(R14/30.4)</f>
        <v>3.4633180346201331</v>
      </c>
      <c r="Y14" s="745">
        <f t="shared" ref="Y14" si="7">(+R14-S14)/O14</f>
        <v>3.0139059304703477</v>
      </c>
      <c r="Z14" s="701"/>
      <c r="AA14" s="701"/>
    </row>
    <row r="15" spans="1:27" ht="24.75" customHeight="1">
      <c r="A15" s="1043" t="s">
        <v>1234</v>
      </c>
      <c r="B15" s="714">
        <v>404</v>
      </c>
      <c r="C15" s="1044"/>
      <c r="D15" s="767">
        <v>0</v>
      </c>
      <c r="E15" s="1044"/>
      <c r="F15" s="767"/>
      <c r="G15" s="767"/>
      <c r="H15" s="767"/>
      <c r="I15" s="767"/>
      <c r="J15" s="767"/>
      <c r="K15" s="741">
        <f t="shared" si="1"/>
        <v>0</v>
      </c>
      <c r="L15" s="767"/>
      <c r="M15" s="767"/>
      <c r="N15" s="767"/>
      <c r="O15" s="741">
        <f t="shared" si="2"/>
        <v>0</v>
      </c>
      <c r="P15" s="750">
        <f t="shared" si="3"/>
        <v>0</v>
      </c>
      <c r="Q15" s="767"/>
      <c r="R15" s="767"/>
      <c r="S15" s="767"/>
      <c r="T15" s="767"/>
      <c r="U15" s="766"/>
      <c r="V15" s="742"/>
      <c r="W15" s="743"/>
      <c r="X15" s="744"/>
      <c r="Y15" s="745"/>
      <c r="Z15" s="701"/>
      <c r="AA15" s="701"/>
    </row>
    <row r="16" spans="1:27" ht="24.75" customHeight="1">
      <c r="A16" s="746" t="s">
        <v>158</v>
      </c>
      <c r="B16" s="714">
        <v>416</v>
      </c>
      <c r="C16" s="768">
        <v>40</v>
      </c>
      <c r="D16" s="748">
        <v>20</v>
      </c>
      <c r="E16" s="768">
        <v>1315</v>
      </c>
      <c r="F16" s="751"/>
      <c r="G16" s="751">
        <v>410</v>
      </c>
      <c r="H16" s="751"/>
      <c r="I16" s="751">
        <v>16</v>
      </c>
      <c r="J16" s="749">
        <v>619</v>
      </c>
      <c r="K16" s="741">
        <f t="shared" si="1"/>
        <v>2360</v>
      </c>
      <c r="L16" s="749">
        <v>2298</v>
      </c>
      <c r="M16" s="768">
        <v>69</v>
      </c>
      <c r="N16" s="749"/>
      <c r="O16" s="741">
        <f t="shared" si="2"/>
        <v>2367</v>
      </c>
      <c r="P16" s="750">
        <f t="shared" si="3"/>
        <v>13</v>
      </c>
      <c r="Q16" s="749">
        <v>23</v>
      </c>
      <c r="R16" s="749">
        <v>14080</v>
      </c>
      <c r="S16" s="768">
        <v>7496</v>
      </c>
      <c r="T16" s="749">
        <v>7532</v>
      </c>
      <c r="U16" s="768">
        <v>7317</v>
      </c>
      <c r="V16" s="742">
        <f t="shared" ref="V16:V26" si="8">S16/R16*100</f>
        <v>53.23863636363636</v>
      </c>
      <c r="W16" s="743">
        <f t="shared" ref="W16:W26" si="9">+T16/O16</f>
        <v>3.1820870299957753</v>
      </c>
      <c r="X16" s="744">
        <f t="shared" ref="X16:X26" si="10">+O16/(R16/30.4)</f>
        <v>5.1105681818181816</v>
      </c>
      <c r="Y16" s="745">
        <f t="shared" ref="Y16:Y26" si="11">(+R16-S16)/O16</f>
        <v>2.7815800591465991</v>
      </c>
      <c r="Z16" s="701"/>
      <c r="AA16" s="701"/>
    </row>
    <row r="17" spans="1:27" ht="24.75" customHeight="1">
      <c r="A17" s="1043" t="s">
        <v>1235</v>
      </c>
      <c r="B17" s="714">
        <v>407</v>
      </c>
      <c r="C17" s="768"/>
      <c r="D17" s="748"/>
      <c r="E17" s="768"/>
      <c r="F17" s="749"/>
      <c r="G17" s="749"/>
      <c r="H17" s="749"/>
      <c r="I17" s="749"/>
      <c r="J17" s="749"/>
      <c r="K17" s="741"/>
      <c r="L17" s="749"/>
      <c r="M17" s="768"/>
      <c r="N17" s="749"/>
      <c r="O17" s="741"/>
      <c r="P17" s="750"/>
      <c r="Q17" s="749"/>
      <c r="R17" s="749"/>
      <c r="S17" s="768"/>
      <c r="T17" s="749"/>
      <c r="U17" s="768"/>
      <c r="V17" s="742"/>
      <c r="W17" s="743"/>
      <c r="X17" s="744"/>
      <c r="Y17" s="745"/>
      <c r="Z17" s="701"/>
      <c r="AA17" s="701"/>
    </row>
    <row r="18" spans="1:27" ht="24.75" customHeight="1">
      <c r="A18" s="1043" t="s">
        <v>1236</v>
      </c>
      <c r="B18" s="714">
        <v>409</v>
      </c>
      <c r="C18" s="768">
        <v>23</v>
      </c>
      <c r="D18" s="748">
        <v>11</v>
      </c>
      <c r="E18" s="768">
        <v>581</v>
      </c>
      <c r="F18" s="749"/>
      <c r="G18" s="749">
        <v>216</v>
      </c>
      <c r="H18" s="749">
        <v>19</v>
      </c>
      <c r="I18" s="749">
        <v>5</v>
      </c>
      <c r="J18" s="749">
        <v>175</v>
      </c>
      <c r="K18" s="741">
        <f t="shared" ref="K18" si="12">SUM(E18:J18)</f>
        <v>996</v>
      </c>
      <c r="L18" s="749">
        <v>877</v>
      </c>
      <c r="M18" s="768">
        <v>118</v>
      </c>
      <c r="N18" s="749">
        <v>1</v>
      </c>
      <c r="O18" s="741">
        <f t="shared" ref="O18" si="13">SUM(L18:N18)</f>
        <v>996</v>
      </c>
      <c r="P18" s="750">
        <f t="shared" ref="P18" si="14">SUM(D18,K18)-O18</f>
        <v>11</v>
      </c>
      <c r="Q18" s="749">
        <v>183</v>
      </c>
      <c r="R18" s="749">
        <v>7458</v>
      </c>
      <c r="S18" s="768">
        <v>3290</v>
      </c>
      <c r="T18" s="749">
        <v>3240</v>
      </c>
      <c r="U18" s="768">
        <v>3179</v>
      </c>
      <c r="V18" s="742">
        <f t="shared" ref="V18" si="15">S18/R18*100</f>
        <v>44.113703405738804</v>
      </c>
      <c r="W18" s="743">
        <f t="shared" ref="W18" si="16">+T18/O18</f>
        <v>3.2530120481927711</v>
      </c>
      <c r="X18" s="744">
        <f t="shared" ref="X18" si="17">+O18/(R18/30.4)</f>
        <v>4.0598551890587284</v>
      </c>
      <c r="Y18" s="745">
        <f t="shared" ref="Y18" si="18">(+R18-S18)/O18</f>
        <v>4.1847389558232928</v>
      </c>
      <c r="Z18" s="701"/>
      <c r="AA18" s="701"/>
    </row>
    <row r="19" spans="1:27" ht="24.75" customHeight="1">
      <c r="A19" s="746" t="s">
        <v>159</v>
      </c>
      <c r="B19" s="714">
        <v>413</v>
      </c>
      <c r="C19" s="768">
        <v>6</v>
      </c>
      <c r="D19" s="748">
        <v>3</v>
      </c>
      <c r="E19" s="768">
        <v>14</v>
      </c>
      <c r="F19" s="749"/>
      <c r="G19" s="749">
        <v>4</v>
      </c>
      <c r="H19" s="749"/>
      <c r="I19" s="749">
        <v>53</v>
      </c>
      <c r="J19" s="749">
        <v>131</v>
      </c>
      <c r="K19" s="741">
        <f t="shared" si="1"/>
        <v>202</v>
      </c>
      <c r="L19" s="749">
        <v>172</v>
      </c>
      <c r="M19" s="768">
        <v>27</v>
      </c>
      <c r="N19" s="749">
        <v>2</v>
      </c>
      <c r="O19" s="741">
        <f t="shared" si="2"/>
        <v>201</v>
      </c>
      <c r="P19" s="750">
        <f t="shared" si="3"/>
        <v>4</v>
      </c>
      <c r="Q19" s="749">
        <v>4</v>
      </c>
      <c r="R19" s="749">
        <v>1977</v>
      </c>
      <c r="S19" s="768">
        <v>1103</v>
      </c>
      <c r="T19" s="749">
        <v>1093</v>
      </c>
      <c r="U19" s="768">
        <v>1077</v>
      </c>
      <c r="V19" s="742">
        <f t="shared" si="8"/>
        <v>55.791603439554883</v>
      </c>
      <c r="W19" s="743">
        <f t="shared" si="9"/>
        <v>5.4378109452736316</v>
      </c>
      <c r="X19" s="744">
        <f t="shared" si="10"/>
        <v>3.0907435508345977</v>
      </c>
      <c r="Y19" s="745">
        <f t="shared" si="11"/>
        <v>4.3482587064676617</v>
      </c>
      <c r="Z19" s="701"/>
      <c r="AA19" s="701"/>
    </row>
    <row r="20" spans="1:27" ht="24.75" customHeight="1">
      <c r="A20" s="1043" t="s">
        <v>1425</v>
      </c>
      <c r="B20" s="714">
        <v>411</v>
      </c>
      <c r="C20" s="768">
        <v>2</v>
      </c>
      <c r="D20" s="748">
        <v>1</v>
      </c>
      <c r="E20" s="768">
        <v>16</v>
      </c>
      <c r="F20" s="749"/>
      <c r="G20" s="749">
        <v>4</v>
      </c>
      <c r="H20" s="749">
        <v>7</v>
      </c>
      <c r="I20" s="749">
        <v>1</v>
      </c>
      <c r="J20" s="749">
        <v>11</v>
      </c>
      <c r="K20" s="741">
        <f t="shared" si="1"/>
        <v>39</v>
      </c>
      <c r="L20" s="749">
        <v>5</v>
      </c>
      <c r="M20" s="768">
        <v>34</v>
      </c>
      <c r="N20" s="749">
        <v>1</v>
      </c>
      <c r="O20" s="766">
        <f t="shared" si="2"/>
        <v>40</v>
      </c>
      <c r="P20" s="750">
        <f t="shared" si="3"/>
        <v>0</v>
      </c>
      <c r="Q20" s="749"/>
      <c r="R20" s="749">
        <v>350</v>
      </c>
      <c r="S20" s="768">
        <v>157</v>
      </c>
      <c r="T20" s="749">
        <v>164</v>
      </c>
      <c r="U20" s="768">
        <v>120</v>
      </c>
      <c r="V20" s="742">
        <f t="shared" ref="V20" si="19">S20/R20*100</f>
        <v>44.857142857142854</v>
      </c>
      <c r="W20" s="743">
        <f t="shared" ref="W20" si="20">+T20/O20</f>
        <v>4.0999999999999996</v>
      </c>
      <c r="X20" s="744">
        <f t="shared" ref="X20" si="21">+O20/(R20/30.4)</f>
        <v>3.4742857142857142</v>
      </c>
      <c r="Y20" s="745">
        <f t="shared" ref="Y20" si="22">(+R20-S20)/O20</f>
        <v>4.8250000000000002</v>
      </c>
      <c r="Z20" s="701"/>
      <c r="AA20" s="701"/>
    </row>
    <row r="21" spans="1:27" ht="24.75" customHeight="1">
      <c r="A21" s="1043" t="s">
        <v>1230</v>
      </c>
      <c r="B21" s="1048">
        <v>412</v>
      </c>
      <c r="C21" s="768">
        <v>4</v>
      </c>
      <c r="D21" s="748">
        <v>2</v>
      </c>
      <c r="E21" s="768">
        <v>53</v>
      </c>
      <c r="F21" s="749"/>
      <c r="G21" s="749">
        <v>4</v>
      </c>
      <c r="H21" s="749">
        <v>1</v>
      </c>
      <c r="I21" s="749"/>
      <c r="J21" s="749">
        <v>36</v>
      </c>
      <c r="K21" s="741">
        <f t="shared" si="1"/>
        <v>94</v>
      </c>
      <c r="L21" s="749">
        <v>24</v>
      </c>
      <c r="M21" s="768">
        <v>70</v>
      </c>
      <c r="N21" s="749">
        <v>1</v>
      </c>
      <c r="O21" s="741">
        <f t="shared" si="2"/>
        <v>95</v>
      </c>
      <c r="P21" s="750">
        <f t="shared" si="3"/>
        <v>1</v>
      </c>
      <c r="Q21" s="749">
        <v>1</v>
      </c>
      <c r="R21" s="749">
        <v>1447</v>
      </c>
      <c r="S21" s="768">
        <v>971</v>
      </c>
      <c r="T21" s="749">
        <v>1079</v>
      </c>
      <c r="U21" s="768">
        <v>1072</v>
      </c>
      <c r="V21" s="742">
        <f t="shared" ref="V21" si="23">S21/R21*100</f>
        <v>67.104353835521763</v>
      </c>
      <c r="W21" s="743">
        <f t="shared" ref="W21" si="24">+T21/O21</f>
        <v>11.357894736842105</v>
      </c>
      <c r="X21" s="744">
        <f t="shared" ref="X21" si="25">+O21/(R21/30.4)</f>
        <v>1.9958534899792675</v>
      </c>
      <c r="Y21" s="745">
        <f t="shared" ref="Y21" si="26">(+R21-S21)/O21</f>
        <v>5.0105263157894733</v>
      </c>
      <c r="Z21" s="701"/>
      <c r="AA21" s="701"/>
    </row>
    <row r="22" spans="1:27" ht="24.75" customHeight="1">
      <c r="A22" s="746" t="s">
        <v>160</v>
      </c>
      <c r="B22" s="714">
        <v>414</v>
      </c>
      <c r="C22" s="768">
        <v>5</v>
      </c>
      <c r="D22" s="748">
        <v>5</v>
      </c>
      <c r="E22" s="768">
        <v>2</v>
      </c>
      <c r="F22" s="749"/>
      <c r="G22" s="749">
        <v>13</v>
      </c>
      <c r="H22" s="749"/>
      <c r="I22" s="749">
        <v>124</v>
      </c>
      <c r="J22" s="749">
        <v>32</v>
      </c>
      <c r="K22" s="741">
        <f t="shared" si="1"/>
        <v>171</v>
      </c>
      <c r="L22" s="749">
        <v>10</v>
      </c>
      <c r="M22" s="768">
        <v>155</v>
      </c>
      <c r="N22" s="749">
        <v>8</v>
      </c>
      <c r="O22" s="741">
        <f t="shared" si="2"/>
        <v>173</v>
      </c>
      <c r="P22" s="750">
        <f t="shared" si="3"/>
        <v>3</v>
      </c>
      <c r="Q22" s="749">
        <v>4</v>
      </c>
      <c r="R22" s="749">
        <v>1830</v>
      </c>
      <c r="S22" s="768">
        <v>1563</v>
      </c>
      <c r="T22" s="749">
        <v>1437</v>
      </c>
      <c r="U22" s="768">
        <v>1430</v>
      </c>
      <c r="V22" s="742">
        <f t="shared" si="8"/>
        <v>85.409836065573771</v>
      </c>
      <c r="W22" s="743">
        <f t="shared" si="9"/>
        <v>8.306358381502891</v>
      </c>
      <c r="X22" s="744">
        <f t="shared" si="10"/>
        <v>2.8738797814207646</v>
      </c>
      <c r="Y22" s="745">
        <f t="shared" si="11"/>
        <v>1.5433526011560694</v>
      </c>
      <c r="Z22" s="701"/>
      <c r="AA22" s="701"/>
    </row>
    <row r="23" spans="1:27" ht="24.75" customHeight="1">
      <c r="A23" s="746" t="s">
        <v>161</v>
      </c>
      <c r="B23" s="714">
        <v>405</v>
      </c>
      <c r="C23" s="768">
        <v>6</v>
      </c>
      <c r="D23" s="748">
        <v>5</v>
      </c>
      <c r="E23" s="768">
        <v>163</v>
      </c>
      <c r="F23" s="749"/>
      <c r="G23" s="749">
        <v>4</v>
      </c>
      <c r="H23" s="749">
        <v>62</v>
      </c>
      <c r="I23" s="749">
        <v>3</v>
      </c>
      <c r="J23" s="749">
        <v>144</v>
      </c>
      <c r="K23" s="741">
        <f t="shared" si="1"/>
        <v>376</v>
      </c>
      <c r="L23" s="749">
        <v>40</v>
      </c>
      <c r="M23" s="768">
        <v>243</v>
      </c>
      <c r="N23" s="749">
        <v>93</v>
      </c>
      <c r="O23" s="741">
        <f>SUM(L23:N23)</f>
        <v>376</v>
      </c>
      <c r="P23" s="750">
        <f t="shared" si="3"/>
        <v>5</v>
      </c>
      <c r="Q23" s="749">
        <v>12</v>
      </c>
      <c r="R23" s="749">
        <v>5071</v>
      </c>
      <c r="S23" s="768">
        <v>3266</v>
      </c>
      <c r="T23" s="749">
        <v>3350</v>
      </c>
      <c r="U23" s="768">
        <v>2963</v>
      </c>
      <c r="V23" s="742">
        <f t="shared" si="8"/>
        <v>64.405442713468744</v>
      </c>
      <c r="W23" s="743">
        <f t="shared" si="9"/>
        <v>8.9095744680851059</v>
      </c>
      <c r="X23" s="744">
        <f t="shared" si="10"/>
        <v>2.2540721751133894</v>
      </c>
      <c r="Y23" s="745">
        <f t="shared" si="11"/>
        <v>4.8005319148936172</v>
      </c>
      <c r="Z23" s="701"/>
      <c r="AA23" s="701"/>
    </row>
    <row r="24" spans="1:27" ht="24.75" customHeight="1">
      <c r="A24" s="746" t="s">
        <v>162</v>
      </c>
      <c r="B24" s="714">
        <v>406</v>
      </c>
      <c r="C24" s="768">
        <v>6</v>
      </c>
      <c r="D24" s="748">
        <v>5</v>
      </c>
      <c r="E24" s="768">
        <v>223</v>
      </c>
      <c r="F24" s="749"/>
      <c r="G24" s="749">
        <v>18</v>
      </c>
      <c r="H24" s="749">
        <v>21</v>
      </c>
      <c r="I24" s="749"/>
      <c r="J24" s="749">
        <v>238</v>
      </c>
      <c r="K24" s="741">
        <f t="shared" si="1"/>
        <v>500</v>
      </c>
      <c r="L24" s="749">
        <v>111</v>
      </c>
      <c r="M24" s="768">
        <v>363</v>
      </c>
      <c r="N24" s="749">
        <v>27</v>
      </c>
      <c r="O24" s="741">
        <f>SUM(L24:N24)</f>
        <v>501</v>
      </c>
      <c r="P24" s="750">
        <f t="shared" si="3"/>
        <v>4</v>
      </c>
      <c r="Q24" s="749">
        <v>11</v>
      </c>
      <c r="R24" s="749">
        <v>2655</v>
      </c>
      <c r="S24" s="768">
        <v>1988</v>
      </c>
      <c r="T24" s="749">
        <v>1955</v>
      </c>
      <c r="U24" s="768">
        <v>1915</v>
      </c>
      <c r="V24" s="742">
        <f t="shared" si="8"/>
        <v>74.877589453860637</v>
      </c>
      <c r="W24" s="743">
        <f t="shared" si="9"/>
        <v>3.902195608782435</v>
      </c>
      <c r="X24" s="744">
        <f t="shared" si="10"/>
        <v>5.7364971751412428</v>
      </c>
      <c r="Y24" s="745">
        <f t="shared" si="11"/>
        <v>1.3313373253493015</v>
      </c>
      <c r="Z24" s="701"/>
      <c r="AA24" s="701"/>
    </row>
    <row r="25" spans="1:27" ht="24.75" customHeight="1">
      <c r="A25" s="746" t="s">
        <v>764</v>
      </c>
      <c r="B25" s="714">
        <v>415</v>
      </c>
      <c r="C25" s="768">
        <v>6</v>
      </c>
      <c r="D25" s="748">
        <v>2</v>
      </c>
      <c r="E25" s="768">
        <v>12</v>
      </c>
      <c r="F25" s="749"/>
      <c r="G25" s="749">
        <v>8</v>
      </c>
      <c r="H25" s="749"/>
      <c r="I25" s="749">
        <v>70</v>
      </c>
      <c r="J25" s="749">
        <v>167</v>
      </c>
      <c r="K25" s="741">
        <f t="shared" si="1"/>
        <v>257</v>
      </c>
      <c r="L25" s="749">
        <v>109</v>
      </c>
      <c r="M25" s="768">
        <v>150</v>
      </c>
      <c r="N25" s="749"/>
      <c r="O25" s="741">
        <f>SUM(L25:N25)</f>
        <v>259</v>
      </c>
      <c r="P25" s="750">
        <f>SUM(D25,K25)-O25</f>
        <v>0</v>
      </c>
      <c r="Q25" s="749">
        <v>1</v>
      </c>
      <c r="R25" s="749">
        <v>2382</v>
      </c>
      <c r="S25" s="768">
        <v>1374</v>
      </c>
      <c r="T25" s="749">
        <v>1361</v>
      </c>
      <c r="U25" s="768">
        <v>1337</v>
      </c>
      <c r="V25" s="742">
        <f t="shared" si="8"/>
        <v>57.68261964735516</v>
      </c>
      <c r="W25" s="743">
        <f t="shared" si="9"/>
        <v>5.2548262548262548</v>
      </c>
      <c r="X25" s="744">
        <f t="shared" si="10"/>
        <v>3.3054575986565911</v>
      </c>
      <c r="Y25" s="745">
        <f t="shared" si="11"/>
        <v>3.8918918918918921</v>
      </c>
      <c r="Z25" s="701"/>
      <c r="AA25" s="701"/>
    </row>
    <row r="26" spans="1:27" ht="24.75" customHeight="1">
      <c r="A26" s="746" t="s">
        <v>163</v>
      </c>
      <c r="B26" s="714">
        <v>330</v>
      </c>
      <c r="C26" s="768">
        <v>17</v>
      </c>
      <c r="D26" s="748">
        <v>1</v>
      </c>
      <c r="E26" s="768">
        <v>41</v>
      </c>
      <c r="F26" s="749"/>
      <c r="G26" s="749">
        <v>8</v>
      </c>
      <c r="H26" s="749"/>
      <c r="I26" s="749">
        <v>295</v>
      </c>
      <c r="J26" s="749">
        <v>41</v>
      </c>
      <c r="K26" s="741">
        <f t="shared" si="1"/>
        <v>385</v>
      </c>
      <c r="L26" s="749">
        <v>338</v>
      </c>
      <c r="M26" s="768">
        <v>47</v>
      </c>
      <c r="N26" s="749">
        <v>1</v>
      </c>
      <c r="O26" s="741">
        <f t="shared" si="2"/>
        <v>386</v>
      </c>
      <c r="P26" s="750">
        <f t="shared" si="3"/>
        <v>0</v>
      </c>
      <c r="Q26" s="749">
        <v>23</v>
      </c>
      <c r="R26" s="749">
        <v>1459</v>
      </c>
      <c r="S26" s="768">
        <v>710</v>
      </c>
      <c r="T26" s="749">
        <v>752</v>
      </c>
      <c r="U26" s="768"/>
      <c r="V26" s="742">
        <f t="shared" si="8"/>
        <v>48.663468128855378</v>
      </c>
      <c r="W26" s="743">
        <f t="shared" si="9"/>
        <v>1.9481865284974094</v>
      </c>
      <c r="X26" s="744">
        <f t="shared" si="10"/>
        <v>8.0427690198766264</v>
      </c>
      <c r="Y26" s="745">
        <f t="shared" si="11"/>
        <v>1.9404145077720207</v>
      </c>
      <c r="Z26" s="701"/>
      <c r="AA26" s="701"/>
    </row>
    <row r="27" spans="1:27" ht="24.75" customHeight="1">
      <c r="A27" s="752" t="s">
        <v>981</v>
      </c>
      <c r="B27" s="752"/>
      <c r="C27" s="753"/>
      <c r="D27" s="754"/>
      <c r="E27" s="753"/>
      <c r="F27" s="755"/>
      <c r="G27" s="755"/>
      <c r="H27" s="755"/>
      <c r="I27" s="755"/>
      <c r="J27" s="754"/>
      <c r="K27" s="756"/>
      <c r="L27" s="995"/>
      <c r="M27" s="994"/>
      <c r="N27" s="995"/>
      <c r="O27" s="996"/>
      <c r="P27" s="757"/>
      <c r="Q27" s="755"/>
      <c r="R27" s="769"/>
      <c r="S27" s="770"/>
      <c r="T27" s="769"/>
      <c r="U27" s="770"/>
      <c r="V27" s="758"/>
      <c r="W27" s="759"/>
      <c r="X27" s="760"/>
      <c r="Y27" s="761"/>
      <c r="Z27" s="701"/>
      <c r="AA27" s="701"/>
    </row>
    <row r="28" spans="1:27" ht="15.6">
      <c r="Z28" s="701"/>
      <c r="AA28" s="701"/>
    </row>
    <row r="29" spans="1:27" ht="15.6">
      <c r="Z29" s="701"/>
      <c r="AA29" s="701"/>
    </row>
    <row r="30" spans="1:27" ht="15.6">
      <c r="Z30" s="701"/>
      <c r="AA30" s="701"/>
    </row>
  </sheetData>
  <mergeCells count="2">
    <mergeCell ref="Q9:Q10"/>
    <mergeCell ref="E9:O9"/>
  </mergeCells>
  <phoneticPr fontId="55"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2"/>
  <sheetViews>
    <sheetView showGridLines="0" topLeftCell="A22" zoomScale="75" workbookViewId="0">
      <selection activeCell="B32" sqref="B32"/>
    </sheetView>
  </sheetViews>
  <sheetFormatPr baseColWidth="10" defaultColWidth="12.5546875" defaultRowHeight="13.2"/>
  <cols>
    <col min="1" max="1" width="50.21875" style="762" customWidth="1"/>
    <col min="2" max="14" width="12.44140625" style="762" customWidth="1"/>
    <col min="15" max="17" width="8.21875" style="762" customWidth="1"/>
    <col min="18" max="19" width="9.5546875" style="762" customWidth="1"/>
    <col min="20" max="21" width="9.21875" style="762" customWidth="1"/>
    <col min="22" max="22" width="8.21875" style="762" customWidth="1"/>
    <col min="23" max="23" width="8.77734375" style="762" customWidth="1"/>
    <col min="24" max="25" width="8.5546875" style="762" customWidth="1"/>
    <col min="26" max="26" width="10.77734375" style="700" customWidth="1"/>
    <col min="27" max="27" width="9.21875" style="700" customWidth="1"/>
    <col min="28" max="16384" width="12.5546875" style="700"/>
  </cols>
  <sheetData>
    <row r="1" spans="1:27">
      <c r="A1" s="1693" t="s">
        <v>1361</v>
      </c>
      <c r="B1" s="1693"/>
      <c r="C1" s="1693"/>
      <c r="D1" s="1693"/>
      <c r="E1" s="1693"/>
      <c r="F1" s="1693"/>
      <c r="G1" s="1693"/>
      <c r="H1" s="1693"/>
      <c r="I1" s="1693"/>
      <c r="J1" s="1693"/>
      <c r="K1" s="1693"/>
      <c r="L1" s="1693"/>
      <c r="M1" s="1693"/>
      <c r="N1" s="1693"/>
      <c r="O1" s="698"/>
      <c r="P1" s="698"/>
      <c r="Q1" s="698"/>
      <c r="R1" s="698"/>
      <c r="S1" s="698"/>
      <c r="T1" s="698"/>
      <c r="U1" s="698"/>
      <c r="V1" s="698"/>
      <c r="W1" s="698"/>
      <c r="X1" s="698"/>
      <c r="Y1" s="698"/>
    </row>
    <row r="2" spans="1:27">
      <c r="A2" s="697"/>
      <c r="B2" s="697"/>
      <c r="C2" s="698"/>
      <c r="D2" s="698"/>
      <c r="E2" s="698"/>
      <c r="F2" s="698"/>
      <c r="G2" s="698"/>
      <c r="H2" s="698"/>
      <c r="I2" s="698"/>
      <c r="J2" s="698"/>
      <c r="K2" s="698"/>
      <c r="L2" s="698"/>
      <c r="M2" s="698"/>
      <c r="N2" s="698"/>
      <c r="O2" s="698"/>
      <c r="P2" s="698"/>
      <c r="Q2" s="698"/>
      <c r="R2" s="698"/>
      <c r="S2" s="698"/>
      <c r="T2" s="698"/>
      <c r="U2" s="698"/>
      <c r="V2" s="698"/>
      <c r="W2" s="698"/>
      <c r="X2" s="698"/>
      <c r="Y2" s="698"/>
    </row>
    <row r="3" spans="1:27">
      <c r="A3" s="1693" t="str">
        <f>+'74'!A3</f>
        <v>SERVICIO DE SALUD   ACONCAGUA   2020</v>
      </c>
      <c r="B3" s="1693"/>
      <c r="C3" s="1693"/>
      <c r="D3" s="1693"/>
      <c r="E3" s="1693"/>
      <c r="F3" s="1693"/>
      <c r="G3" s="1693"/>
      <c r="H3" s="1693"/>
      <c r="I3" s="1693"/>
      <c r="J3" s="1693"/>
      <c r="K3" s="1693"/>
      <c r="L3" s="1693"/>
      <c r="M3" s="1693"/>
      <c r="N3" s="1693"/>
      <c r="O3" s="698"/>
      <c r="P3" s="698"/>
      <c r="Q3" s="698"/>
      <c r="R3" s="698"/>
      <c r="S3" s="698"/>
      <c r="T3" s="698"/>
      <c r="U3" s="698"/>
      <c r="V3" s="698"/>
      <c r="W3" s="698"/>
      <c r="X3" s="698"/>
      <c r="Y3" s="698"/>
    </row>
    <row r="4" spans="1:27">
      <c r="A4" s="698"/>
      <c r="B4" s="698"/>
      <c r="C4" s="698"/>
      <c r="D4" s="698"/>
      <c r="E4" s="698"/>
      <c r="F4" s="698"/>
      <c r="G4" s="698"/>
      <c r="H4" s="698"/>
      <c r="I4" s="698"/>
      <c r="J4" s="698"/>
      <c r="K4" s="698"/>
      <c r="L4" s="698"/>
      <c r="M4" s="698"/>
      <c r="N4" s="698"/>
      <c r="O4" s="698"/>
      <c r="P4" s="698"/>
      <c r="Q4" s="698"/>
      <c r="R4" s="698"/>
      <c r="S4" s="698"/>
      <c r="T4" s="698"/>
      <c r="U4" s="698"/>
      <c r="V4" s="698"/>
      <c r="W4" s="698"/>
      <c r="X4" s="698"/>
      <c r="Y4" s="698"/>
    </row>
    <row r="5" spans="1:27" ht="15.6">
      <c r="Z5" s="701"/>
      <c r="AA5" s="701"/>
    </row>
    <row r="6" spans="1:27" s="6" customFormat="1" ht="21" customHeight="1">
      <c r="A6" s="1088" t="s">
        <v>1267</v>
      </c>
      <c r="B6" s="1081" t="s">
        <v>491</v>
      </c>
      <c r="C6" s="1079" t="s">
        <v>1243</v>
      </c>
      <c r="D6" s="1079" t="s">
        <v>1244</v>
      </c>
      <c r="E6" s="1079" t="s">
        <v>1245</v>
      </c>
      <c r="F6" s="1079" t="s">
        <v>1246</v>
      </c>
      <c r="G6" s="1079" t="s">
        <v>1247</v>
      </c>
      <c r="H6" s="1079" t="s">
        <v>1248</v>
      </c>
      <c r="I6" s="1079" t="s">
        <v>1249</v>
      </c>
      <c r="J6" s="1079" t="s">
        <v>1250</v>
      </c>
      <c r="K6" s="1079" t="s">
        <v>1251</v>
      </c>
      <c r="L6" s="1079" t="s">
        <v>1252</v>
      </c>
      <c r="M6" s="1079" t="s">
        <v>1253</v>
      </c>
      <c r="N6" s="1080" t="s">
        <v>1254</v>
      </c>
      <c r="O6" s="10"/>
    </row>
    <row r="7" spans="1:27" s="8" customFormat="1" ht="18.75" customHeight="1">
      <c r="A7" s="1085" t="s">
        <v>1255</v>
      </c>
      <c r="B7" s="529">
        <f>SUM(C7:N7)</f>
        <v>25770</v>
      </c>
      <c r="C7" s="530">
        <v>97</v>
      </c>
      <c r="D7" s="530">
        <v>3</v>
      </c>
      <c r="E7" s="530">
        <v>0</v>
      </c>
      <c r="F7" s="530">
        <v>2721</v>
      </c>
      <c r="G7" s="530">
        <v>677</v>
      </c>
      <c r="H7" s="530">
        <v>114</v>
      </c>
      <c r="I7" s="530">
        <v>6146</v>
      </c>
      <c r="J7" s="530">
        <v>10944</v>
      </c>
      <c r="K7" s="530">
        <v>2685</v>
      </c>
      <c r="L7" s="530">
        <v>203</v>
      </c>
      <c r="M7" s="530">
        <v>1410</v>
      </c>
      <c r="N7" s="531">
        <v>770</v>
      </c>
    </row>
    <row r="8" spans="1:27" s="8" customFormat="1" ht="18.75" customHeight="1">
      <c r="A8" s="1086" t="s">
        <v>1256</v>
      </c>
      <c r="B8" s="523">
        <f t="shared" ref="B8:B16" si="0">SUM(C8:N8)</f>
        <v>2998</v>
      </c>
      <c r="C8" s="522">
        <v>13</v>
      </c>
      <c r="D8" s="522">
        <v>0</v>
      </c>
      <c r="E8" s="522">
        <v>0</v>
      </c>
      <c r="F8" s="522">
        <v>941</v>
      </c>
      <c r="G8" s="522">
        <v>65</v>
      </c>
      <c r="H8" s="522">
        <v>0</v>
      </c>
      <c r="I8" s="522">
        <v>1317</v>
      </c>
      <c r="J8" s="522">
        <v>450</v>
      </c>
      <c r="K8" s="522">
        <v>1</v>
      </c>
      <c r="L8" s="522">
        <v>114</v>
      </c>
      <c r="M8" s="522">
        <v>97</v>
      </c>
      <c r="N8" s="507">
        <v>0</v>
      </c>
    </row>
    <row r="9" spans="1:27" s="8" customFormat="1" ht="18.75" customHeight="1">
      <c r="A9" s="1086" t="s">
        <v>1257</v>
      </c>
      <c r="B9" s="523">
        <f t="shared" si="0"/>
        <v>997</v>
      </c>
      <c r="C9" s="522">
        <v>4</v>
      </c>
      <c r="D9" s="522">
        <v>0</v>
      </c>
      <c r="E9" s="522">
        <v>0</v>
      </c>
      <c r="F9" s="522">
        <v>30</v>
      </c>
      <c r="G9" s="522">
        <v>0</v>
      </c>
      <c r="H9" s="522">
        <v>0</v>
      </c>
      <c r="I9" s="522">
        <v>826</v>
      </c>
      <c r="J9" s="522">
        <v>0</v>
      </c>
      <c r="K9" s="522">
        <v>0</v>
      </c>
      <c r="L9" s="522">
        <v>137</v>
      </c>
      <c r="M9" s="522">
        <v>0</v>
      </c>
      <c r="N9" s="507">
        <v>0</v>
      </c>
    </row>
    <row r="10" spans="1:27" s="8" customFormat="1" ht="18.75" customHeight="1">
      <c r="A10" s="1086" t="s">
        <v>1258</v>
      </c>
      <c r="B10" s="523">
        <f t="shared" si="0"/>
        <v>6768</v>
      </c>
      <c r="C10" s="522">
        <v>0</v>
      </c>
      <c r="D10" s="522">
        <v>0</v>
      </c>
      <c r="E10" s="522">
        <v>0</v>
      </c>
      <c r="F10" s="522">
        <v>14</v>
      </c>
      <c r="G10" s="522">
        <v>383</v>
      </c>
      <c r="H10" s="522">
        <v>0</v>
      </c>
      <c r="I10" s="522">
        <v>16</v>
      </c>
      <c r="J10" s="522">
        <v>3073</v>
      </c>
      <c r="K10" s="522">
        <v>941</v>
      </c>
      <c r="L10" s="522">
        <v>11</v>
      </c>
      <c r="M10" s="522">
        <v>1362</v>
      </c>
      <c r="N10" s="507">
        <v>968</v>
      </c>
    </row>
    <row r="11" spans="1:27" s="8" customFormat="1" ht="22.8">
      <c r="A11" s="1086" t="s">
        <v>1263</v>
      </c>
      <c r="B11" s="523">
        <f t="shared" si="0"/>
        <v>1476</v>
      </c>
      <c r="C11" s="522">
        <v>396</v>
      </c>
      <c r="D11" s="522">
        <v>0</v>
      </c>
      <c r="E11" s="522">
        <v>0</v>
      </c>
      <c r="F11" s="522">
        <v>1013</v>
      </c>
      <c r="G11" s="522">
        <v>0</v>
      </c>
      <c r="H11" s="522">
        <v>0</v>
      </c>
      <c r="I11" s="522">
        <v>67</v>
      </c>
      <c r="J11" s="522">
        <v>0</v>
      </c>
      <c r="K11" s="522">
        <v>0</v>
      </c>
      <c r="L11" s="522">
        <v>0</v>
      </c>
      <c r="M11" s="522">
        <v>0</v>
      </c>
      <c r="N11" s="507">
        <v>0</v>
      </c>
    </row>
    <row r="12" spans="1:27" s="8" customFormat="1" ht="20.25" customHeight="1">
      <c r="A12" s="1086" t="s">
        <v>1259</v>
      </c>
      <c r="B12" s="523">
        <f t="shared" si="0"/>
        <v>3135</v>
      </c>
      <c r="C12" s="522">
        <v>2782</v>
      </c>
      <c r="D12" s="522">
        <v>1</v>
      </c>
      <c r="E12" s="522">
        <v>1</v>
      </c>
      <c r="F12" s="522">
        <v>313</v>
      </c>
      <c r="G12" s="522">
        <v>34</v>
      </c>
      <c r="H12" s="522">
        <v>0</v>
      </c>
      <c r="I12" s="522">
        <v>1</v>
      </c>
      <c r="J12" s="522">
        <v>3</v>
      </c>
      <c r="K12" s="522">
        <v>0</v>
      </c>
      <c r="L12" s="522">
        <v>0</v>
      </c>
      <c r="M12" s="522">
        <v>0</v>
      </c>
      <c r="N12" s="507">
        <v>0</v>
      </c>
    </row>
    <row r="13" spans="1:27" s="8" customFormat="1" ht="22.8">
      <c r="A13" s="1086" t="s">
        <v>1260</v>
      </c>
      <c r="B13" s="523">
        <f t="shared" si="0"/>
        <v>1808</v>
      </c>
      <c r="C13" s="522">
        <v>279</v>
      </c>
      <c r="D13" s="522">
        <v>1</v>
      </c>
      <c r="E13" s="522">
        <v>5</v>
      </c>
      <c r="F13" s="522">
        <v>1126</v>
      </c>
      <c r="G13" s="522">
        <v>265</v>
      </c>
      <c r="H13" s="522">
        <v>9</v>
      </c>
      <c r="I13" s="522">
        <v>40</v>
      </c>
      <c r="J13" s="522">
        <v>73</v>
      </c>
      <c r="K13" s="522">
        <v>9</v>
      </c>
      <c r="L13" s="522">
        <v>0</v>
      </c>
      <c r="M13" s="522">
        <v>1</v>
      </c>
      <c r="N13" s="507">
        <v>0</v>
      </c>
    </row>
    <row r="14" spans="1:27" s="8" customFormat="1" ht="20.25" customHeight="1">
      <c r="A14" s="1086" t="s">
        <v>1426</v>
      </c>
      <c r="B14" s="523">
        <f t="shared" si="0"/>
        <v>110</v>
      </c>
      <c r="C14" s="522">
        <v>71</v>
      </c>
      <c r="D14" s="522">
        <v>0</v>
      </c>
      <c r="E14" s="522">
        <v>0</v>
      </c>
      <c r="F14" s="522">
        <v>31</v>
      </c>
      <c r="G14" s="522">
        <v>1</v>
      </c>
      <c r="H14" s="522">
        <v>0</v>
      </c>
      <c r="I14" s="522">
        <v>5</v>
      </c>
      <c r="J14" s="522">
        <v>2</v>
      </c>
      <c r="K14" s="522">
        <v>0</v>
      </c>
      <c r="L14" s="522">
        <v>0</v>
      </c>
      <c r="M14" s="522">
        <v>0</v>
      </c>
      <c r="N14" s="507">
        <v>0</v>
      </c>
    </row>
    <row r="15" spans="1:27" s="8" customFormat="1" ht="30.75" customHeight="1">
      <c r="A15" s="1086" t="s">
        <v>1262</v>
      </c>
      <c r="B15" s="523">
        <f t="shared" si="0"/>
        <v>897</v>
      </c>
      <c r="C15" s="522">
        <v>343</v>
      </c>
      <c r="D15" s="522">
        <v>0</v>
      </c>
      <c r="E15" s="522">
        <v>0</v>
      </c>
      <c r="F15" s="522">
        <v>544</v>
      </c>
      <c r="G15" s="522">
        <v>5</v>
      </c>
      <c r="H15" s="522">
        <v>0</v>
      </c>
      <c r="I15" s="522">
        <v>5</v>
      </c>
      <c r="J15" s="522">
        <v>0</v>
      </c>
      <c r="K15" s="522">
        <v>0</v>
      </c>
      <c r="L15" s="522">
        <v>0</v>
      </c>
      <c r="M15" s="522">
        <v>0</v>
      </c>
      <c r="N15" s="507">
        <v>0</v>
      </c>
    </row>
    <row r="16" spans="1:27" s="8" customFormat="1" ht="22.8">
      <c r="A16" s="1086" t="s">
        <v>1261</v>
      </c>
      <c r="B16" s="523">
        <f t="shared" si="0"/>
        <v>1255</v>
      </c>
      <c r="C16" s="522">
        <v>2</v>
      </c>
      <c r="D16" s="522">
        <v>0</v>
      </c>
      <c r="E16" s="522">
        <v>0</v>
      </c>
      <c r="F16" s="522">
        <v>322</v>
      </c>
      <c r="G16" s="522">
        <v>0</v>
      </c>
      <c r="H16" s="522">
        <v>2</v>
      </c>
      <c r="I16" s="522">
        <v>891</v>
      </c>
      <c r="J16" s="522">
        <v>0</v>
      </c>
      <c r="K16" s="522">
        <v>0</v>
      </c>
      <c r="L16" s="522">
        <v>38</v>
      </c>
      <c r="M16" s="522">
        <v>0</v>
      </c>
      <c r="N16" s="507">
        <v>0</v>
      </c>
    </row>
    <row r="17" spans="1:14" s="8" customFormat="1" ht="24" customHeight="1">
      <c r="A17" s="1087" t="s">
        <v>491</v>
      </c>
      <c r="B17" s="527">
        <f>SUM(B7:B16)</f>
        <v>45214</v>
      </c>
      <c r="C17" s="525">
        <f>SUM(C7:C16)</f>
        <v>3987</v>
      </c>
      <c r="D17" s="525">
        <f t="shared" ref="D17:N17" si="1">SUM(D7:D16)</f>
        <v>5</v>
      </c>
      <c r="E17" s="525">
        <f t="shared" si="1"/>
        <v>6</v>
      </c>
      <c r="F17" s="525">
        <f t="shared" si="1"/>
        <v>7055</v>
      </c>
      <c r="G17" s="525">
        <f t="shared" si="1"/>
        <v>1430</v>
      </c>
      <c r="H17" s="525">
        <f t="shared" si="1"/>
        <v>125</v>
      </c>
      <c r="I17" s="525">
        <f t="shared" si="1"/>
        <v>9314</v>
      </c>
      <c r="J17" s="525">
        <f t="shared" si="1"/>
        <v>14545</v>
      </c>
      <c r="K17" s="525">
        <f t="shared" si="1"/>
        <v>3636</v>
      </c>
      <c r="L17" s="525">
        <f t="shared" si="1"/>
        <v>503</v>
      </c>
      <c r="M17" s="525">
        <f t="shared" si="1"/>
        <v>2870</v>
      </c>
      <c r="N17" s="526">
        <f t="shared" si="1"/>
        <v>1738</v>
      </c>
    </row>
    <row r="20" spans="1:14" ht="19.5" customHeight="1">
      <c r="A20" s="62"/>
      <c r="B20" s="1694" t="s">
        <v>133</v>
      </c>
      <c r="C20" s="1694"/>
      <c r="D20" s="1694"/>
      <c r="E20" s="1695" t="s">
        <v>1272</v>
      </c>
      <c r="F20" s="1696"/>
    </row>
    <row r="21" spans="1:14" ht="21" customHeight="1">
      <c r="A21" s="1089" t="s">
        <v>1267</v>
      </c>
      <c r="B21" s="1090" t="s">
        <v>1271</v>
      </c>
      <c r="C21" s="1090" t="s">
        <v>1270</v>
      </c>
      <c r="D21" s="1090" t="s">
        <v>891</v>
      </c>
      <c r="E21" s="1091" t="s">
        <v>491</v>
      </c>
      <c r="F21" s="1091" t="s">
        <v>511</v>
      </c>
    </row>
    <row r="22" spans="1:14" ht="21" customHeight="1">
      <c r="A22" s="1085" t="s">
        <v>1255</v>
      </c>
      <c r="B22" s="1082">
        <f>+'76'!S14</f>
        <v>28185</v>
      </c>
      <c r="C22" s="1083">
        <f t="shared" ref="C22:C32" si="2">+B7</f>
        <v>25770</v>
      </c>
      <c r="D22" s="1117">
        <f>+C22/B22*100</f>
        <v>91.431612559872278</v>
      </c>
      <c r="E22" s="1082">
        <f t="shared" ref="E22:E32" si="3">SUM(M7:N7)</f>
        <v>2180</v>
      </c>
      <c r="F22" s="1117">
        <f t="shared" ref="F22:F32" si="4">+E22/B7*100</f>
        <v>8.4594489716724866</v>
      </c>
    </row>
    <row r="23" spans="1:14" ht="21" customHeight="1">
      <c r="A23" s="1086" t="s">
        <v>1256</v>
      </c>
      <c r="B23" s="1084">
        <f>+'76'!S18</f>
        <v>3290</v>
      </c>
      <c r="C23" s="325">
        <f t="shared" si="2"/>
        <v>2998</v>
      </c>
      <c r="D23" s="1118">
        <f t="shared" ref="D23" si="5">+C23/B23*100</f>
        <v>91.124620060790278</v>
      </c>
      <c r="E23" s="1084">
        <f t="shared" si="3"/>
        <v>97</v>
      </c>
      <c r="F23" s="1118">
        <f t="shared" si="4"/>
        <v>3.2354903268845896</v>
      </c>
    </row>
    <row r="24" spans="1:14" ht="21" customHeight="1">
      <c r="A24" s="1086" t="s">
        <v>1257</v>
      </c>
      <c r="B24" s="1084">
        <f>+'76'!S19</f>
        <v>1103</v>
      </c>
      <c r="C24" s="325">
        <f t="shared" si="2"/>
        <v>997</v>
      </c>
      <c r="D24" s="1118">
        <f t="shared" ref="D24:D32" si="6">+C24/B24*100</f>
        <v>90.389845874886674</v>
      </c>
      <c r="E24" s="1084">
        <f t="shared" si="3"/>
        <v>0</v>
      </c>
      <c r="F24" s="1118">
        <f t="shared" si="4"/>
        <v>0</v>
      </c>
    </row>
    <row r="25" spans="1:14" ht="21" customHeight="1">
      <c r="A25" s="1086" t="s">
        <v>1258</v>
      </c>
      <c r="B25" s="1084">
        <f>+'76'!S16</f>
        <v>7496</v>
      </c>
      <c r="C25" s="325">
        <f t="shared" si="2"/>
        <v>6768</v>
      </c>
      <c r="D25" s="1118">
        <f t="shared" si="6"/>
        <v>90.288153681963706</v>
      </c>
      <c r="E25" s="1084">
        <f t="shared" si="3"/>
        <v>2330</v>
      </c>
      <c r="F25" s="1118">
        <f t="shared" si="4"/>
        <v>34.426713947990542</v>
      </c>
    </row>
    <row r="26" spans="1:14" ht="22.8">
      <c r="A26" s="1086" t="s">
        <v>1263</v>
      </c>
      <c r="B26" s="1084">
        <f>+'76'!S22</f>
        <v>1563</v>
      </c>
      <c r="C26" s="325">
        <f t="shared" si="2"/>
        <v>1476</v>
      </c>
      <c r="D26" s="1118">
        <f t="shared" si="6"/>
        <v>94.433781190019189</v>
      </c>
      <c r="E26" s="1084">
        <f t="shared" si="3"/>
        <v>0</v>
      </c>
      <c r="F26" s="1118">
        <f t="shared" si="4"/>
        <v>0</v>
      </c>
    </row>
    <row r="27" spans="1:14">
      <c r="A27" s="1086" t="s">
        <v>1259</v>
      </c>
      <c r="B27" s="1084">
        <f>+'76'!S23</f>
        <v>3266</v>
      </c>
      <c r="C27" s="325">
        <f t="shared" si="2"/>
        <v>3135</v>
      </c>
      <c r="D27" s="1118">
        <f t="shared" si="6"/>
        <v>95.988977342314769</v>
      </c>
      <c r="E27" s="1084">
        <f t="shared" si="3"/>
        <v>0</v>
      </c>
      <c r="F27" s="1118">
        <f t="shared" si="4"/>
        <v>0</v>
      </c>
    </row>
    <row r="28" spans="1:14" ht="22.8">
      <c r="A28" s="1086" t="s">
        <v>1260</v>
      </c>
      <c r="B28" s="1084">
        <f>+'76'!S24</f>
        <v>1988</v>
      </c>
      <c r="C28" s="325">
        <f t="shared" si="2"/>
        <v>1808</v>
      </c>
      <c r="D28" s="1118">
        <f t="shared" si="6"/>
        <v>90.945674044265587</v>
      </c>
      <c r="E28" s="1084">
        <f t="shared" si="3"/>
        <v>1</v>
      </c>
      <c r="F28" s="1118">
        <f t="shared" si="4"/>
        <v>5.5309734513274339E-2</v>
      </c>
    </row>
    <row r="29" spans="1:14" ht="18.75" customHeight="1">
      <c r="A29" s="1086" t="s">
        <v>1426</v>
      </c>
      <c r="B29" s="1084">
        <f>+'76'!S20</f>
        <v>157</v>
      </c>
      <c r="C29" s="325">
        <f t="shared" si="2"/>
        <v>110</v>
      </c>
      <c r="D29" s="1118">
        <f t="shared" ref="D29" si="7">+C29/B29*100</f>
        <v>70.063694267515913</v>
      </c>
      <c r="E29" s="1084">
        <f t="shared" si="3"/>
        <v>0</v>
      </c>
      <c r="F29" s="1118">
        <f t="shared" si="4"/>
        <v>0</v>
      </c>
    </row>
    <row r="30" spans="1:14" ht="22.8">
      <c r="A30" s="1086" t="s">
        <v>1262</v>
      </c>
      <c r="B30" s="1084">
        <f>+'76'!S21</f>
        <v>971</v>
      </c>
      <c r="C30" s="325">
        <f t="shared" si="2"/>
        <v>897</v>
      </c>
      <c r="D30" s="1118">
        <f t="shared" si="6"/>
        <v>92.378990731204951</v>
      </c>
      <c r="E30" s="1084">
        <f t="shared" si="3"/>
        <v>0</v>
      </c>
      <c r="F30" s="1118">
        <f t="shared" si="4"/>
        <v>0</v>
      </c>
    </row>
    <row r="31" spans="1:14" ht="22.8">
      <c r="A31" s="1086" t="s">
        <v>1261</v>
      </c>
      <c r="B31" s="1084">
        <f>+'76'!S25</f>
        <v>1374</v>
      </c>
      <c r="C31" s="325">
        <f t="shared" si="2"/>
        <v>1255</v>
      </c>
      <c r="D31" s="1118">
        <f t="shared" si="6"/>
        <v>91.339155749636106</v>
      </c>
      <c r="E31" s="1084">
        <f t="shared" si="3"/>
        <v>0</v>
      </c>
      <c r="F31" s="1118">
        <f t="shared" si="4"/>
        <v>0</v>
      </c>
    </row>
    <row r="32" spans="1:14" ht="24.75" customHeight="1">
      <c r="A32" s="1087" t="s">
        <v>491</v>
      </c>
      <c r="B32" s="629">
        <f>SUM(B22:B31)</f>
        <v>49393</v>
      </c>
      <c r="C32" s="327">
        <f t="shared" si="2"/>
        <v>45214</v>
      </c>
      <c r="D32" s="1119">
        <f t="shared" si="6"/>
        <v>91.53928694349402</v>
      </c>
      <c r="E32" s="629">
        <f t="shared" si="3"/>
        <v>4608</v>
      </c>
      <c r="F32" s="1120">
        <f t="shared" si="4"/>
        <v>10.191533595788915</v>
      </c>
    </row>
  </sheetData>
  <mergeCells count="4">
    <mergeCell ref="A1:N1"/>
    <mergeCell ref="A3:N3"/>
    <mergeCell ref="B20:D20"/>
    <mergeCell ref="E20:F20"/>
  </mergeCells>
  <printOptions horizontalCentered="1" verticalCentered="1" gridLinesSet="0"/>
  <pageMargins left="0.98425196850393704" right="0.78740157480314965" top="0.27559055118110237" bottom="0.23622047244094491" header="0.73" footer="0.39370078740157483"/>
  <pageSetup paperSize="5" scale="73" orientation="landscape" horizontalDpi="300" verticalDpi="300" r:id="rId1"/>
  <headerFooter alignWithMargins="0"/>
  <ignoredErrors>
    <ignoredError sqref="E22:F22 E30:E32 E23:E28" formulaRange="1"/>
    <ignoredError sqref="F30:F32 F23:F28" evalError="1" formulaRange="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topLeftCell="A9" zoomScale="75" zoomScaleNormal="75" workbookViewId="0">
      <pane xSplit="3" ySplit="3" topLeftCell="D12" activePane="bottomRight" state="frozen"/>
      <selection activeCell="A9" sqref="A9"/>
      <selection pane="topRight" activeCell="D9" sqref="D9"/>
      <selection pane="bottomLeft" activeCell="A12" sqref="A12"/>
      <selection pane="bottomRight" activeCell="U26" sqref="U26"/>
    </sheetView>
  </sheetViews>
  <sheetFormatPr baseColWidth="10" defaultColWidth="12.5546875" defaultRowHeight="13.2"/>
  <cols>
    <col min="1" max="1" width="29.77734375" style="762" customWidth="1"/>
    <col min="2" max="2" width="9.5546875" style="762" customWidth="1"/>
    <col min="3" max="9" width="8.21875" style="762" customWidth="1"/>
    <col min="10" max="10" width="7" style="762" customWidth="1"/>
    <col min="11" max="12" width="8.21875" style="762" customWidth="1"/>
    <col min="13" max="13" width="9.21875" style="762" customWidth="1"/>
    <col min="14" max="14" width="8.77734375" style="762" customWidth="1"/>
    <col min="15" max="17" width="8.21875" style="762" customWidth="1"/>
    <col min="18" max="18" width="9.21875" style="762" customWidth="1"/>
    <col min="19" max="21" width="10" style="762" customWidth="1"/>
    <col min="22" max="25" width="8.21875" style="762" customWidth="1"/>
    <col min="26" max="26" width="10.77734375" style="700" customWidth="1"/>
    <col min="27" max="27" width="9.21875" style="700" customWidth="1"/>
    <col min="28" max="16384" width="12.5546875" style="700"/>
  </cols>
  <sheetData>
    <row r="1" spans="1:27">
      <c r="A1" s="697" t="s">
        <v>168</v>
      </c>
      <c r="B1" s="697"/>
      <c r="C1" s="698"/>
      <c r="D1" s="698"/>
      <c r="E1" s="698"/>
      <c r="F1" s="698"/>
      <c r="G1" s="698"/>
      <c r="H1" s="698"/>
      <c r="I1" s="698"/>
      <c r="J1" s="698"/>
      <c r="K1" s="699"/>
      <c r="L1" s="698"/>
      <c r="M1" s="698"/>
      <c r="N1" s="698"/>
      <c r="O1" s="698"/>
      <c r="P1" s="698"/>
      <c r="Q1" s="698"/>
      <c r="R1" s="698"/>
      <c r="S1" s="698"/>
      <c r="T1" s="698"/>
      <c r="U1" s="698"/>
      <c r="V1" s="698"/>
      <c r="W1" s="698"/>
      <c r="X1" s="698"/>
      <c r="Y1" s="698"/>
    </row>
    <row r="2" spans="1:27">
      <c r="A2" s="697"/>
      <c r="B2" s="697"/>
      <c r="C2" s="698"/>
      <c r="D2" s="698"/>
      <c r="E2" s="698"/>
      <c r="F2" s="698"/>
      <c r="G2" s="698"/>
      <c r="H2" s="698"/>
      <c r="I2" s="698"/>
      <c r="J2" s="698"/>
      <c r="K2" s="698"/>
      <c r="L2" s="698"/>
      <c r="M2" s="698"/>
      <c r="N2" s="698"/>
      <c r="O2" s="698"/>
      <c r="P2" s="698"/>
      <c r="Q2" s="698"/>
      <c r="R2" s="698"/>
      <c r="S2" s="698"/>
      <c r="T2" s="698"/>
      <c r="U2" s="698"/>
      <c r="V2" s="698"/>
      <c r="W2" s="698"/>
      <c r="X2" s="698"/>
      <c r="Y2" s="698"/>
    </row>
    <row r="3" spans="1:27">
      <c r="A3" s="697" t="str">
        <f>+'76'!A3</f>
        <v>SERVICIO DE SALUD   ACONCAGUA   2020</v>
      </c>
      <c r="B3" s="697"/>
      <c r="C3" s="698"/>
      <c r="D3" s="698"/>
      <c r="E3" s="698"/>
      <c r="F3" s="698"/>
      <c r="G3" s="698"/>
      <c r="H3" s="698"/>
      <c r="I3" s="698"/>
      <c r="J3" s="698"/>
      <c r="K3" s="698"/>
      <c r="L3" s="698"/>
      <c r="M3" s="698"/>
      <c r="N3" s="698"/>
      <c r="O3" s="698"/>
      <c r="P3" s="698"/>
      <c r="Q3" s="698"/>
      <c r="R3" s="698"/>
      <c r="S3" s="698"/>
      <c r="T3" s="698"/>
      <c r="U3" s="698"/>
      <c r="V3" s="698"/>
      <c r="W3" s="698"/>
      <c r="X3" s="698"/>
      <c r="Y3" s="698"/>
    </row>
    <row r="4" spans="1:27">
      <c r="A4" s="698"/>
      <c r="B4" s="698"/>
      <c r="C4" s="698"/>
      <c r="D4" s="698"/>
      <c r="E4" s="698"/>
      <c r="F4" s="698"/>
      <c r="G4" s="698"/>
      <c r="H4" s="698"/>
      <c r="I4" s="698"/>
      <c r="J4" s="698"/>
      <c r="K4" s="698"/>
      <c r="L4" s="698"/>
      <c r="M4" s="698"/>
      <c r="N4" s="698"/>
      <c r="O4" s="698"/>
      <c r="P4" s="698"/>
      <c r="Q4" s="698"/>
      <c r="R4" s="698"/>
      <c r="S4" s="698"/>
      <c r="T4" s="698"/>
      <c r="U4" s="698"/>
      <c r="V4" s="698"/>
      <c r="W4" s="698"/>
      <c r="X4" s="698"/>
      <c r="Y4" s="698"/>
    </row>
    <row r="5" spans="1:27">
      <c r="A5" s="698"/>
      <c r="B5" s="698"/>
      <c r="C5" s="698"/>
      <c r="D5" s="698"/>
      <c r="E5" s="698"/>
      <c r="F5" s="698"/>
      <c r="G5" s="698"/>
      <c r="H5" s="698"/>
      <c r="I5" s="698"/>
      <c r="J5" s="698"/>
      <c r="K5" s="698"/>
      <c r="L5" s="698"/>
      <c r="M5" s="698"/>
      <c r="N5" s="698"/>
      <c r="O5" s="698"/>
      <c r="P5" s="698"/>
      <c r="Q5" s="698"/>
      <c r="R5" s="698"/>
      <c r="S5" s="698"/>
      <c r="T5" s="698"/>
      <c r="U5" s="698"/>
      <c r="V5" s="698"/>
      <c r="W5" s="698"/>
      <c r="X5" s="698"/>
      <c r="Y5" s="698"/>
    </row>
    <row r="6" spans="1:27">
      <c r="A6" s="698"/>
      <c r="B6" s="698"/>
      <c r="C6" s="698"/>
      <c r="D6" s="698"/>
      <c r="E6" s="698"/>
      <c r="F6" s="698"/>
      <c r="G6" s="698"/>
      <c r="H6" s="698"/>
      <c r="I6" s="698"/>
      <c r="J6" s="698"/>
      <c r="K6" s="698"/>
      <c r="L6" s="698"/>
      <c r="M6" s="698"/>
      <c r="N6" s="698"/>
      <c r="O6" s="698"/>
      <c r="P6" s="698"/>
      <c r="Q6" s="698"/>
      <c r="R6" s="698"/>
      <c r="S6" s="698"/>
      <c r="T6" s="698"/>
      <c r="U6" s="698"/>
      <c r="V6" s="698"/>
      <c r="W6" s="698"/>
      <c r="X6" s="698"/>
      <c r="Y6" s="698"/>
    </row>
    <row r="7" spans="1:27">
      <c r="A7" s="698"/>
      <c r="B7" s="698"/>
      <c r="C7" s="698"/>
      <c r="D7" s="698"/>
      <c r="E7" s="698"/>
      <c r="F7" s="698"/>
      <c r="G7" s="698"/>
      <c r="H7" s="698"/>
      <c r="I7" s="698"/>
      <c r="J7" s="698"/>
      <c r="K7" s="698"/>
      <c r="L7" s="698"/>
      <c r="M7" s="698"/>
      <c r="N7" s="698"/>
      <c r="O7" s="698"/>
      <c r="P7" s="698"/>
      <c r="Q7" s="698"/>
      <c r="R7" s="698"/>
      <c r="S7" s="698"/>
      <c r="T7" s="698"/>
      <c r="U7" s="698"/>
      <c r="V7" s="698"/>
      <c r="W7" s="698"/>
      <c r="X7" s="698"/>
      <c r="Y7" s="698"/>
    </row>
    <row r="8" spans="1:27" ht="15.6">
      <c r="A8" s="702"/>
      <c r="B8" s="702"/>
      <c r="C8" s="702"/>
      <c r="D8" s="702"/>
      <c r="E8" s="702"/>
      <c r="F8" s="702"/>
      <c r="G8" s="702"/>
      <c r="H8" s="702"/>
      <c r="I8" s="702"/>
      <c r="J8" s="702"/>
      <c r="K8" s="702"/>
      <c r="L8" s="702"/>
      <c r="M8" s="702"/>
      <c r="N8" s="702"/>
      <c r="O8" s="702"/>
      <c r="P8" s="702"/>
      <c r="Q8" s="702"/>
      <c r="R8" s="702"/>
      <c r="S8" s="702"/>
      <c r="T8" s="702"/>
      <c r="U8" s="702"/>
      <c r="V8" s="702"/>
      <c r="W8" s="702"/>
      <c r="X8" s="702"/>
      <c r="Y8" s="702"/>
      <c r="Z8" s="701"/>
      <c r="AA8" s="701"/>
    </row>
    <row r="9" spans="1:27" s="713" customFormat="1" ht="21.75" customHeight="1">
      <c r="A9" s="703"/>
      <c r="B9" s="1049"/>
      <c r="C9" s="704"/>
      <c r="D9" s="705"/>
      <c r="E9" s="1692" t="s">
        <v>131</v>
      </c>
      <c r="F9" s="1692"/>
      <c r="G9" s="1692"/>
      <c r="H9" s="1692"/>
      <c r="I9" s="1692"/>
      <c r="J9" s="1692"/>
      <c r="K9" s="1692"/>
      <c r="L9" s="1692"/>
      <c r="M9" s="1692"/>
      <c r="N9" s="1692"/>
      <c r="O9" s="1692"/>
      <c r="P9" s="706"/>
      <c r="Q9" s="1690" t="s">
        <v>132</v>
      </c>
      <c r="R9" s="707" t="s">
        <v>133</v>
      </c>
      <c r="S9" s="708"/>
      <c r="T9" s="709" t="s">
        <v>134</v>
      </c>
      <c r="U9" s="710"/>
      <c r="V9" s="707" t="s">
        <v>135</v>
      </c>
      <c r="W9" s="711"/>
      <c r="X9" s="711"/>
      <c r="Y9" s="708"/>
      <c r="Z9" s="712"/>
      <c r="AA9" s="712"/>
    </row>
    <row r="10" spans="1:27" s="713" customFormat="1" ht="19.5" customHeight="1">
      <c r="A10" s="714" t="s">
        <v>136</v>
      </c>
      <c r="B10" s="1048" t="s">
        <v>1231</v>
      </c>
      <c r="C10" s="715"/>
      <c r="D10" s="716" t="s">
        <v>137</v>
      </c>
      <c r="E10" s="717" t="s">
        <v>138</v>
      </c>
      <c r="F10" s="718"/>
      <c r="G10" s="718"/>
      <c r="H10" s="718"/>
      <c r="I10" s="718"/>
      <c r="J10" s="718"/>
      <c r="K10" s="719"/>
      <c r="L10" s="720" t="s">
        <v>139</v>
      </c>
      <c r="M10" s="720"/>
      <c r="N10" s="720"/>
      <c r="O10" s="720"/>
      <c r="P10" s="716" t="s">
        <v>137</v>
      </c>
      <c r="Q10" s="1691"/>
      <c r="R10" s="721"/>
      <c r="S10" s="722"/>
      <c r="T10" s="723"/>
      <c r="U10" s="723"/>
      <c r="V10" s="724"/>
      <c r="W10" s="725"/>
      <c r="X10" s="725"/>
      <c r="Y10" s="726"/>
      <c r="Z10" s="712"/>
      <c r="AA10" s="712"/>
    </row>
    <row r="11" spans="1:27" s="713" customFormat="1" ht="36" customHeight="1">
      <c r="A11" s="714" t="s">
        <v>140</v>
      </c>
      <c r="B11" s="1048" t="s">
        <v>1232</v>
      </c>
      <c r="C11" s="727" t="s">
        <v>141</v>
      </c>
      <c r="D11" s="727" t="s">
        <v>142</v>
      </c>
      <c r="E11" s="728" t="s">
        <v>1022</v>
      </c>
      <c r="F11" s="729" t="s">
        <v>1020</v>
      </c>
      <c r="G11" s="729" t="s">
        <v>143</v>
      </c>
      <c r="H11" s="730" t="s">
        <v>144</v>
      </c>
      <c r="I11" s="730" t="s">
        <v>145</v>
      </c>
      <c r="J11" s="731" t="s">
        <v>220</v>
      </c>
      <c r="K11" s="729" t="s">
        <v>517</v>
      </c>
      <c r="L11" s="732" t="s">
        <v>146</v>
      </c>
      <c r="M11" s="730" t="s">
        <v>147</v>
      </c>
      <c r="N11" s="733" t="s">
        <v>148</v>
      </c>
      <c r="O11" s="729" t="s">
        <v>517</v>
      </c>
      <c r="P11" s="727" t="s">
        <v>149</v>
      </c>
      <c r="Q11" s="734" t="s">
        <v>150</v>
      </c>
      <c r="R11" s="735" t="s">
        <v>151</v>
      </c>
      <c r="S11" s="729" t="s">
        <v>152</v>
      </c>
      <c r="T11" s="729" t="s">
        <v>517</v>
      </c>
      <c r="U11" s="736" t="s">
        <v>153</v>
      </c>
      <c r="V11" s="730" t="s">
        <v>154</v>
      </c>
      <c r="W11" s="730" t="s">
        <v>155</v>
      </c>
      <c r="X11" s="737" t="s">
        <v>156</v>
      </c>
      <c r="Y11" s="738" t="s">
        <v>157</v>
      </c>
      <c r="Z11" s="712"/>
      <c r="AA11" s="712"/>
    </row>
    <row r="12" spans="1:27" ht="23.25" customHeight="1">
      <c r="A12" s="739" t="s">
        <v>625</v>
      </c>
      <c r="B12" s="1050"/>
      <c r="C12" s="1047">
        <f>SUM(C14:C27)</f>
        <v>168</v>
      </c>
      <c r="D12" s="740">
        <f t="shared" ref="D12:U12" si="0">SUM(D14:D27)</f>
        <v>96</v>
      </c>
      <c r="E12" s="740">
        <f t="shared" si="0"/>
        <v>4858</v>
      </c>
      <c r="F12" s="740">
        <f t="shared" si="0"/>
        <v>10</v>
      </c>
      <c r="G12" s="740">
        <f t="shared" si="0"/>
        <v>1518</v>
      </c>
      <c r="H12" s="740">
        <f t="shared" si="0"/>
        <v>25</v>
      </c>
      <c r="I12" s="740">
        <f t="shared" si="0"/>
        <v>396</v>
      </c>
      <c r="J12" s="740">
        <f t="shared" si="0"/>
        <v>1414</v>
      </c>
      <c r="K12" s="740">
        <f>SUM(K14:K27)-J12</f>
        <v>6807</v>
      </c>
      <c r="L12" s="740">
        <f t="shared" si="0"/>
        <v>6560</v>
      </c>
      <c r="M12" s="740">
        <f t="shared" si="0"/>
        <v>1426</v>
      </c>
      <c r="N12" s="740">
        <f t="shared" si="0"/>
        <v>247</v>
      </c>
      <c r="O12" s="741">
        <f>L12+N12</f>
        <v>6807</v>
      </c>
      <c r="P12" s="740">
        <f t="shared" si="0"/>
        <v>84</v>
      </c>
      <c r="Q12" s="740">
        <f t="shared" si="0"/>
        <v>286</v>
      </c>
      <c r="R12" s="740">
        <f t="shared" si="0"/>
        <v>57215</v>
      </c>
      <c r="S12" s="740">
        <f t="shared" si="0"/>
        <v>40833</v>
      </c>
      <c r="T12" s="740">
        <f t="shared" si="0"/>
        <v>41383</v>
      </c>
      <c r="U12" s="740">
        <f t="shared" si="0"/>
        <v>38102</v>
      </c>
      <c r="V12" s="742">
        <f>S12/R12*100</f>
        <v>71.36764834396574</v>
      </c>
      <c r="W12" s="743">
        <f>+T12/O12</f>
        <v>6.079477008961363</v>
      </c>
      <c r="X12" s="744">
        <f>+O12/(R12/30.4)</f>
        <v>3.6167578432229308</v>
      </c>
      <c r="Y12" s="745">
        <f>(+R12-S12)/O12</f>
        <v>2.4066402232995445</v>
      </c>
      <c r="Z12" s="701"/>
      <c r="AA12" s="701"/>
    </row>
    <row r="13" spans="1:27" ht="23.25" customHeight="1">
      <c r="A13" s="1043" t="s">
        <v>1348</v>
      </c>
      <c r="B13" s="714">
        <v>401</v>
      </c>
      <c r="C13" s="741"/>
      <c r="D13" s="750"/>
      <c r="E13" s="741"/>
      <c r="F13" s="750"/>
      <c r="G13" s="750"/>
      <c r="H13" s="750"/>
      <c r="I13" s="750"/>
      <c r="J13" s="750"/>
      <c r="K13" s="741"/>
      <c r="L13" s="750"/>
      <c r="M13" s="741"/>
      <c r="N13" s="750"/>
      <c r="O13" s="741"/>
      <c r="P13" s="750"/>
      <c r="Q13" s="750"/>
      <c r="R13" s="750"/>
      <c r="S13" s="741"/>
      <c r="T13" s="750"/>
      <c r="U13" s="741"/>
      <c r="V13" s="742"/>
      <c r="W13" s="743"/>
      <c r="X13" s="744"/>
      <c r="Y13" s="745"/>
      <c r="Z13" s="701"/>
      <c r="AA13" s="701"/>
    </row>
    <row r="14" spans="1:27" ht="23.25" customHeight="1">
      <c r="A14" s="1043" t="s">
        <v>1233</v>
      </c>
      <c r="B14" s="714">
        <v>403</v>
      </c>
      <c r="C14" s="766">
        <v>93</v>
      </c>
      <c r="D14" s="748">
        <v>45</v>
      </c>
      <c r="E14" s="768">
        <v>2135</v>
      </c>
      <c r="F14" s="749">
        <v>2</v>
      </c>
      <c r="G14" s="749">
        <v>761</v>
      </c>
      <c r="H14" s="749">
        <v>8</v>
      </c>
      <c r="I14" s="749">
        <v>39</v>
      </c>
      <c r="J14" s="749">
        <v>581</v>
      </c>
      <c r="K14" s="741">
        <f>SUM(E14:J14)</f>
        <v>3526</v>
      </c>
      <c r="L14" s="749">
        <v>3015</v>
      </c>
      <c r="M14" s="768">
        <v>429</v>
      </c>
      <c r="N14" s="749">
        <v>118</v>
      </c>
      <c r="O14" s="766">
        <f>SUM(L14:N14)</f>
        <v>3562</v>
      </c>
      <c r="P14" s="750">
        <f>SUM(D14,K14)-O14</f>
        <v>9</v>
      </c>
      <c r="Q14" s="749">
        <v>102</v>
      </c>
      <c r="R14" s="751">
        <v>29685</v>
      </c>
      <c r="S14" s="768">
        <v>23721</v>
      </c>
      <c r="T14" s="749">
        <v>21856</v>
      </c>
      <c r="U14" s="768">
        <v>21121</v>
      </c>
      <c r="V14" s="742">
        <f>S14/R14*100</f>
        <v>79.909044972208193</v>
      </c>
      <c r="W14" s="743">
        <f>+T14/O14</f>
        <v>6.135878719820326</v>
      </c>
      <c r="X14" s="744">
        <f>+O14/(R14/30.4)</f>
        <v>3.6477951827522315</v>
      </c>
      <c r="Y14" s="745">
        <f>(+R14-S14)/O14</f>
        <v>1.6743402582818641</v>
      </c>
      <c r="Z14" s="701"/>
      <c r="AA14" s="701"/>
    </row>
    <row r="15" spans="1:27" ht="23.25" customHeight="1">
      <c r="A15" s="1043" t="s">
        <v>1234</v>
      </c>
      <c r="B15" s="714">
        <v>404</v>
      </c>
      <c r="C15" s="766">
        <v>12</v>
      </c>
      <c r="D15" s="748">
        <v>33</v>
      </c>
      <c r="E15" s="766">
        <v>851</v>
      </c>
      <c r="F15" s="767"/>
      <c r="G15" s="767">
        <v>277</v>
      </c>
      <c r="H15" s="767">
        <v>2</v>
      </c>
      <c r="I15" s="767">
        <v>19</v>
      </c>
      <c r="J15" s="767">
        <v>242</v>
      </c>
      <c r="K15" s="741">
        <f>SUM(E15:J15)</f>
        <v>1391</v>
      </c>
      <c r="L15" s="749">
        <v>1122</v>
      </c>
      <c r="M15" s="768">
        <v>205</v>
      </c>
      <c r="N15" s="749">
        <v>47</v>
      </c>
      <c r="O15" s="766">
        <f>SUM(L15:N15)</f>
        <v>1374</v>
      </c>
      <c r="P15" s="750">
        <f>SUM(D15,K15)-O15</f>
        <v>50</v>
      </c>
      <c r="Q15" s="749">
        <v>37</v>
      </c>
      <c r="R15" s="751">
        <v>8663</v>
      </c>
      <c r="S15" s="768">
        <v>6574</v>
      </c>
      <c r="T15" s="749">
        <v>8308</v>
      </c>
      <c r="U15" s="768">
        <v>7876</v>
      </c>
      <c r="V15" s="742">
        <f>S15/R15*100</f>
        <v>75.885951748816808</v>
      </c>
      <c r="W15" s="743">
        <f>+T15/O15</f>
        <v>6.0465793304221256</v>
      </c>
      <c r="X15" s="744">
        <f>+O15/(R15/30.4)</f>
        <v>4.8216091423294465</v>
      </c>
      <c r="Y15" s="745">
        <f>(+R15-S15)/O15</f>
        <v>1.5203784570596797</v>
      </c>
      <c r="Z15" s="701"/>
      <c r="AA15" s="701"/>
    </row>
    <row r="16" spans="1:27" ht="23.25" customHeight="1">
      <c r="A16" s="746" t="s">
        <v>158</v>
      </c>
      <c r="B16" s="714">
        <v>416</v>
      </c>
      <c r="C16" s="768">
        <v>18</v>
      </c>
      <c r="D16" s="748">
        <v>6</v>
      </c>
      <c r="E16" s="768">
        <v>937</v>
      </c>
      <c r="F16" s="751"/>
      <c r="G16" s="751">
        <v>283</v>
      </c>
      <c r="H16" s="751"/>
      <c r="I16" s="751">
        <v>99</v>
      </c>
      <c r="J16" s="749">
        <v>35</v>
      </c>
      <c r="K16" s="741">
        <f t="shared" ref="K16:K26" si="1">SUM(E16:J16)</f>
        <v>1354</v>
      </c>
      <c r="L16" s="749">
        <v>1314</v>
      </c>
      <c r="M16" s="768">
        <v>41</v>
      </c>
      <c r="N16" s="749"/>
      <c r="O16" s="741">
        <f t="shared" ref="O16:O26" si="2">SUM(L16:N16)</f>
        <v>1355</v>
      </c>
      <c r="P16" s="750">
        <f t="shared" ref="P16:P26" si="3">SUM(D16,K16)-O16</f>
        <v>5</v>
      </c>
      <c r="Q16" s="749">
        <v>44</v>
      </c>
      <c r="R16" s="749">
        <v>6762</v>
      </c>
      <c r="S16" s="768">
        <v>4171</v>
      </c>
      <c r="T16" s="749">
        <v>4234</v>
      </c>
      <c r="U16" s="768">
        <v>3982</v>
      </c>
      <c r="V16" s="742">
        <f t="shared" ref="V16:V26" si="4">S16/R16*100</f>
        <v>61.682934043182492</v>
      </c>
      <c r="W16" s="743">
        <f t="shared" ref="W16:W26" si="5">+T16/O16</f>
        <v>3.1247232472324722</v>
      </c>
      <c r="X16" s="744">
        <f t="shared" ref="X16:X26" si="6">+O16/(R16/30.4)</f>
        <v>6.0916888494528241</v>
      </c>
      <c r="Y16" s="745">
        <f t="shared" ref="Y16:Y26" si="7">(+R16-S16)/O16</f>
        <v>1.9121771217712178</v>
      </c>
      <c r="Z16" s="701"/>
      <c r="AA16" s="701"/>
    </row>
    <row r="17" spans="1:27" ht="23.25" customHeight="1">
      <c r="A17" s="1043" t="s">
        <v>1235</v>
      </c>
      <c r="B17" s="714">
        <v>407</v>
      </c>
      <c r="C17" s="768">
        <v>17</v>
      </c>
      <c r="D17" s="748">
        <v>3</v>
      </c>
      <c r="E17" s="768">
        <v>410</v>
      </c>
      <c r="F17" s="749">
        <v>8</v>
      </c>
      <c r="G17" s="749">
        <v>74</v>
      </c>
      <c r="H17" s="749"/>
      <c r="I17" s="749">
        <v>6</v>
      </c>
      <c r="J17" s="749">
        <v>103</v>
      </c>
      <c r="K17" s="741">
        <f t="shared" si="1"/>
        <v>601</v>
      </c>
      <c r="L17" s="749">
        <v>415</v>
      </c>
      <c r="M17" s="768">
        <v>171</v>
      </c>
      <c r="N17" s="749">
        <v>13</v>
      </c>
      <c r="O17" s="741">
        <f t="shared" si="2"/>
        <v>599</v>
      </c>
      <c r="P17" s="750">
        <f t="shared" si="3"/>
        <v>5</v>
      </c>
      <c r="Q17" s="749">
        <v>52</v>
      </c>
      <c r="R17" s="749">
        <v>3645</v>
      </c>
      <c r="S17" s="768">
        <v>1676</v>
      </c>
      <c r="T17" s="749">
        <v>2390</v>
      </c>
      <c r="U17" s="768">
        <v>2309</v>
      </c>
      <c r="V17" s="742">
        <f t="shared" si="4"/>
        <v>45.98079561042524</v>
      </c>
      <c r="W17" s="743">
        <f t="shared" si="5"/>
        <v>3.989983305509182</v>
      </c>
      <c r="X17" s="744">
        <f t="shared" si="6"/>
        <v>4.995775034293553</v>
      </c>
      <c r="Y17" s="745">
        <f t="shared" si="7"/>
        <v>3.287145242070117</v>
      </c>
      <c r="Z17" s="701"/>
      <c r="AA17" s="701"/>
    </row>
    <row r="18" spans="1:27" ht="23.25" customHeight="1">
      <c r="A18" s="1043" t="s">
        <v>1236</v>
      </c>
      <c r="B18" s="714">
        <v>409</v>
      </c>
      <c r="C18" s="768"/>
      <c r="D18" s="748"/>
      <c r="E18" s="768"/>
      <c r="F18" s="749"/>
      <c r="G18" s="749"/>
      <c r="H18" s="749"/>
      <c r="I18" s="749"/>
      <c r="J18" s="749"/>
      <c r="K18" s="741"/>
      <c r="L18" s="749"/>
      <c r="M18" s="768"/>
      <c r="N18" s="749"/>
      <c r="O18" s="741"/>
      <c r="P18" s="750"/>
      <c r="Q18" s="749"/>
      <c r="R18" s="749"/>
      <c r="S18" s="768"/>
      <c r="T18" s="749"/>
      <c r="U18" s="768"/>
      <c r="V18" s="742"/>
      <c r="W18" s="743"/>
      <c r="X18" s="744"/>
      <c r="Y18" s="745"/>
      <c r="Z18" s="701"/>
      <c r="AA18" s="701"/>
    </row>
    <row r="19" spans="1:27" ht="23.25" customHeight="1">
      <c r="A19" s="746" t="s">
        <v>159</v>
      </c>
      <c r="B19" s="714">
        <v>413</v>
      </c>
      <c r="C19" s="768">
        <v>10</v>
      </c>
      <c r="D19" s="748">
        <v>0</v>
      </c>
      <c r="E19" s="768">
        <v>105</v>
      </c>
      <c r="F19" s="749"/>
      <c r="G19" s="749">
        <v>73</v>
      </c>
      <c r="H19" s="749">
        <v>4</v>
      </c>
      <c r="I19" s="749">
        <v>19</v>
      </c>
      <c r="J19" s="749">
        <v>51</v>
      </c>
      <c r="K19" s="741">
        <f t="shared" si="1"/>
        <v>252</v>
      </c>
      <c r="L19" s="749">
        <v>202</v>
      </c>
      <c r="M19" s="768">
        <v>50</v>
      </c>
      <c r="N19" s="749"/>
      <c r="O19" s="741">
        <f t="shared" si="2"/>
        <v>252</v>
      </c>
      <c r="P19" s="750">
        <f t="shared" si="3"/>
        <v>0</v>
      </c>
      <c r="Q19" s="749">
        <v>14</v>
      </c>
      <c r="R19" s="749">
        <v>2224</v>
      </c>
      <c r="S19" s="768">
        <v>834</v>
      </c>
      <c r="T19" s="749">
        <v>737</v>
      </c>
      <c r="U19" s="768">
        <v>646</v>
      </c>
      <c r="V19" s="742">
        <f t="shared" si="4"/>
        <v>37.5</v>
      </c>
      <c r="W19" s="743">
        <f t="shared" si="5"/>
        <v>2.9246031746031744</v>
      </c>
      <c r="X19" s="744">
        <f t="shared" si="6"/>
        <v>3.4446043165467626</v>
      </c>
      <c r="Y19" s="745">
        <f t="shared" si="7"/>
        <v>5.5158730158730158</v>
      </c>
      <c r="Z19" s="701"/>
      <c r="AA19" s="701"/>
    </row>
    <row r="20" spans="1:27" ht="23.25" customHeight="1">
      <c r="A20" s="1043" t="s">
        <v>1425</v>
      </c>
      <c r="B20" s="714">
        <v>411</v>
      </c>
      <c r="C20" s="768"/>
      <c r="D20" s="748"/>
      <c r="E20" s="768"/>
      <c r="F20" s="749"/>
      <c r="G20" s="749"/>
      <c r="H20" s="749"/>
      <c r="I20" s="749"/>
      <c r="J20" s="749"/>
      <c r="K20" s="741"/>
      <c r="L20" s="749"/>
      <c r="M20" s="768"/>
      <c r="N20" s="749"/>
      <c r="O20" s="741"/>
      <c r="P20" s="750"/>
      <c r="Q20" s="749"/>
      <c r="R20" s="749"/>
      <c r="S20" s="768"/>
      <c r="T20" s="749"/>
      <c r="U20" s="768"/>
      <c r="V20" s="742"/>
      <c r="W20" s="743"/>
      <c r="X20" s="744"/>
      <c r="Y20" s="745"/>
      <c r="Z20" s="701"/>
      <c r="AA20" s="701"/>
    </row>
    <row r="21" spans="1:27" ht="23.25" customHeight="1">
      <c r="A21" s="1043" t="s">
        <v>1230</v>
      </c>
      <c r="B21" s="1048">
        <v>412</v>
      </c>
      <c r="C21" s="768"/>
      <c r="D21" s="748"/>
      <c r="E21" s="768"/>
      <c r="F21" s="749"/>
      <c r="G21" s="749"/>
      <c r="H21" s="749"/>
      <c r="I21" s="749"/>
      <c r="J21" s="749"/>
      <c r="K21" s="741"/>
      <c r="L21" s="749"/>
      <c r="M21" s="768"/>
      <c r="N21" s="749"/>
      <c r="O21" s="741"/>
      <c r="P21" s="750"/>
      <c r="Q21" s="749"/>
      <c r="R21" s="749"/>
      <c r="S21" s="768"/>
      <c r="T21" s="749"/>
      <c r="U21" s="768"/>
      <c r="V21" s="742"/>
      <c r="W21" s="743"/>
      <c r="X21" s="744"/>
      <c r="Y21" s="745"/>
      <c r="Z21" s="701"/>
      <c r="AA21" s="701"/>
    </row>
    <row r="22" spans="1:27" ht="23.25" customHeight="1">
      <c r="A22" s="746" t="s">
        <v>160</v>
      </c>
      <c r="B22" s="714">
        <v>414</v>
      </c>
      <c r="C22" s="768"/>
      <c r="D22" s="748"/>
      <c r="E22" s="768"/>
      <c r="F22" s="749"/>
      <c r="G22" s="749"/>
      <c r="H22" s="749"/>
      <c r="I22" s="749"/>
      <c r="J22" s="749"/>
      <c r="K22" s="741"/>
      <c r="L22" s="749"/>
      <c r="M22" s="768"/>
      <c r="N22" s="749"/>
      <c r="O22" s="741"/>
      <c r="P22" s="750"/>
      <c r="Q22" s="749"/>
      <c r="R22" s="749"/>
      <c r="S22" s="768"/>
      <c r="T22" s="749"/>
      <c r="U22" s="768"/>
      <c r="V22" s="742"/>
      <c r="W22" s="743"/>
      <c r="X22" s="744"/>
      <c r="Y22" s="745"/>
      <c r="Z22" s="701"/>
      <c r="AA22" s="701"/>
    </row>
    <row r="23" spans="1:27" ht="23.25" customHeight="1">
      <c r="A23" s="746" t="s">
        <v>161</v>
      </c>
      <c r="B23" s="714">
        <v>405</v>
      </c>
      <c r="C23" s="768"/>
      <c r="D23" s="748"/>
      <c r="E23" s="768">
        <v>37</v>
      </c>
      <c r="F23" s="749"/>
      <c r="G23" s="749">
        <v>3</v>
      </c>
      <c r="H23" s="749"/>
      <c r="I23" s="749"/>
      <c r="J23" s="749">
        <v>62</v>
      </c>
      <c r="K23" s="741">
        <f t="shared" si="1"/>
        <v>102</v>
      </c>
      <c r="L23" s="749">
        <v>11</v>
      </c>
      <c r="M23" s="768">
        <v>67</v>
      </c>
      <c r="N23" s="749">
        <v>19</v>
      </c>
      <c r="O23" s="741">
        <f t="shared" ref="O23" si="8">SUM(L23:N23)</f>
        <v>97</v>
      </c>
      <c r="P23" s="750">
        <f t="shared" ref="P23" si="9">SUM(D23,K23)-O23</f>
        <v>5</v>
      </c>
      <c r="Q23" s="749">
        <v>2</v>
      </c>
      <c r="R23" s="749">
        <v>1547</v>
      </c>
      <c r="S23" s="768">
        <v>796</v>
      </c>
      <c r="T23" s="749">
        <v>522</v>
      </c>
      <c r="U23" s="768">
        <v>503</v>
      </c>
      <c r="V23" s="742">
        <f t="shared" ref="V23" si="10">S23/R23*100</f>
        <v>51.454427925016155</v>
      </c>
      <c r="W23" s="743">
        <f t="shared" ref="W23" si="11">+T23/O23</f>
        <v>5.3814432989690726</v>
      </c>
      <c r="X23" s="744">
        <f t="shared" ref="X23" si="12">+O23/(R23/30.4)</f>
        <v>1.9061409179056237</v>
      </c>
      <c r="Y23" s="745">
        <f t="shared" ref="Y23" si="13">(+R23-S23)/O23</f>
        <v>7.7422680412371134</v>
      </c>
      <c r="Z23" s="701"/>
      <c r="AA23" s="701"/>
    </row>
    <row r="24" spans="1:27" ht="23.25" customHeight="1">
      <c r="A24" s="746" t="s">
        <v>162</v>
      </c>
      <c r="B24" s="714">
        <v>406</v>
      </c>
      <c r="C24" s="768">
        <v>6</v>
      </c>
      <c r="D24" s="748">
        <v>5</v>
      </c>
      <c r="E24" s="768">
        <v>193</v>
      </c>
      <c r="F24" s="749"/>
      <c r="G24" s="749">
        <v>22</v>
      </c>
      <c r="H24" s="749">
        <v>10</v>
      </c>
      <c r="I24" s="749">
        <v>2</v>
      </c>
      <c r="J24" s="749">
        <v>210</v>
      </c>
      <c r="K24" s="741">
        <f t="shared" si="1"/>
        <v>437</v>
      </c>
      <c r="L24" s="749">
        <v>64</v>
      </c>
      <c r="M24" s="768">
        <v>334</v>
      </c>
      <c r="N24" s="749">
        <v>41</v>
      </c>
      <c r="O24" s="741">
        <f t="shared" si="2"/>
        <v>439</v>
      </c>
      <c r="P24" s="750">
        <f t="shared" si="3"/>
        <v>3</v>
      </c>
      <c r="Q24" s="749">
        <v>5</v>
      </c>
      <c r="R24" s="749">
        <v>2505</v>
      </c>
      <c r="S24" s="768">
        <v>1485</v>
      </c>
      <c r="T24" s="749">
        <v>1765</v>
      </c>
      <c r="U24" s="768">
        <v>1665</v>
      </c>
      <c r="V24" s="742">
        <f t="shared" si="4"/>
        <v>59.281437125748504</v>
      </c>
      <c r="W24" s="743">
        <f t="shared" si="5"/>
        <v>4.0205011389521639</v>
      </c>
      <c r="X24" s="744">
        <f t="shared" si="6"/>
        <v>5.3275848303393216</v>
      </c>
      <c r="Y24" s="745">
        <f t="shared" si="7"/>
        <v>2.3234624145785876</v>
      </c>
      <c r="Z24" s="701"/>
      <c r="AA24" s="701"/>
    </row>
    <row r="25" spans="1:27" ht="23.25" customHeight="1">
      <c r="A25" s="746" t="s">
        <v>764</v>
      </c>
      <c r="B25" s="714">
        <v>415</v>
      </c>
      <c r="C25" s="768"/>
      <c r="D25" s="748"/>
      <c r="E25" s="768"/>
      <c r="F25" s="749"/>
      <c r="G25" s="749"/>
      <c r="H25" s="749"/>
      <c r="I25" s="749"/>
      <c r="J25" s="749"/>
      <c r="K25" s="741"/>
      <c r="L25" s="749"/>
      <c r="M25" s="768"/>
      <c r="N25" s="749"/>
      <c r="O25" s="741"/>
      <c r="P25" s="750"/>
      <c r="Q25" s="749"/>
      <c r="R25" s="749"/>
      <c r="S25" s="768"/>
      <c r="T25" s="749"/>
      <c r="U25" s="768"/>
      <c r="V25" s="742"/>
      <c r="W25" s="743"/>
      <c r="X25" s="744"/>
      <c r="Y25" s="745"/>
      <c r="Z25" s="701"/>
      <c r="AA25" s="701"/>
    </row>
    <row r="26" spans="1:27" ht="23.25" customHeight="1">
      <c r="A26" s="746" t="s">
        <v>163</v>
      </c>
      <c r="B26" s="714">
        <v>330</v>
      </c>
      <c r="C26" s="768">
        <v>12</v>
      </c>
      <c r="D26" s="748">
        <v>4</v>
      </c>
      <c r="E26" s="768">
        <v>190</v>
      </c>
      <c r="F26" s="749"/>
      <c r="G26" s="749">
        <v>25</v>
      </c>
      <c r="H26" s="749">
        <v>1</v>
      </c>
      <c r="I26" s="749">
        <v>212</v>
      </c>
      <c r="J26" s="749">
        <v>130</v>
      </c>
      <c r="K26" s="741">
        <f t="shared" si="1"/>
        <v>558</v>
      </c>
      <c r="L26" s="749">
        <v>417</v>
      </c>
      <c r="M26" s="768">
        <v>129</v>
      </c>
      <c r="N26" s="749">
        <v>9</v>
      </c>
      <c r="O26" s="741">
        <f t="shared" si="2"/>
        <v>555</v>
      </c>
      <c r="P26" s="750">
        <f t="shared" si="3"/>
        <v>7</v>
      </c>
      <c r="Q26" s="749">
        <v>30</v>
      </c>
      <c r="R26" s="749">
        <v>2184</v>
      </c>
      <c r="S26" s="768">
        <v>1576</v>
      </c>
      <c r="T26" s="749">
        <v>1571</v>
      </c>
      <c r="U26" s="768"/>
      <c r="V26" s="742">
        <f t="shared" si="4"/>
        <v>72.161172161172161</v>
      </c>
      <c r="W26" s="743">
        <f t="shared" si="5"/>
        <v>2.8306306306306306</v>
      </c>
      <c r="X26" s="744">
        <f t="shared" si="6"/>
        <v>7.7252747252747245</v>
      </c>
      <c r="Y26" s="745">
        <f t="shared" si="7"/>
        <v>1.0954954954954954</v>
      </c>
      <c r="Z26" s="701"/>
      <c r="AA26" s="701"/>
    </row>
    <row r="27" spans="1:27" ht="23.25" customHeight="1">
      <c r="A27" s="752" t="s">
        <v>981</v>
      </c>
      <c r="B27" s="1051"/>
      <c r="C27" s="753"/>
      <c r="D27" s="754"/>
      <c r="E27" s="753"/>
      <c r="F27" s="755"/>
      <c r="G27" s="755"/>
      <c r="H27" s="755"/>
      <c r="I27" s="755"/>
      <c r="J27" s="754"/>
      <c r="K27" s="756"/>
      <c r="L27" s="769"/>
      <c r="M27" s="753"/>
      <c r="N27" s="754"/>
      <c r="O27" s="756"/>
      <c r="P27" s="757"/>
      <c r="Q27" s="755"/>
      <c r="R27" s="769"/>
      <c r="S27" s="770"/>
      <c r="T27" s="769"/>
      <c r="U27" s="770"/>
      <c r="V27" s="758"/>
      <c r="W27" s="759"/>
      <c r="X27" s="760"/>
      <c r="Y27" s="761"/>
      <c r="Z27" s="701"/>
      <c r="AA27" s="701"/>
    </row>
    <row r="28" spans="1:27" ht="15.6">
      <c r="Z28" s="701"/>
      <c r="AA28" s="701"/>
    </row>
    <row r="29" spans="1:27" ht="15.6">
      <c r="Z29" s="701"/>
      <c r="AA29" s="701"/>
    </row>
    <row r="30" spans="1:27" ht="15.6">
      <c r="Z30" s="701"/>
      <c r="AA30" s="701"/>
    </row>
    <row r="31" spans="1:27">
      <c r="O31" s="763"/>
    </row>
    <row r="32" spans="1:27">
      <c r="D32" s="764"/>
    </row>
    <row r="33" spans="4:4">
      <c r="D33" s="765"/>
    </row>
  </sheetData>
  <mergeCells count="2">
    <mergeCell ref="Q9:Q10"/>
    <mergeCell ref="E9:O9"/>
  </mergeCells>
  <phoneticPr fontId="55"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topLeftCell="A16" zoomScale="75" zoomScaleNormal="75" workbookViewId="0">
      <selection activeCell="E8" sqref="E8"/>
    </sheetView>
  </sheetViews>
  <sheetFormatPr baseColWidth="10" defaultColWidth="11.44140625" defaultRowHeight="13.2"/>
  <cols>
    <col min="1" max="1" width="50.21875" style="6" customWidth="1"/>
    <col min="2" max="2" width="10" style="6" customWidth="1"/>
    <col min="3" max="14" width="12.21875" style="6" customWidth="1"/>
    <col min="15" max="16384" width="11.44140625" style="6"/>
  </cols>
  <sheetData>
    <row r="1" spans="1:27" s="713" customFormat="1">
      <c r="A1" s="1697" t="s">
        <v>1362</v>
      </c>
      <c r="B1" s="1697"/>
      <c r="C1" s="1697"/>
      <c r="D1" s="1697"/>
      <c r="E1" s="1697"/>
      <c r="F1" s="1697"/>
      <c r="G1" s="1697"/>
      <c r="H1" s="1697"/>
      <c r="I1" s="1697"/>
      <c r="J1" s="1697"/>
      <c r="K1" s="1697"/>
      <c r="L1" s="1697"/>
      <c r="M1" s="1697"/>
      <c r="N1" s="1697"/>
      <c r="O1" s="1092"/>
      <c r="P1" s="1092"/>
      <c r="Q1" s="1092"/>
      <c r="R1" s="1092"/>
      <c r="S1" s="1092"/>
      <c r="T1" s="1092"/>
      <c r="U1" s="1092"/>
      <c r="V1" s="1092"/>
      <c r="W1" s="1092"/>
      <c r="X1" s="1092"/>
      <c r="Y1" s="1092"/>
    </row>
    <row r="2" spans="1:27" s="713" customFormat="1">
      <c r="A2" s="1093"/>
      <c r="B2" s="1093"/>
      <c r="C2" s="1092"/>
      <c r="D2" s="1092"/>
      <c r="E2" s="1092"/>
      <c r="F2" s="1092"/>
      <c r="G2" s="1092"/>
      <c r="H2" s="1092"/>
      <c r="I2" s="1092"/>
      <c r="J2" s="1092"/>
      <c r="K2" s="1092"/>
      <c r="L2" s="1092"/>
      <c r="M2" s="1092"/>
      <c r="N2" s="1092"/>
      <c r="O2" s="1092"/>
      <c r="P2" s="1092"/>
      <c r="Q2" s="1092"/>
      <c r="R2" s="1092"/>
      <c r="S2" s="1092"/>
      <c r="T2" s="1092"/>
      <c r="U2" s="1092"/>
      <c r="V2" s="1092"/>
      <c r="W2" s="1092"/>
      <c r="X2" s="1092"/>
      <c r="Y2" s="1092"/>
    </row>
    <row r="3" spans="1:27" s="713" customFormat="1">
      <c r="A3" s="1697" t="str">
        <f>+'74'!A3</f>
        <v>SERVICIO DE SALUD   ACONCAGUA   2020</v>
      </c>
      <c r="B3" s="1697"/>
      <c r="C3" s="1697"/>
      <c r="D3" s="1697"/>
      <c r="E3" s="1697"/>
      <c r="F3" s="1697"/>
      <c r="G3" s="1697"/>
      <c r="H3" s="1697"/>
      <c r="I3" s="1697"/>
      <c r="J3" s="1697"/>
      <c r="K3" s="1697"/>
      <c r="L3" s="1697"/>
      <c r="M3" s="1697"/>
      <c r="N3" s="1697"/>
      <c r="O3" s="1092"/>
      <c r="P3" s="1092"/>
      <c r="Q3" s="1092"/>
      <c r="R3" s="1092"/>
      <c r="S3" s="1092"/>
      <c r="T3" s="1092"/>
      <c r="U3" s="1092"/>
      <c r="V3" s="1092"/>
      <c r="W3" s="1092"/>
      <c r="X3" s="1092"/>
      <c r="Y3" s="1092"/>
    </row>
    <row r="4" spans="1:27" s="713" customFormat="1">
      <c r="A4" s="1092"/>
      <c r="B4" s="1092"/>
      <c r="C4" s="1092"/>
      <c r="D4" s="1092"/>
      <c r="E4" s="1092"/>
      <c r="F4" s="1092"/>
      <c r="G4" s="1092"/>
      <c r="H4" s="1092"/>
      <c r="I4" s="1092"/>
      <c r="J4" s="1092"/>
      <c r="K4" s="1092"/>
      <c r="L4" s="1092"/>
      <c r="M4" s="1092"/>
      <c r="N4" s="1092"/>
      <c r="O4" s="1092"/>
      <c r="P4" s="1092"/>
      <c r="Q4" s="1092"/>
      <c r="R4" s="1092"/>
      <c r="S4" s="1092"/>
      <c r="T4" s="1092"/>
      <c r="U4" s="1092"/>
      <c r="V4" s="1092"/>
      <c r="W4" s="1092"/>
      <c r="X4" s="1092"/>
      <c r="Y4" s="1092"/>
    </row>
    <row r="5" spans="1:27" s="713" customFormat="1" ht="15.6">
      <c r="A5" s="1094"/>
      <c r="B5" s="1094"/>
      <c r="C5" s="1094"/>
      <c r="D5" s="1094"/>
      <c r="E5" s="1094"/>
      <c r="F5" s="1094"/>
      <c r="G5" s="1094"/>
      <c r="H5" s="1094"/>
      <c r="I5" s="1094"/>
      <c r="J5" s="1094"/>
      <c r="K5" s="1094"/>
      <c r="L5" s="1094"/>
      <c r="M5" s="1094"/>
      <c r="N5" s="1094"/>
      <c r="O5" s="1094"/>
      <c r="P5" s="1094"/>
      <c r="Q5" s="1094"/>
      <c r="R5" s="1094"/>
      <c r="S5" s="1094"/>
      <c r="T5" s="1094"/>
      <c r="U5" s="1094"/>
      <c r="V5" s="1094"/>
      <c r="W5" s="1094"/>
      <c r="X5" s="1094"/>
      <c r="Y5" s="1094"/>
      <c r="Z5" s="712"/>
      <c r="AA5" s="712"/>
    </row>
    <row r="6" spans="1:27" ht="21" customHeight="1">
      <c r="A6" s="1088" t="s">
        <v>1267</v>
      </c>
      <c r="B6" s="1081" t="s">
        <v>491</v>
      </c>
      <c r="C6" s="1079" t="s">
        <v>1243</v>
      </c>
      <c r="D6" s="1079" t="s">
        <v>1244</v>
      </c>
      <c r="E6" s="1079" t="s">
        <v>1245</v>
      </c>
      <c r="F6" s="1079" t="s">
        <v>1246</v>
      </c>
      <c r="G6" s="1079" t="s">
        <v>1247</v>
      </c>
      <c r="H6" s="1079" t="s">
        <v>1248</v>
      </c>
      <c r="I6" s="1079" t="s">
        <v>1249</v>
      </c>
      <c r="J6" s="1079" t="s">
        <v>1250</v>
      </c>
      <c r="K6" s="1079" t="s">
        <v>1251</v>
      </c>
      <c r="L6" s="1079" t="s">
        <v>1252</v>
      </c>
      <c r="M6" s="1079" t="s">
        <v>1253</v>
      </c>
      <c r="N6" s="1080" t="s">
        <v>1254</v>
      </c>
      <c r="O6" s="10"/>
    </row>
    <row r="7" spans="1:27" s="8" customFormat="1" ht="25.5" customHeight="1">
      <c r="A7" s="1085" t="s">
        <v>1255</v>
      </c>
      <c r="B7" s="529">
        <f>SUM(C7:N7)</f>
        <v>22060</v>
      </c>
      <c r="C7" s="530">
        <v>1024</v>
      </c>
      <c r="D7" s="530">
        <v>10</v>
      </c>
      <c r="E7" s="530">
        <v>0</v>
      </c>
      <c r="F7" s="530">
        <v>4095</v>
      </c>
      <c r="G7" s="530">
        <v>857</v>
      </c>
      <c r="H7" s="530">
        <v>14</v>
      </c>
      <c r="I7" s="530">
        <v>6229</v>
      </c>
      <c r="J7" s="530">
        <v>8887</v>
      </c>
      <c r="K7" s="530">
        <v>512</v>
      </c>
      <c r="L7" s="530">
        <v>44</v>
      </c>
      <c r="M7" s="530">
        <v>338</v>
      </c>
      <c r="N7" s="531">
        <v>50</v>
      </c>
    </row>
    <row r="8" spans="1:27" s="8" customFormat="1" ht="25.5" customHeight="1">
      <c r="A8" s="1086" t="s">
        <v>1264</v>
      </c>
      <c r="B8" s="523">
        <f t="shared" ref="B8:B13" si="0">SUM(C8:N8)</f>
        <v>7404</v>
      </c>
      <c r="C8" s="522">
        <v>439</v>
      </c>
      <c r="D8" s="522">
        <v>2</v>
      </c>
      <c r="E8" s="522">
        <v>0</v>
      </c>
      <c r="F8" s="522">
        <v>1511</v>
      </c>
      <c r="G8" s="522">
        <v>298</v>
      </c>
      <c r="H8" s="522">
        <v>6</v>
      </c>
      <c r="I8" s="522">
        <v>1990</v>
      </c>
      <c r="J8" s="522">
        <v>2815</v>
      </c>
      <c r="K8" s="522">
        <v>192</v>
      </c>
      <c r="L8" s="522">
        <v>20</v>
      </c>
      <c r="M8" s="522">
        <v>118</v>
      </c>
      <c r="N8" s="507">
        <v>13</v>
      </c>
    </row>
    <row r="9" spans="1:27" s="8" customFormat="1" ht="25.5" customHeight="1">
      <c r="A9" s="1086" t="s">
        <v>1259</v>
      </c>
      <c r="B9" s="523">
        <f t="shared" si="0"/>
        <v>678</v>
      </c>
      <c r="C9" s="522">
        <v>53</v>
      </c>
      <c r="D9" s="522">
        <v>0</v>
      </c>
      <c r="E9" s="522">
        <v>0</v>
      </c>
      <c r="F9" s="522">
        <v>156</v>
      </c>
      <c r="G9" s="522">
        <v>31</v>
      </c>
      <c r="H9" s="522">
        <v>0</v>
      </c>
      <c r="I9" s="522">
        <v>171</v>
      </c>
      <c r="J9" s="522">
        <v>239</v>
      </c>
      <c r="K9" s="522">
        <v>18</v>
      </c>
      <c r="L9" s="522">
        <v>0</v>
      </c>
      <c r="M9" s="522">
        <v>10</v>
      </c>
      <c r="N9" s="507">
        <v>0</v>
      </c>
    </row>
    <row r="10" spans="1:27" s="8" customFormat="1" ht="25.5" customHeight="1">
      <c r="A10" s="1086" t="s">
        <v>1265</v>
      </c>
      <c r="B10" s="523">
        <f t="shared" si="0"/>
        <v>1365</v>
      </c>
      <c r="C10" s="522">
        <v>25</v>
      </c>
      <c r="D10" s="522">
        <v>0</v>
      </c>
      <c r="E10" s="522">
        <v>13</v>
      </c>
      <c r="F10" s="522">
        <v>105</v>
      </c>
      <c r="G10" s="522">
        <v>33</v>
      </c>
      <c r="H10" s="522">
        <v>20</v>
      </c>
      <c r="I10" s="522">
        <v>311</v>
      </c>
      <c r="J10" s="522">
        <v>590</v>
      </c>
      <c r="K10" s="522">
        <v>131</v>
      </c>
      <c r="L10" s="522">
        <v>6</v>
      </c>
      <c r="M10" s="522">
        <v>96</v>
      </c>
      <c r="N10" s="507">
        <v>35</v>
      </c>
    </row>
    <row r="11" spans="1:27" s="8" customFormat="1" ht="25.5" customHeight="1">
      <c r="A11" s="1086" t="s">
        <v>1266</v>
      </c>
      <c r="B11" s="523">
        <f t="shared" si="0"/>
        <v>566</v>
      </c>
      <c r="C11" s="522">
        <v>0</v>
      </c>
      <c r="D11" s="522">
        <v>0</v>
      </c>
      <c r="E11" s="522">
        <v>0</v>
      </c>
      <c r="F11" s="522">
        <v>237</v>
      </c>
      <c r="G11" s="522">
        <v>0</v>
      </c>
      <c r="H11" s="522">
        <v>0</v>
      </c>
      <c r="I11" s="522">
        <v>324</v>
      </c>
      <c r="J11" s="522">
        <v>0</v>
      </c>
      <c r="K11" s="522">
        <v>3</v>
      </c>
      <c r="L11" s="522">
        <v>2</v>
      </c>
      <c r="M11" s="522">
        <v>0</v>
      </c>
      <c r="N11" s="507">
        <v>0</v>
      </c>
    </row>
    <row r="12" spans="1:27" s="8" customFormat="1" ht="25.5" customHeight="1">
      <c r="A12" s="1086" t="s">
        <v>1258</v>
      </c>
      <c r="B12" s="523">
        <f t="shared" si="0"/>
        <v>3610</v>
      </c>
      <c r="C12" s="522">
        <v>12</v>
      </c>
      <c r="D12" s="522">
        <v>0</v>
      </c>
      <c r="E12" s="522">
        <v>0</v>
      </c>
      <c r="F12" s="522">
        <v>963</v>
      </c>
      <c r="G12" s="522">
        <v>70</v>
      </c>
      <c r="H12" s="522">
        <v>0</v>
      </c>
      <c r="I12" s="522">
        <v>319</v>
      </c>
      <c r="J12" s="522">
        <v>1699</v>
      </c>
      <c r="K12" s="522">
        <v>134</v>
      </c>
      <c r="L12" s="522">
        <v>8</v>
      </c>
      <c r="M12" s="522">
        <v>325</v>
      </c>
      <c r="N12" s="507">
        <v>80</v>
      </c>
    </row>
    <row r="13" spans="1:27" s="8" customFormat="1" ht="25.5" customHeight="1">
      <c r="A13" s="1086" t="s">
        <v>1269</v>
      </c>
      <c r="B13" s="523">
        <f t="shared" si="0"/>
        <v>1230</v>
      </c>
      <c r="C13" s="522">
        <v>244</v>
      </c>
      <c r="D13" s="522">
        <v>0</v>
      </c>
      <c r="E13" s="522">
        <v>0</v>
      </c>
      <c r="F13" s="522">
        <v>392</v>
      </c>
      <c r="G13" s="522">
        <v>52</v>
      </c>
      <c r="H13" s="522">
        <v>0</v>
      </c>
      <c r="I13" s="522">
        <v>201</v>
      </c>
      <c r="J13" s="522">
        <v>304</v>
      </c>
      <c r="K13" s="522">
        <v>24</v>
      </c>
      <c r="L13" s="522">
        <v>0</v>
      </c>
      <c r="M13" s="522">
        <v>12</v>
      </c>
      <c r="N13" s="507">
        <v>1</v>
      </c>
    </row>
    <row r="14" spans="1:27" s="8" customFormat="1" ht="26.25" customHeight="1">
      <c r="A14" s="1087" t="s">
        <v>491</v>
      </c>
      <c r="B14" s="527">
        <f t="shared" ref="B14:N14" si="1">SUM(B7:B13)</f>
        <v>36913</v>
      </c>
      <c r="C14" s="525">
        <f t="shared" si="1"/>
        <v>1797</v>
      </c>
      <c r="D14" s="525">
        <f t="shared" si="1"/>
        <v>12</v>
      </c>
      <c r="E14" s="525">
        <f t="shared" si="1"/>
        <v>13</v>
      </c>
      <c r="F14" s="525">
        <f t="shared" si="1"/>
        <v>7459</v>
      </c>
      <c r="G14" s="525">
        <f t="shared" si="1"/>
        <v>1341</v>
      </c>
      <c r="H14" s="525">
        <f t="shared" si="1"/>
        <v>40</v>
      </c>
      <c r="I14" s="525">
        <f t="shared" si="1"/>
        <v>9545</v>
      </c>
      <c r="J14" s="525">
        <f t="shared" si="1"/>
        <v>14534</v>
      </c>
      <c r="K14" s="525">
        <f t="shared" si="1"/>
        <v>1014</v>
      </c>
      <c r="L14" s="525">
        <f t="shared" si="1"/>
        <v>80</v>
      </c>
      <c r="M14" s="525">
        <f t="shared" si="1"/>
        <v>899</v>
      </c>
      <c r="N14" s="526">
        <f t="shared" si="1"/>
        <v>179</v>
      </c>
    </row>
    <row r="18" spans="1:11" ht="21" customHeight="1">
      <c r="A18" s="62"/>
      <c r="B18" s="1694" t="s">
        <v>133</v>
      </c>
      <c r="C18" s="1694"/>
      <c r="D18" s="1694"/>
      <c r="E18" s="1695" t="s">
        <v>1272</v>
      </c>
      <c r="F18" s="1696"/>
    </row>
    <row r="19" spans="1:11" ht="24" customHeight="1">
      <c r="A19" s="1089" t="s">
        <v>1267</v>
      </c>
      <c r="B19" s="1090" t="s">
        <v>1271</v>
      </c>
      <c r="C19" s="1090" t="s">
        <v>1270</v>
      </c>
      <c r="D19" s="1090" t="s">
        <v>891</v>
      </c>
      <c r="E19" s="1091" t="s">
        <v>491</v>
      </c>
      <c r="F19" s="1091" t="s">
        <v>511</v>
      </c>
    </row>
    <row r="20" spans="1:11" ht="24.75" customHeight="1">
      <c r="A20" s="1086" t="s">
        <v>1255</v>
      </c>
      <c r="B20" s="1082">
        <f>+'78'!S14</f>
        <v>23721</v>
      </c>
      <c r="C20" s="1169">
        <f>+B7</f>
        <v>22060</v>
      </c>
      <c r="D20" s="1117">
        <f>+C20/B20*100</f>
        <v>92.997765692846002</v>
      </c>
      <c r="E20" s="1082">
        <f>SUM(M7:N7)</f>
        <v>388</v>
      </c>
      <c r="F20" s="1117">
        <f>+E20/B7*100</f>
        <v>1.7588395285584768</v>
      </c>
      <c r="H20" s="974"/>
      <c r="K20" s="337"/>
    </row>
    <row r="21" spans="1:11" ht="24.75" customHeight="1">
      <c r="A21" s="1086" t="s">
        <v>1264</v>
      </c>
      <c r="B21" s="1084">
        <f>+'78'!S15</f>
        <v>6574</v>
      </c>
      <c r="C21" s="325">
        <f>+B8</f>
        <v>7404</v>
      </c>
      <c r="D21" s="1118">
        <f t="shared" ref="D21:D26" si="2">+C21/B21*100</f>
        <v>112.62549437176756</v>
      </c>
      <c r="E21" s="1084">
        <f>SUM(M8:N8)</f>
        <v>131</v>
      </c>
      <c r="F21" s="1118">
        <f>+E21/B8*100</f>
        <v>1.7693138843868181</v>
      </c>
      <c r="K21" s="337"/>
    </row>
    <row r="22" spans="1:11" ht="24.75" customHeight="1">
      <c r="A22" s="1086" t="s">
        <v>1265</v>
      </c>
      <c r="B22" s="1084">
        <f>+'78'!S17</f>
        <v>1676</v>
      </c>
      <c r="C22" s="325">
        <f t="shared" ref="C22:C25" si="3">+B10</f>
        <v>1365</v>
      </c>
      <c r="D22" s="1118">
        <f t="shared" si="2"/>
        <v>81.443914081145579</v>
      </c>
      <c r="E22" s="1084">
        <f t="shared" ref="E22:E26" si="4">SUM(M10:N10)</f>
        <v>131</v>
      </c>
      <c r="F22" s="1118">
        <f t="shared" ref="F22:F26" si="5">+E22/B10*100</f>
        <v>9.5970695970695985</v>
      </c>
    </row>
    <row r="23" spans="1:11" ht="24.75" customHeight="1">
      <c r="A23" s="1086" t="s">
        <v>1266</v>
      </c>
      <c r="B23" s="1084">
        <f>+'78'!S19</f>
        <v>834</v>
      </c>
      <c r="C23" s="325">
        <f t="shared" si="3"/>
        <v>566</v>
      </c>
      <c r="D23" s="1118">
        <f t="shared" si="2"/>
        <v>67.865707434052752</v>
      </c>
      <c r="E23" s="1084">
        <f t="shared" si="4"/>
        <v>0</v>
      </c>
      <c r="F23" s="1118">
        <f t="shared" si="5"/>
        <v>0</v>
      </c>
    </row>
    <row r="24" spans="1:11" ht="24.75" customHeight="1">
      <c r="A24" s="1086" t="s">
        <v>1258</v>
      </c>
      <c r="B24" s="1084">
        <f>+'78'!S16</f>
        <v>4171</v>
      </c>
      <c r="C24" s="325">
        <f t="shared" si="3"/>
        <v>3610</v>
      </c>
      <c r="D24" s="1118">
        <f t="shared" si="2"/>
        <v>86.54998801246704</v>
      </c>
      <c r="E24" s="1084">
        <f t="shared" si="4"/>
        <v>405</v>
      </c>
      <c r="F24" s="1118">
        <f t="shared" si="5"/>
        <v>11.218836565096952</v>
      </c>
      <c r="I24" s="947"/>
    </row>
    <row r="25" spans="1:11" ht="24.75" customHeight="1">
      <c r="A25" s="1086" t="s">
        <v>1269</v>
      </c>
      <c r="B25" s="1084">
        <f>+'78'!S24</f>
        <v>1485</v>
      </c>
      <c r="C25" s="325">
        <f t="shared" si="3"/>
        <v>1230</v>
      </c>
      <c r="D25" s="1118">
        <f t="shared" si="2"/>
        <v>82.828282828282823</v>
      </c>
      <c r="E25" s="1084">
        <f t="shared" si="4"/>
        <v>13</v>
      </c>
      <c r="F25" s="1118">
        <f t="shared" si="5"/>
        <v>1.056910569105691</v>
      </c>
    </row>
    <row r="26" spans="1:11" ht="22.5" customHeight="1">
      <c r="A26" s="1087" t="s">
        <v>491</v>
      </c>
      <c r="B26" s="629">
        <f>SUM(B20:B25)</f>
        <v>38461</v>
      </c>
      <c r="C26" s="327">
        <f>SUM(C20:C25)</f>
        <v>36235</v>
      </c>
      <c r="D26" s="1119">
        <f t="shared" si="2"/>
        <v>94.21231897246561</v>
      </c>
      <c r="E26" s="629">
        <f t="shared" si="4"/>
        <v>1078</v>
      </c>
      <c r="F26" s="1120">
        <f t="shared" si="5"/>
        <v>2.9203803538048927</v>
      </c>
    </row>
  </sheetData>
  <mergeCells count="4">
    <mergeCell ref="A1:N1"/>
    <mergeCell ref="A3:N3"/>
    <mergeCell ref="B18:D18"/>
    <mergeCell ref="E18:F18"/>
  </mergeCells>
  <pageMargins left="1.1023622047244095" right="0.70866141732283472" top="0.74803149606299213" bottom="0.74803149606299213" header="0.31496062992125984" footer="0.31496062992125984"/>
  <pageSetup paperSize="5" scale="70" orientation="landscape" r:id="rId1"/>
  <ignoredErrors>
    <ignoredError sqref="E20:E2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19" workbookViewId="0">
      <selection activeCell="C23" sqref="C23"/>
    </sheetView>
  </sheetViews>
  <sheetFormatPr baseColWidth="10" defaultRowHeight="13.2"/>
  <cols>
    <col min="1" max="1" width="18.77734375" customWidth="1"/>
    <col min="2" max="3" width="10.77734375" customWidth="1"/>
    <col min="4" max="4" width="11.21875" customWidth="1"/>
    <col min="5" max="5" width="11" customWidth="1"/>
    <col min="6" max="6" width="11.21875" customWidth="1"/>
    <col min="7" max="7" width="10.44140625" customWidth="1"/>
    <col min="8" max="8" width="14.21875" customWidth="1"/>
    <col min="9" max="9" width="7.5546875" customWidth="1"/>
    <col min="10" max="10" width="7.77734375" customWidth="1"/>
    <col min="11" max="11" width="12.21875" customWidth="1"/>
  </cols>
  <sheetData>
    <row r="1" spans="1:10">
      <c r="A1" s="80" t="s">
        <v>509</v>
      </c>
      <c r="B1" s="80"/>
      <c r="C1" s="81"/>
      <c r="D1" s="1"/>
      <c r="E1" s="1"/>
      <c r="F1" s="1"/>
      <c r="G1" s="1"/>
      <c r="H1" s="1"/>
    </row>
    <row r="2" spans="1:10">
      <c r="A2" s="80"/>
      <c r="B2" s="80"/>
      <c r="C2" s="81"/>
      <c r="D2" s="1"/>
      <c r="E2" s="1"/>
      <c r="F2" s="1"/>
      <c r="G2" s="1"/>
      <c r="H2" s="1"/>
    </row>
    <row r="3" spans="1:10">
      <c r="A3" s="3" t="s">
        <v>1643</v>
      </c>
      <c r="B3" s="80"/>
      <c r="C3" s="81"/>
      <c r="D3" s="1"/>
      <c r="E3" s="1"/>
      <c r="F3" s="1"/>
      <c r="G3" s="1"/>
      <c r="H3" s="1"/>
    </row>
    <row r="4" spans="1:10">
      <c r="A4" s="1"/>
      <c r="B4" s="1"/>
      <c r="C4" s="1"/>
      <c r="D4" s="1"/>
      <c r="E4" s="1"/>
      <c r="F4" s="1"/>
    </row>
    <row r="5" spans="1:10">
      <c r="A5" s="1"/>
      <c r="B5" s="1"/>
      <c r="C5" s="1"/>
      <c r="D5" s="1"/>
      <c r="E5" s="1"/>
      <c r="F5" s="1"/>
    </row>
    <row r="6" spans="1:10">
      <c r="A6" s="1"/>
      <c r="B6" s="1"/>
      <c r="C6" s="1"/>
      <c r="D6" s="1"/>
      <c r="E6" s="1"/>
      <c r="F6" s="1"/>
    </row>
    <row r="7" spans="1:10">
      <c r="A7" s="1"/>
      <c r="B7" s="1"/>
      <c r="C7" s="1"/>
      <c r="D7" s="1"/>
      <c r="E7" s="1"/>
      <c r="F7" s="1"/>
    </row>
    <row r="8" spans="1:10">
      <c r="A8" s="1"/>
      <c r="B8" s="1"/>
      <c r="C8" s="1"/>
      <c r="D8" s="1"/>
      <c r="E8" s="1"/>
      <c r="F8" s="1"/>
    </row>
    <row r="9" spans="1:10">
      <c r="A9" s="1"/>
      <c r="B9" s="1"/>
      <c r="C9" s="1"/>
      <c r="D9" s="1"/>
      <c r="E9" s="1"/>
      <c r="F9" s="1"/>
    </row>
    <row r="10" spans="1:10" ht="18" customHeight="1">
      <c r="A10" s="82"/>
      <c r="B10" s="83" t="s">
        <v>510</v>
      </c>
      <c r="C10" s="84"/>
      <c r="D10" s="85"/>
      <c r="E10" s="86" t="s">
        <v>511</v>
      </c>
      <c r="F10" s="87" t="s">
        <v>512</v>
      </c>
      <c r="G10" s="1026" t="s">
        <v>513</v>
      </c>
      <c r="H10" s="415"/>
    </row>
    <row r="11" spans="1:10" ht="17.25" customHeight="1">
      <c r="A11" s="88" t="s">
        <v>514</v>
      </c>
      <c r="B11" s="89" t="s">
        <v>515</v>
      </c>
      <c r="C11" s="90" t="s">
        <v>516</v>
      </c>
      <c r="D11" s="90" t="s">
        <v>517</v>
      </c>
      <c r="E11" s="91" t="s">
        <v>518</v>
      </c>
      <c r="F11" s="91" t="s">
        <v>519</v>
      </c>
      <c r="G11" s="1027" t="s">
        <v>520</v>
      </c>
      <c r="H11" s="1025"/>
    </row>
    <row r="12" spans="1:10" ht="18" customHeight="1">
      <c r="A12" s="92" t="s">
        <v>521</v>
      </c>
      <c r="B12" s="93">
        <f>+'8'!B9-'6'!C12</f>
        <v>63258.396999999997</v>
      </c>
      <c r="C12" s="94">
        <f>+'8'!B9*0.071</f>
        <v>4834.6029999999992</v>
      </c>
      <c r="D12" s="93">
        <f>SUM(B12:C12)</f>
        <v>68093</v>
      </c>
      <c r="E12" s="95">
        <f>+C12/D12*100</f>
        <v>7.1</v>
      </c>
      <c r="F12" s="96">
        <v>1258.3</v>
      </c>
      <c r="G12" s="226">
        <f>+D12/F12</f>
        <v>54.115075896050229</v>
      </c>
      <c r="H12" s="106"/>
      <c r="I12" s="1064" t="s">
        <v>521</v>
      </c>
      <c r="J12" s="152">
        <f>+E12</f>
        <v>7.1</v>
      </c>
    </row>
    <row r="13" spans="1:10" ht="18" customHeight="1">
      <c r="A13" s="92" t="s">
        <v>522</v>
      </c>
      <c r="B13" s="93">
        <f>+'8'!B17-'6'!C13</f>
        <v>10816.932000000001</v>
      </c>
      <c r="C13" s="94">
        <f>+'8'!B17*0.476</f>
        <v>9826.0679999999993</v>
      </c>
      <c r="D13" s="93">
        <f>SUM(B13:C13)</f>
        <v>20643</v>
      </c>
      <c r="E13" s="95">
        <f>+C13/D13*100</f>
        <v>47.599999999999994</v>
      </c>
      <c r="F13" s="96">
        <v>1359</v>
      </c>
      <c r="G13" s="226">
        <f>+D13/F13</f>
        <v>15.189845474613687</v>
      </c>
      <c r="H13" s="106"/>
      <c r="I13" s="1064" t="s">
        <v>654</v>
      </c>
      <c r="J13" s="152">
        <f>+E13</f>
        <v>47.599999999999994</v>
      </c>
    </row>
    <row r="14" spans="1:10" ht="18" customHeight="1">
      <c r="A14" s="92" t="s">
        <v>523</v>
      </c>
      <c r="B14" s="93">
        <f>+'8'!B25-'6'!C14</f>
        <v>8653.0499999999993</v>
      </c>
      <c r="C14" s="94">
        <f>+'8'!B25*0.475</f>
        <v>7828.95</v>
      </c>
      <c r="D14" s="93">
        <f>SUM(B14:C14)</f>
        <v>16482</v>
      </c>
      <c r="E14" s="95">
        <f>+C14/D14*100</f>
        <v>47.5</v>
      </c>
      <c r="F14" s="96">
        <v>332.3</v>
      </c>
      <c r="G14" s="226">
        <f>+D14/F14</f>
        <v>49.599759253686429</v>
      </c>
      <c r="H14" s="106"/>
      <c r="I14" s="1064" t="s">
        <v>655</v>
      </c>
      <c r="J14" s="152">
        <f>+E14</f>
        <v>47.5</v>
      </c>
    </row>
    <row r="15" spans="1:10" ht="18" customHeight="1">
      <c r="A15" s="92" t="s">
        <v>524</v>
      </c>
      <c r="B15" s="93">
        <f>+'8'!B29-'6'!C15</f>
        <v>9638.8754000000008</v>
      </c>
      <c r="C15" s="94">
        <f>+'8'!B29*0.1442</f>
        <v>1624.1245999999999</v>
      </c>
      <c r="D15" s="93">
        <f>SUM(B15:C15)</f>
        <v>11263</v>
      </c>
      <c r="E15" s="95">
        <f>+C15/D15*100</f>
        <v>14.42</v>
      </c>
      <c r="F15" s="96">
        <v>128</v>
      </c>
      <c r="G15" s="226">
        <f>+D15/F15</f>
        <v>87.9921875</v>
      </c>
      <c r="H15" s="106"/>
      <c r="I15" s="1064" t="s">
        <v>656</v>
      </c>
      <c r="J15" s="152">
        <f>+E15</f>
        <v>14.42</v>
      </c>
    </row>
    <row r="16" spans="1:10" ht="14.25" customHeight="1">
      <c r="A16" s="92"/>
      <c r="B16" s="93"/>
      <c r="C16" s="94"/>
      <c r="D16" s="97"/>
      <c r="E16" s="94"/>
      <c r="F16" s="96"/>
      <c r="G16" s="512"/>
      <c r="H16" s="97"/>
      <c r="I16" s="1064" t="s">
        <v>526</v>
      </c>
      <c r="J16" s="152">
        <f t="shared" ref="J16:J21" si="0">+E19</f>
        <v>10</v>
      </c>
    </row>
    <row r="17" spans="1:10" ht="18" customHeight="1">
      <c r="A17" s="98" t="s">
        <v>525</v>
      </c>
      <c r="B17" s="99">
        <f>SUM(B12:B15)</f>
        <v>92367.254400000005</v>
      </c>
      <c r="C17" s="100">
        <f>SUM(C12:C15)</f>
        <v>24113.745599999998</v>
      </c>
      <c r="D17" s="99">
        <f>SUM(B17:C17)</f>
        <v>116481</v>
      </c>
      <c r="E17" s="101">
        <f>+C17/D17*100</f>
        <v>20.70187034795374</v>
      </c>
      <c r="F17" s="102">
        <f>SUM(F12:F15)</f>
        <v>3077.6000000000004</v>
      </c>
      <c r="G17" s="227">
        <f>+D17/F17</f>
        <v>37.847998440343119</v>
      </c>
      <c r="H17" s="151"/>
      <c r="I17" s="1064" t="s">
        <v>527</v>
      </c>
      <c r="J17" s="152">
        <f t="shared" si="0"/>
        <v>56.999999999999993</v>
      </c>
    </row>
    <row r="18" spans="1:10" ht="15" customHeight="1">
      <c r="A18" s="92"/>
      <c r="B18" s="93"/>
      <c r="C18" s="94"/>
      <c r="D18" s="92"/>
      <c r="E18" s="103"/>
      <c r="F18" s="104"/>
      <c r="G18" s="512"/>
      <c r="H18" s="535"/>
      <c r="I18" s="1064" t="s">
        <v>528</v>
      </c>
      <c r="J18" s="152">
        <f t="shared" si="0"/>
        <v>38</v>
      </c>
    </row>
    <row r="19" spans="1:10" ht="18" customHeight="1">
      <c r="A19" s="92" t="s">
        <v>526</v>
      </c>
      <c r="B19" s="93">
        <f>+'8'!B37-'6'!C19</f>
        <v>75144.600000000006</v>
      </c>
      <c r="C19" s="94">
        <f>+'8'!B37*0.1</f>
        <v>8349.4</v>
      </c>
      <c r="D19" s="93">
        <f t="shared" ref="D19:D24" si="1">SUM(B19:C19)</f>
        <v>83494</v>
      </c>
      <c r="E19" s="95">
        <f t="shared" ref="E19:E24" si="2">+C19/D19*100</f>
        <v>10</v>
      </c>
      <c r="F19" s="96">
        <v>200.8</v>
      </c>
      <c r="G19" s="226">
        <f t="shared" ref="G19:G24" si="3">+D19/F19</f>
        <v>415.8067729083665</v>
      </c>
      <c r="H19" s="106"/>
      <c r="I19" s="1064" t="s">
        <v>657</v>
      </c>
      <c r="J19" s="152">
        <f t="shared" si="0"/>
        <v>55.000000000000007</v>
      </c>
    </row>
    <row r="20" spans="1:10" ht="18" customHeight="1">
      <c r="A20" s="92" t="s">
        <v>527</v>
      </c>
      <c r="B20" s="93">
        <f>+'8'!B43-'6'!C20</f>
        <v>7587.35</v>
      </c>
      <c r="C20" s="94">
        <f>+'8'!B43*0.57</f>
        <v>10057.65</v>
      </c>
      <c r="D20" s="93">
        <f t="shared" si="1"/>
        <v>17645</v>
      </c>
      <c r="E20" s="95">
        <f t="shared" si="2"/>
        <v>56.999999999999993</v>
      </c>
      <c r="F20" s="96">
        <v>1397</v>
      </c>
      <c r="G20" s="226">
        <f t="shared" si="3"/>
        <v>12.630637079455978</v>
      </c>
      <c r="H20" s="106"/>
      <c r="I20" s="1064" t="s">
        <v>530</v>
      </c>
      <c r="J20" s="152">
        <f t="shared" si="0"/>
        <v>25</v>
      </c>
    </row>
    <row r="21" spans="1:10" ht="18" customHeight="1">
      <c r="A21" s="92" t="s">
        <v>528</v>
      </c>
      <c r="B21" s="93">
        <f>+'8'!B56-'6'!C21</f>
        <v>10147.540000000001</v>
      </c>
      <c r="C21" s="94">
        <f>+'8'!B56*0.38</f>
        <v>6219.46</v>
      </c>
      <c r="D21" s="93">
        <f t="shared" si="1"/>
        <v>16367</v>
      </c>
      <c r="E21" s="95">
        <f t="shared" si="2"/>
        <v>38</v>
      </c>
      <c r="F21" s="96">
        <v>178.3</v>
      </c>
      <c r="G21" s="226">
        <f t="shared" si="3"/>
        <v>91.794727986539527</v>
      </c>
      <c r="H21" s="106"/>
      <c r="I21" s="1064" t="s">
        <v>531</v>
      </c>
      <c r="J21" s="152">
        <f t="shared" si="0"/>
        <v>45</v>
      </c>
    </row>
    <row r="22" spans="1:10" ht="18" customHeight="1">
      <c r="A22" s="92" t="s">
        <v>529</v>
      </c>
      <c r="B22" s="93">
        <f>+'8'!B61-'6'!C22</f>
        <v>3434.8499999999995</v>
      </c>
      <c r="C22" s="94">
        <f>+'8'!B61*0.55</f>
        <v>4198.1500000000005</v>
      </c>
      <c r="D22" s="93">
        <f t="shared" si="1"/>
        <v>7633</v>
      </c>
      <c r="E22" s="95">
        <f t="shared" si="2"/>
        <v>55.000000000000007</v>
      </c>
      <c r="F22" s="96">
        <v>123.5</v>
      </c>
      <c r="G22" s="226">
        <f t="shared" si="3"/>
        <v>61.805668016194332</v>
      </c>
      <c r="H22" s="106"/>
    </row>
    <row r="23" spans="1:10" ht="18" customHeight="1">
      <c r="A23" s="92" t="s">
        <v>530</v>
      </c>
      <c r="B23" s="93">
        <f>+'8'!B67-'6'!C23</f>
        <v>19899.75</v>
      </c>
      <c r="C23" s="94">
        <f>+'8'!B67*0.25</f>
        <v>6633.25</v>
      </c>
      <c r="D23" s="93">
        <f t="shared" si="1"/>
        <v>26533</v>
      </c>
      <c r="E23" s="95">
        <f t="shared" si="2"/>
        <v>25</v>
      </c>
      <c r="F23" s="96">
        <v>349</v>
      </c>
      <c r="G23" s="226">
        <f t="shared" si="3"/>
        <v>76.025787965616047</v>
      </c>
      <c r="H23" s="106"/>
    </row>
    <row r="24" spans="1:10" ht="18" customHeight="1">
      <c r="A24" s="92" t="s">
        <v>531</v>
      </c>
      <c r="B24" s="93">
        <f>+'8'!B73-'6'!C24</f>
        <v>8367.15</v>
      </c>
      <c r="C24" s="94">
        <f>+'8'!B73*0.45</f>
        <v>6845.85</v>
      </c>
      <c r="D24" s="93">
        <f t="shared" si="1"/>
        <v>15213</v>
      </c>
      <c r="E24" s="95">
        <f t="shared" si="2"/>
        <v>45</v>
      </c>
      <c r="F24" s="96">
        <v>350.2</v>
      </c>
      <c r="G24" s="226">
        <f t="shared" si="3"/>
        <v>43.44089091947459</v>
      </c>
      <c r="H24" s="106"/>
    </row>
    <row r="25" spans="1:10" ht="13.5" customHeight="1">
      <c r="A25" s="92"/>
      <c r="B25" s="93"/>
      <c r="C25" s="94"/>
      <c r="D25" s="106"/>
      <c r="E25" s="94"/>
      <c r="F25" s="96"/>
      <c r="G25" s="226"/>
      <c r="H25" s="106"/>
    </row>
    <row r="26" spans="1:10" ht="18" customHeight="1">
      <c r="A26" s="98" t="s">
        <v>533</v>
      </c>
      <c r="B26" s="99">
        <f>SUM(B19:B25)</f>
        <v>124581.24000000002</v>
      </c>
      <c r="C26" s="100">
        <f>SUM(C19:C25)</f>
        <v>42303.76</v>
      </c>
      <c r="D26" s="99">
        <f>SUM(B26:C26)</f>
        <v>166885.00000000003</v>
      </c>
      <c r="E26" s="101">
        <f>+C26/D26*100</f>
        <v>25.34904874614255</v>
      </c>
      <c r="F26" s="102">
        <f>SUM(F19:F24)</f>
        <v>2598.7999999999997</v>
      </c>
      <c r="G26" s="227">
        <f>+D26/F26</f>
        <v>64.216176696937069</v>
      </c>
      <c r="H26" s="151"/>
    </row>
    <row r="27" spans="1:10" ht="11.25" customHeight="1">
      <c r="A27" s="92"/>
      <c r="B27" s="93"/>
      <c r="C27" s="94"/>
      <c r="D27" s="97"/>
      <c r="E27" s="94"/>
      <c r="F27" s="96"/>
      <c r="G27" s="512"/>
      <c r="H27" s="97"/>
    </row>
    <row r="28" spans="1:10" ht="21.75" customHeight="1">
      <c r="A28" s="107" t="s">
        <v>534</v>
      </c>
      <c r="B28" s="108">
        <f>+B17+B26</f>
        <v>216948.49440000003</v>
      </c>
      <c r="C28" s="109">
        <f>+C17+C26</f>
        <v>66417.505600000004</v>
      </c>
      <c r="D28" s="108">
        <f>SUM(B28:C28)</f>
        <v>283366</v>
      </c>
      <c r="E28" s="110">
        <f>+C28/D28*100</f>
        <v>23.438770212375516</v>
      </c>
      <c r="F28" s="111">
        <f>+F17+F26</f>
        <v>5676.4</v>
      </c>
      <c r="G28" s="228">
        <f>+D28/F28</f>
        <v>49.920019730815312</v>
      </c>
      <c r="H28" s="151"/>
    </row>
    <row r="29" spans="1:10">
      <c r="A29" s="8" t="s">
        <v>1582</v>
      </c>
      <c r="B29" s="8"/>
      <c r="C29" s="8"/>
      <c r="D29" s="8"/>
      <c r="E29" s="8"/>
      <c r="F29" s="8"/>
    </row>
    <row r="30" spans="1:10">
      <c r="A30" s="8"/>
      <c r="B30" s="8"/>
      <c r="C30" s="8"/>
      <c r="D30" s="8"/>
      <c r="E30" s="8"/>
      <c r="F30" s="8"/>
    </row>
    <row r="31" spans="1:10">
      <c r="A31" s="8"/>
      <c r="B31" s="8"/>
      <c r="C31" s="8"/>
      <c r="D31" s="8"/>
      <c r="E31" s="8"/>
      <c r="F31" s="8"/>
    </row>
    <row r="32" spans="1:10">
      <c r="A32" s="8"/>
      <c r="B32" s="8"/>
      <c r="C32" s="8"/>
      <c r="D32" s="8"/>
      <c r="E32" s="8"/>
      <c r="F32" s="8"/>
    </row>
    <row r="33" spans="1:6">
      <c r="A33" s="8"/>
      <c r="B33" s="8"/>
      <c r="C33" s="8"/>
      <c r="D33" s="8"/>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row r="39" spans="1:6">
      <c r="A39" s="8"/>
      <c r="B39" s="8"/>
      <c r="C39" s="8"/>
      <c r="D39" s="8"/>
      <c r="E39" s="8"/>
      <c r="F39" s="8"/>
    </row>
    <row r="40" spans="1:6">
      <c r="A40" s="8"/>
      <c r="B40" s="8"/>
      <c r="C40" s="8"/>
      <c r="D40" s="8"/>
      <c r="E40" s="8"/>
      <c r="F40" s="8"/>
    </row>
    <row r="41" spans="1:6">
      <c r="A41" s="8"/>
      <c r="B41" s="8"/>
      <c r="C41" s="8"/>
      <c r="D41" s="8"/>
      <c r="E41" s="8"/>
      <c r="F41" s="8"/>
    </row>
  </sheetData>
  <phoneticPr fontId="19" type="noConversion"/>
  <pageMargins left="0.98425196850393704" right="0.59055118110236227" top="1.3779527559055118" bottom="0.98425196850393704" header="0.51181102362204722" footer="0.51181102362204722"/>
  <pageSetup paperSize="5" orientation="portrait"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E13" sqref="E13"/>
    </sheetView>
  </sheetViews>
  <sheetFormatPr baseColWidth="10" defaultColWidth="12.5546875" defaultRowHeight="13.2"/>
  <cols>
    <col min="1" max="1" width="31.5546875" style="762" customWidth="1"/>
    <col min="2" max="2" width="9.44140625" style="762" customWidth="1"/>
    <col min="3" max="3" width="8.21875" style="762" customWidth="1"/>
    <col min="4" max="4" width="8.44140625" style="762" customWidth="1"/>
    <col min="5" max="9" width="8.21875" style="762" customWidth="1"/>
    <col min="10" max="10" width="7" style="762" customWidth="1"/>
    <col min="11" max="12" width="8.21875" style="762" customWidth="1"/>
    <col min="13" max="13" width="9.21875" style="762" customWidth="1"/>
    <col min="14" max="17" width="8.21875" style="762" customWidth="1"/>
    <col min="18" max="21" width="9" style="762" customWidth="1"/>
    <col min="22" max="22" width="8.21875" style="762" customWidth="1"/>
    <col min="23" max="23" width="8.77734375" style="762" customWidth="1"/>
    <col min="24" max="25" width="9.77734375" style="762" customWidth="1"/>
    <col min="26" max="26" width="10.77734375" style="700" customWidth="1"/>
    <col min="27" max="27" width="9.21875" style="700" customWidth="1"/>
    <col min="28" max="16384" width="12.5546875" style="700"/>
  </cols>
  <sheetData>
    <row r="1" spans="1:27">
      <c r="A1" s="697" t="s">
        <v>169</v>
      </c>
      <c r="B1" s="697"/>
      <c r="C1" s="698"/>
      <c r="D1" s="698"/>
      <c r="E1" s="698"/>
      <c r="F1" s="698"/>
      <c r="G1" s="698"/>
      <c r="H1" s="698"/>
      <c r="I1" s="698"/>
      <c r="J1" s="698"/>
      <c r="K1" s="699"/>
      <c r="L1" s="698"/>
      <c r="M1" s="698"/>
      <c r="N1" s="698"/>
      <c r="O1" s="698"/>
      <c r="P1" s="698"/>
      <c r="Q1" s="698"/>
      <c r="R1" s="698"/>
      <c r="S1" s="698"/>
      <c r="T1" s="698"/>
      <c r="U1" s="698"/>
      <c r="V1" s="698"/>
      <c r="W1" s="698"/>
      <c r="X1" s="698"/>
      <c r="Y1" s="698"/>
    </row>
    <row r="2" spans="1:27">
      <c r="A2" s="697"/>
      <c r="B2" s="697"/>
      <c r="C2" s="698"/>
      <c r="D2" s="698"/>
      <c r="E2" s="698"/>
      <c r="F2" s="698"/>
      <c r="G2" s="698"/>
      <c r="H2" s="698"/>
      <c r="I2" s="698"/>
      <c r="J2" s="698"/>
      <c r="K2" s="698"/>
      <c r="L2" s="698"/>
      <c r="M2" s="698"/>
      <c r="N2" s="698"/>
      <c r="O2" s="698"/>
      <c r="P2" s="698"/>
      <c r="Q2" s="698"/>
      <c r="R2" s="698"/>
      <c r="S2" s="698"/>
      <c r="T2" s="698"/>
      <c r="U2" s="698"/>
      <c r="V2" s="698"/>
      <c r="W2" s="698"/>
      <c r="X2" s="698"/>
      <c r="Y2" s="698"/>
    </row>
    <row r="3" spans="1:27">
      <c r="A3" s="697" t="str">
        <f>+'76'!A3</f>
        <v>SERVICIO DE SALUD   ACONCAGUA   2020</v>
      </c>
      <c r="B3" s="697"/>
      <c r="C3" s="698"/>
      <c r="D3" s="698"/>
      <c r="E3" s="698"/>
      <c r="F3" s="698"/>
      <c r="G3" s="698"/>
      <c r="H3" s="698"/>
      <c r="I3" s="698"/>
      <c r="J3" s="698"/>
      <c r="K3" s="698"/>
      <c r="L3" s="698"/>
      <c r="M3" s="698"/>
      <c r="N3" s="698"/>
      <c r="O3" s="698"/>
      <c r="P3" s="698"/>
      <c r="Q3" s="698"/>
      <c r="R3" s="698"/>
      <c r="S3" s="698"/>
      <c r="T3" s="698"/>
      <c r="U3" s="698"/>
      <c r="V3" s="698"/>
      <c r="W3" s="698"/>
      <c r="X3" s="698"/>
      <c r="Y3" s="698"/>
    </row>
    <row r="4" spans="1:27">
      <c r="A4" s="698"/>
      <c r="B4" s="698"/>
      <c r="C4" s="698"/>
      <c r="D4" s="698"/>
      <c r="E4" s="698"/>
      <c r="F4" s="698"/>
      <c r="G4" s="698"/>
      <c r="H4" s="698"/>
      <c r="I4" s="698"/>
      <c r="J4" s="698"/>
      <c r="K4" s="698"/>
      <c r="L4" s="698"/>
      <c r="M4" s="698"/>
      <c r="N4" s="698"/>
      <c r="O4" s="698"/>
      <c r="P4" s="698"/>
      <c r="Q4" s="698"/>
      <c r="R4" s="698"/>
      <c r="S4" s="698"/>
      <c r="T4" s="698"/>
      <c r="U4" s="698"/>
      <c r="V4" s="698"/>
      <c r="W4" s="698"/>
      <c r="X4" s="698"/>
      <c r="Y4" s="698"/>
    </row>
    <row r="5" spans="1:27">
      <c r="A5" s="698"/>
      <c r="B5" s="698"/>
      <c r="C5" s="698"/>
      <c r="D5" s="698"/>
      <c r="E5" s="698"/>
      <c r="F5" s="698"/>
      <c r="G5" s="698"/>
      <c r="H5" s="698"/>
      <c r="I5" s="698"/>
      <c r="J5" s="698"/>
      <c r="K5" s="698"/>
      <c r="L5" s="698"/>
      <c r="M5" s="698"/>
      <c r="N5" s="698"/>
      <c r="O5" s="698"/>
      <c r="P5" s="698"/>
      <c r="Q5" s="698"/>
      <c r="R5" s="698"/>
      <c r="S5" s="698"/>
      <c r="T5" s="698"/>
      <c r="U5" s="698"/>
      <c r="V5" s="698"/>
      <c r="W5" s="698"/>
      <c r="X5" s="698"/>
      <c r="Y5" s="698"/>
    </row>
    <row r="6" spans="1:27">
      <c r="A6" s="698"/>
      <c r="B6" s="698"/>
      <c r="C6" s="698"/>
      <c r="D6" s="698"/>
      <c r="E6" s="698"/>
      <c r="F6" s="698"/>
      <c r="G6" s="698"/>
      <c r="H6" s="698"/>
      <c r="I6" s="698"/>
      <c r="J6" s="698"/>
      <c r="K6" s="698"/>
      <c r="L6" s="698"/>
      <c r="M6" s="698"/>
      <c r="N6" s="698"/>
      <c r="O6" s="698"/>
      <c r="P6" s="698"/>
      <c r="Q6" s="698"/>
      <c r="R6" s="698"/>
      <c r="S6" s="698"/>
      <c r="T6" s="698"/>
      <c r="U6" s="698"/>
      <c r="V6" s="698"/>
      <c r="W6" s="698"/>
      <c r="X6" s="698"/>
      <c r="Y6" s="698"/>
    </row>
    <row r="7" spans="1:27">
      <c r="A7" s="698"/>
      <c r="B7" s="698"/>
      <c r="C7" s="698"/>
      <c r="D7" s="698"/>
      <c r="E7" s="698"/>
      <c r="F7" s="698"/>
      <c r="G7" s="698"/>
      <c r="H7" s="698"/>
      <c r="I7" s="698"/>
      <c r="J7" s="698"/>
      <c r="K7" s="698"/>
      <c r="L7" s="698"/>
      <c r="M7" s="698"/>
      <c r="N7" s="698"/>
      <c r="O7" s="698"/>
      <c r="P7" s="698"/>
      <c r="Q7" s="698"/>
      <c r="R7" s="698"/>
      <c r="S7" s="698"/>
      <c r="T7" s="698"/>
      <c r="U7" s="698"/>
      <c r="V7" s="698"/>
      <c r="W7" s="698"/>
      <c r="X7" s="698"/>
      <c r="Y7" s="698"/>
    </row>
    <row r="8" spans="1:27" ht="15.6">
      <c r="A8" s="702"/>
      <c r="B8" s="702"/>
      <c r="C8" s="702"/>
      <c r="D8" s="702"/>
      <c r="E8" s="702"/>
      <c r="F8" s="702"/>
      <c r="G8" s="702"/>
      <c r="H8" s="702"/>
      <c r="I8" s="702"/>
      <c r="J8" s="702"/>
      <c r="K8" s="702"/>
      <c r="L8" s="702"/>
      <c r="M8" s="702"/>
      <c r="N8" s="702"/>
      <c r="O8" s="702"/>
      <c r="P8" s="702"/>
      <c r="Q8" s="702"/>
      <c r="R8" s="702"/>
      <c r="S8" s="702"/>
      <c r="T8" s="702"/>
      <c r="U8" s="702"/>
      <c r="V8" s="702"/>
      <c r="W8" s="702"/>
      <c r="X8" s="702"/>
      <c r="Y8" s="702"/>
      <c r="Z8" s="701"/>
      <c r="AA8" s="701"/>
    </row>
    <row r="9" spans="1:27" s="713" customFormat="1" ht="21.75" customHeight="1">
      <c r="A9" s="703"/>
      <c r="B9" s="703"/>
      <c r="C9" s="704"/>
      <c r="D9" s="705"/>
      <c r="E9" s="1692" t="s">
        <v>131</v>
      </c>
      <c r="F9" s="1692"/>
      <c r="G9" s="1692"/>
      <c r="H9" s="1692"/>
      <c r="I9" s="1692"/>
      <c r="J9" s="1692"/>
      <c r="K9" s="1692"/>
      <c r="L9" s="1692"/>
      <c r="M9" s="1692"/>
      <c r="N9" s="1692"/>
      <c r="O9" s="1692"/>
      <c r="P9" s="706"/>
      <c r="Q9" s="1690" t="s">
        <v>132</v>
      </c>
      <c r="R9" s="707" t="s">
        <v>133</v>
      </c>
      <c r="S9" s="708"/>
      <c r="T9" s="1698" t="s">
        <v>134</v>
      </c>
      <c r="U9" s="1699"/>
      <c r="V9" s="707" t="s">
        <v>135</v>
      </c>
      <c r="W9" s="711"/>
      <c r="X9" s="711"/>
      <c r="Y9" s="708"/>
      <c r="Z9" s="712"/>
      <c r="AA9" s="712"/>
    </row>
    <row r="10" spans="1:27" s="713" customFormat="1" ht="19.5" customHeight="1">
      <c r="A10" s="714" t="s">
        <v>136</v>
      </c>
      <c r="B10" s="1048" t="s">
        <v>1231</v>
      </c>
      <c r="C10" s="715"/>
      <c r="D10" s="716" t="s">
        <v>137</v>
      </c>
      <c r="E10" s="717" t="s">
        <v>138</v>
      </c>
      <c r="F10" s="718"/>
      <c r="G10" s="718"/>
      <c r="H10" s="718"/>
      <c r="I10" s="718"/>
      <c r="J10" s="718"/>
      <c r="K10" s="719"/>
      <c r="L10" s="720" t="s">
        <v>139</v>
      </c>
      <c r="M10" s="720"/>
      <c r="N10" s="720"/>
      <c r="O10" s="720"/>
      <c r="P10" s="716" t="s">
        <v>137</v>
      </c>
      <c r="Q10" s="1691"/>
      <c r="R10" s="721"/>
      <c r="S10" s="722"/>
      <c r="T10" s="723"/>
      <c r="U10" s="723"/>
      <c r="V10" s="724"/>
      <c r="W10" s="725"/>
      <c r="X10" s="725"/>
      <c r="Y10" s="726"/>
      <c r="Z10" s="712"/>
      <c r="AA10" s="712"/>
    </row>
    <row r="11" spans="1:27" s="713" customFormat="1" ht="36" customHeight="1">
      <c r="A11" s="714" t="s">
        <v>140</v>
      </c>
      <c r="B11" s="1048" t="s">
        <v>1232</v>
      </c>
      <c r="C11" s="727" t="s">
        <v>141</v>
      </c>
      <c r="D11" s="727" t="s">
        <v>142</v>
      </c>
      <c r="E11" s="728" t="s">
        <v>1022</v>
      </c>
      <c r="F11" s="729" t="s">
        <v>1020</v>
      </c>
      <c r="G11" s="729" t="s">
        <v>143</v>
      </c>
      <c r="H11" s="730" t="s">
        <v>144</v>
      </c>
      <c r="I11" s="730" t="s">
        <v>145</v>
      </c>
      <c r="J11" s="731" t="s">
        <v>220</v>
      </c>
      <c r="K11" s="729" t="s">
        <v>517</v>
      </c>
      <c r="L11" s="732" t="s">
        <v>146</v>
      </c>
      <c r="M11" s="730" t="s">
        <v>147</v>
      </c>
      <c r="N11" s="733" t="s">
        <v>148</v>
      </c>
      <c r="O11" s="729" t="s">
        <v>517</v>
      </c>
      <c r="P11" s="727" t="s">
        <v>149</v>
      </c>
      <c r="Q11" s="734" t="s">
        <v>150</v>
      </c>
      <c r="R11" s="735" t="s">
        <v>151</v>
      </c>
      <c r="S11" s="729" t="s">
        <v>152</v>
      </c>
      <c r="T11" s="729" t="s">
        <v>517</v>
      </c>
      <c r="U11" s="736" t="s">
        <v>153</v>
      </c>
      <c r="V11" s="730" t="s">
        <v>154</v>
      </c>
      <c r="W11" s="730" t="s">
        <v>155</v>
      </c>
      <c r="X11" s="737" t="s">
        <v>156</v>
      </c>
      <c r="Y11" s="738" t="s">
        <v>157</v>
      </c>
      <c r="Z11" s="712"/>
      <c r="AA11" s="712"/>
    </row>
    <row r="12" spans="1:27" ht="23.25" customHeight="1">
      <c r="A12" s="739" t="s">
        <v>625</v>
      </c>
      <c r="B12" s="1050"/>
      <c r="C12" s="740">
        <f t="shared" ref="C12:U12" si="0">SUM(C13:C27)</f>
        <v>42</v>
      </c>
      <c r="D12" s="740">
        <f t="shared" si="0"/>
        <v>22</v>
      </c>
      <c r="E12" s="740">
        <f t="shared" si="0"/>
        <v>1023</v>
      </c>
      <c r="F12" s="740">
        <f t="shared" si="0"/>
        <v>0</v>
      </c>
      <c r="G12" s="740">
        <f t="shared" si="0"/>
        <v>0</v>
      </c>
      <c r="H12" s="740">
        <f t="shared" si="0"/>
        <v>0</v>
      </c>
      <c r="I12" s="740">
        <f t="shared" si="0"/>
        <v>0</v>
      </c>
      <c r="J12" s="740">
        <f t="shared" si="0"/>
        <v>0</v>
      </c>
      <c r="K12" s="740">
        <f t="shared" si="0"/>
        <v>1023</v>
      </c>
      <c r="L12" s="740">
        <f t="shared" si="0"/>
        <v>953</v>
      </c>
      <c r="M12" s="740">
        <f t="shared" si="0"/>
        <v>0</v>
      </c>
      <c r="N12" s="740">
        <f t="shared" si="0"/>
        <v>72</v>
      </c>
      <c r="O12" s="740">
        <f t="shared" si="0"/>
        <v>1025</v>
      </c>
      <c r="P12" s="740">
        <f t="shared" si="0"/>
        <v>20</v>
      </c>
      <c r="Q12" s="740">
        <f t="shared" si="0"/>
        <v>73</v>
      </c>
      <c r="R12" s="740">
        <f t="shared" si="0"/>
        <v>14429</v>
      </c>
      <c r="S12" s="740">
        <f t="shared" si="0"/>
        <v>6668</v>
      </c>
      <c r="T12" s="740">
        <f t="shared" si="0"/>
        <v>6707</v>
      </c>
      <c r="U12" s="740">
        <f t="shared" si="0"/>
        <v>6707</v>
      </c>
      <c r="V12" s="742">
        <f>S12/R12*100</f>
        <v>46.212488737958282</v>
      </c>
      <c r="W12" s="743">
        <f>+T12/O12</f>
        <v>6.5434146341463411</v>
      </c>
      <c r="X12" s="744">
        <f>+O12/(R12/30.4)</f>
        <v>2.15953981564904</v>
      </c>
      <c r="Y12" s="745">
        <f>(+R12-S12)/O12</f>
        <v>7.5717073170731704</v>
      </c>
      <c r="Z12" s="701"/>
      <c r="AA12" s="701"/>
    </row>
    <row r="13" spans="1:27" ht="23.25" customHeight="1">
      <c r="A13" s="1043" t="s">
        <v>1348</v>
      </c>
      <c r="B13" s="714">
        <v>401</v>
      </c>
      <c r="C13" s="768">
        <v>36</v>
      </c>
      <c r="D13" s="748">
        <v>22</v>
      </c>
      <c r="E13" s="768">
        <v>997</v>
      </c>
      <c r="F13" s="749"/>
      <c r="G13" s="749"/>
      <c r="H13" s="749"/>
      <c r="I13" s="749"/>
      <c r="J13" s="749"/>
      <c r="K13" s="741">
        <f>SUM(E13:J13)</f>
        <v>997</v>
      </c>
      <c r="L13" s="749">
        <v>927</v>
      </c>
      <c r="M13" s="768"/>
      <c r="N13" s="749">
        <v>72</v>
      </c>
      <c r="O13" s="741">
        <f>SUM(L13:N13)</f>
        <v>999</v>
      </c>
      <c r="P13" s="750">
        <f>SUM(D13,K13)-O13</f>
        <v>20</v>
      </c>
      <c r="Q13" s="749">
        <v>69</v>
      </c>
      <c r="R13" s="749">
        <v>12233</v>
      </c>
      <c r="S13" s="768">
        <v>6479</v>
      </c>
      <c r="T13" s="749">
        <v>6514</v>
      </c>
      <c r="U13" s="768">
        <v>6514</v>
      </c>
      <c r="V13" s="742">
        <f>S13/R13*100</f>
        <v>52.963296002615877</v>
      </c>
      <c r="W13" s="743">
        <f>+T13/O13</f>
        <v>6.5205205205205203</v>
      </c>
      <c r="X13" s="744">
        <f>+O13/(R13/30.4)</f>
        <v>2.4825962560287747</v>
      </c>
      <c r="Y13" s="745">
        <f>(+R13-S13)/O13</f>
        <v>5.7597597597597598</v>
      </c>
      <c r="Z13" s="701"/>
      <c r="AA13" s="701"/>
    </row>
    <row r="14" spans="1:27" ht="23.25" customHeight="1">
      <c r="A14" s="1043" t="s">
        <v>1233</v>
      </c>
      <c r="B14" s="714">
        <v>403</v>
      </c>
      <c r="C14" s="768"/>
      <c r="D14" s="748"/>
      <c r="E14" s="768"/>
      <c r="F14" s="749"/>
      <c r="G14" s="749"/>
      <c r="H14" s="749"/>
      <c r="I14" s="749"/>
      <c r="J14" s="749"/>
      <c r="K14" s="741"/>
      <c r="L14" s="749"/>
      <c r="M14" s="768"/>
      <c r="N14" s="749"/>
      <c r="O14" s="741"/>
      <c r="P14" s="750"/>
      <c r="Q14" s="749"/>
      <c r="R14" s="749"/>
      <c r="S14" s="768"/>
      <c r="T14" s="749"/>
      <c r="U14" s="768"/>
      <c r="V14" s="742"/>
      <c r="W14" s="743"/>
      <c r="X14" s="744"/>
      <c r="Y14" s="745"/>
      <c r="Z14" s="701"/>
      <c r="AA14" s="701"/>
    </row>
    <row r="15" spans="1:27" ht="23.25" customHeight="1">
      <c r="A15" s="1043" t="s">
        <v>1234</v>
      </c>
      <c r="B15" s="714">
        <v>404</v>
      </c>
      <c r="C15" s="741"/>
      <c r="D15" s="750"/>
      <c r="E15" s="741"/>
      <c r="F15" s="750"/>
      <c r="G15" s="750"/>
      <c r="H15" s="750"/>
      <c r="I15" s="750"/>
      <c r="J15" s="750"/>
      <c r="K15" s="741"/>
      <c r="L15" s="750"/>
      <c r="M15" s="741"/>
      <c r="N15" s="750"/>
      <c r="O15" s="741"/>
      <c r="P15" s="750"/>
      <c r="Q15" s="750"/>
      <c r="R15" s="750"/>
      <c r="S15" s="741"/>
      <c r="T15" s="750"/>
      <c r="U15" s="741"/>
      <c r="V15" s="742"/>
      <c r="W15" s="743"/>
      <c r="X15" s="744"/>
      <c r="Y15" s="745"/>
      <c r="Z15" s="701"/>
      <c r="AA15" s="701"/>
    </row>
    <row r="16" spans="1:27" ht="23.25" customHeight="1">
      <c r="A16" s="746" t="s">
        <v>158</v>
      </c>
      <c r="B16" s="714">
        <v>416</v>
      </c>
      <c r="C16" s="768"/>
      <c r="D16" s="748"/>
      <c r="E16" s="768"/>
      <c r="F16" s="751"/>
      <c r="G16" s="751"/>
      <c r="H16" s="751"/>
      <c r="I16" s="751"/>
      <c r="J16" s="749"/>
      <c r="K16" s="741">
        <f>SUM(E16:J16)</f>
        <v>0</v>
      </c>
      <c r="L16" s="749"/>
      <c r="M16" s="768"/>
      <c r="N16" s="749"/>
      <c r="O16" s="741"/>
      <c r="P16" s="750">
        <f>SUM(D16,K16)-O16</f>
        <v>0</v>
      </c>
      <c r="Q16" s="749"/>
      <c r="R16" s="749"/>
      <c r="S16" s="768"/>
      <c r="T16" s="749"/>
      <c r="U16" s="768"/>
      <c r="V16" s="742"/>
      <c r="W16" s="743"/>
      <c r="X16" s="744"/>
      <c r="Y16" s="745"/>
      <c r="Z16" s="701"/>
      <c r="AA16" s="701"/>
    </row>
    <row r="17" spans="1:27" ht="23.25" customHeight="1">
      <c r="A17" s="1043" t="s">
        <v>1235</v>
      </c>
      <c r="B17" s="714">
        <v>407</v>
      </c>
      <c r="C17" s="768">
        <v>6</v>
      </c>
      <c r="D17" s="748"/>
      <c r="E17" s="768">
        <v>26</v>
      </c>
      <c r="F17" s="749"/>
      <c r="G17" s="749"/>
      <c r="H17" s="749"/>
      <c r="I17" s="749"/>
      <c r="J17" s="749"/>
      <c r="K17" s="741">
        <f>SUM(E17:J17)</f>
        <v>26</v>
      </c>
      <c r="L17" s="749">
        <v>26</v>
      </c>
      <c r="M17" s="768"/>
      <c r="N17" s="749"/>
      <c r="O17" s="741">
        <f>SUM(L17:N17)</f>
        <v>26</v>
      </c>
      <c r="P17" s="750">
        <f>SUM(D17,K17)-O17</f>
        <v>0</v>
      </c>
      <c r="Q17" s="749">
        <v>4</v>
      </c>
      <c r="R17" s="749">
        <v>2196</v>
      </c>
      <c r="S17" s="768">
        <v>189</v>
      </c>
      <c r="T17" s="749">
        <v>193</v>
      </c>
      <c r="U17" s="768">
        <v>193</v>
      </c>
      <c r="V17" s="742">
        <f>S17/R17*100</f>
        <v>8.6065573770491799</v>
      </c>
      <c r="W17" s="743">
        <f>+T17/O17</f>
        <v>7.4230769230769234</v>
      </c>
      <c r="X17" s="744">
        <f>+O17/(R17/30.4)</f>
        <v>0.35992714025500905</v>
      </c>
      <c r="Y17" s="745">
        <f>(+R17-S17)/O17</f>
        <v>77.192307692307693</v>
      </c>
      <c r="Z17" s="701"/>
      <c r="AA17" s="701"/>
    </row>
    <row r="18" spans="1:27" ht="23.25" customHeight="1">
      <c r="A18" s="1043" t="s">
        <v>1236</v>
      </c>
      <c r="B18" s="714">
        <v>409</v>
      </c>
      <c r="C18" s="768"/>
      <c r="D18" s="748"/>
      <c r="E18" s="768"/>
      <c r="F18" s="749"/>
      <c r="G18" s="749"/>
      <c r="H18" s="749"/>
      <c r="I18" s="749"/>
      <c r="J18" s="749"/>
      <c r="K18" s="741"/>
      <c r="L18" s="749"/>
      <c r="M18" s="768"/>
      <c r="N18" s="749"/>
      <c r="O18" s="741"/>
      <c r="P18" s="750"/>
      <c r="Q18" s="749"/>
      <c r="R18" s="749"/>
      <c r="S18" s="768"/>
      <c r="T18" s="749"/>
      <c r="U18" s="768"/>
      <c r="V18" s="742"/>
      <c r="W18" s="743"/>
      <c r="X18" s="744"/>
      <c r="Y18" s="745"/>
      <c r="Z18" s="701"/>
      <c r="AA18" s="701"/>
    </row>
    <row r="19" spans="1:27" ht="23.25" customHeight="1">
      <c r="A19" s="746" t="s">
        <v>159</v>
      </c>
      <c r="B19" s="714">
        <v>413</v>
      </c>
      <c r="C19" s="768"/>
      <c r="D19" s="748"/>
      <c r="E19" s="768"/>
      <c r="F19" s="749"/>
      <c r="G19" s="749"/>
      <c r="H19" s="749"/>
      <c r="I19" s="749"/>
      <c r="J19" s="749"/>
      <c r="K19" s="741"/>
      <c r="L19" s="749"/>
      <c r="M19" s="768"/>
      <c r="N19" s="749"/>
      <c r="O19" s="741"/>
      <c r="P19" s="750"/>
      <c r="Q19" s="749"/>
      <c r="R19" s="749"/>
      <c r="S19" s="768"/>
      <c r="T19" s="749"/>
      <c r="U19" s="768"/>
      <c r="V19" s="742"/>
      <c r="W19" s="743"/>
      <c r="X19" s="744"/>
      <c r="Y19" s="745"/>
      <c r="Z19" s="701"/>
      <c r="AA19" s="701"/>
    </row>
    <row r="20" spans="1:27" ht="23.25" customHeight="1">
      <c r="A20" s="1043" t="s">
        <v>1425</v>
      </c>
      <c r="B20" s="714">
        <v>411</v>
      </c>
      <c r="C20" s="768"/>
      <c r="D20" s="748"/>
      <c r="E20" s="768"/>
      <c r="F20" s="749"/>
      <c r="G20" s="749"/>
      <c r="H20" s="749"/>
      <c r="I20" s="749"/>
      <c r="J20" s="749"/>
      <c r="K20" s="741"/>
      <c r="L20" s="749"/>
      <c r="M20" s="768"/>
      <c r="N20" s="749"/>
      <c r="O20" s="741"/>
      <c r="P20" s="750"/>
      <c r="Q20" s="749"/>
      <c r="R20" s="749"/>
      <c r="S20" s="768"/>
      <c r="T20" s="749"/>
      <c r="U20" s="768"/>
      <c r="V20" s="742"/>
      <c r="W20" s="743"/>
      <c r="X20" s="744"/>
      <c r="Y20" s="745"/>
      <c r="Z20" s="701"/>
      <c r="AA20" s="701"/>
    </row>
    <row r="21" spans="1:27" ht="23.25" customHeight="1">
      <c r="A21" s="1043" t="s">
        <v>1230</v>
      </c>
      <c r="B21" s="1048">
        <v>412</v>
      </c>
      <c r="C21" s="768"/>
      <c r="D21" s="749"/>
      <c r="E21" s="768"/>
      <c r="F21" s="749"/>
      <c r="G21" s="749"/>
      <c r="H21" s="749"/>
      <c r="I21" s="749"/>
      <c r="J21" s="749"/>
      <c r="K21" s="741"/>
      <c r="L21" s="749"/>
      <c r="M21" s="768"/>
      <c r="N21" s="749"/>
      <c r="O21" s="741"/>
      <c r="P21" s="750"/>
      <c r="Q21" s="749"/>
      <c r="R21" s="749"/>
      <c r="S21" s="768"/>
      <c r="T21" s="749"/>
      <c r="U21" s="768"/>
      <c r="V21" s="771"/>
      <c r="W21" s="743"/>
      <c r="X21" s="744"/>
      <c r="Y21" s="745"/>
      <c r="Z21" s="701"/>
      <c r="AA21" s="701"/>
    </row>
    <row r="22" spans="1:27" ht="23.25" customHeight="1">
      <c r="A22" s="746" t="s">
        <v>160</v>
      </c>
      <c r="B22" s="714">
        <v>414</v>
      </c>
      <c r="C22" s="768"/>
      <c r="D22" s="748"/>
      <c r="E22" s="768"/>
      <c r="F22" s="749"/>
      <c r="G22" s="749"/>
      <c r="H22" s="749"/>
      <c r="I22" s="749"/>
      <c r="J22" s="749"/>
      <c r="K22" s="741"/>
      <c r="L22" s="749"/>
      <c r="M22" s="768"/>
      <c r="N22" s="749"/>
      <c r="O22" s="741"/>
      <c r="P22" s="750"/>
      <c r="Q22" s="749"/>
      <c r="R22" s="749"/>
      <c r="S22" s="768"/>
      <c r="T22" s="749"/>
      <c r="U22" s="768"/>
      <c r="V22" s="742"/>
      <c r="W22" s="743"/>
      <c r="X22" s="744"/>
      <c r="Y22" s="745"/>
      <c r="Z22" s="701"/>
      <c r="AA22" s="701"/>
    </row>
    <row r="23" spans="1:27" ht="23.25" customHeight="1">
      <c r="A23" s="746" t="s">
        <v>161</v>
      </c>
      <c r="B23" s="714">
        <v>405</v>
      </c>
      <c r="C23" s="768"/>
      <c r="D23" s="748"/>
      <c r="E23" s="768"/>
      <c r="F23" s="749"/>
      <c r="G23" s="749"/>
      <c r="H23" s="749"/>
      <c r="I23" s="749"/>
      <c r="J23" s="749"/>
      <c r="K23" s="741"/>
      <c r="L23" s="749"/>
      <c r="M23" s="768"/>
      <c r="N23" s="749"/>
      <c r="O23" s="741"/>
      <c r="P23" s="750"/>
      <c r="Q23" s="749"/>
      <c r="R23" s="749"/>
      <c r="S23" s="768"/>
      <c r="T23" s="749"/>
      <c r="U23" s="768"/>
      <c r="V23" s="742"/>
      <c r="W23" s="743"/>
      <c r="X23" s="744"/>
      <c r="Y23" s="745"/>
      <c r="Z23" s="701"/>
      <c r="AA23" s="701"/>
    </row>
    <row r="24" spans="1:27" ht="23.25" customHeight="1">
      <c r="A24" s="746" t="s">
        <v>162</v>
      </c>
      <c r="B24" s="714">
        <v>406</v>
      </c>
      <c r="C24" s="768"/>
      <c r="D24" s="748"/>
      <c r="E24" s="768"/>
      <c r="F24" s="749"/>
      <c r="G24" s="749"/>
      <c r="H24" s="749"/>
      <c r="I24" s="749"/>
      <c r="J24" s="749"/>
      <c r="K24" s="741"/>
      <c r="L24" s="749"/>
      <c r="M24" s="768"/>
      <c r="N24" s="749"/>
      <c r="O24" s="741"/>
      <c r="P24" s="750"/>
      <c r="Q24" s="749"/>
      <c r="R24" s="749"/>
      <c r="S24" s="768"/>
      <c r="T24" s="749"/>
      <c r="U24" s="768"/>
      <c r="V24" s="742"/>
      <c r="W24" s="743"/>
      <c r="X24" s="744"/>
      <c r="Y24" s="745"/>
      <c r="Z24" s="701"/>
      <c r="AA24" s="701"/>
    </row>
    <row r="25" spans="1:27" ht="23.25" customHeight="1">
      <c r="A25" s="746" t="s">
        <v>764</v>
      </c>
      <c r="B25" s="714">
        <v>415</v>
      </c>
      <c r="C25" s="768"/>
      <c r="D25" s="748"/>
      <c r="E25" s="768"/>
      <c r="F25" s="749"/>
      <c r="G25" s="749"/>
      <c r="H25" s="749"/>
      <c r="I25" s="749"/>
      <c r="J25" s="749"/>
      <c r="K25" s="741"/>
      <c r="L25" s="749"/>
      <c r="M25" s="768"/>
      <c r="N25" s="749"/>
      <c r="O25" s="741"/>
      <c r="P25" s="750"/>
      <c r="Q25" s="749"/>
      <c r="R25" s="749"/>
      <c r="S25" s="768"/>
      <c r="T25" s="749"/>
      <c r="U25" s="768"/>
      <c r="V25" s="742"/>
      <c r="W25" s="743"/>
      <c r="X25" s="744"/>
      <c r="Y25" s="745"/>
      <c r="Z25" s="701"/>
      <c r="AA25" s="701"/>
    </row>
    <row r="26" spans="1:27" ht="23.25" customHeight="1">
      <c r="A26" s="746" t="s">
        <v>163</v>
      </c>
      <c r="B26" s="714">
        <v>330</v>
      </c>
      <c r="C26" s="768"/>
      <c r="D26" s="749"/>
      <c r="E26" s="768"/>
      <c r="F26" s="749"/>
      <c r="G26" s="749"/>
      <c r="H26" s="749"/>
      <c r="I26" s="749"/>
      <c r="J26" s="749"/>
      <c r="K26" s="741">
        <f>SUM(E26:J26)</f>
        <v>0</v>
      </c>
      <c r="L26" s="749"/>
      <c r="M26" s="768"/>
      <c r="N26" s="749"/>
      <c r="O26" s="741"/>
      <c r="P26" s="750">
        <f>SUM(D26,K26)-O26</f>
        <v>0</v>
      </c>
      <c r="Q26" s="749"/>
      <c r="R26" s="749"/>
      <c r="S26" s="768"/>
      <c r="T26" s="749"/>
      <c r="U26" s="768"/>
      <c r="V26" s="771"/>
      <c r="W26" s="743"/>
      <c r="X26" s="962"/>
      <c r="Y26" s="745"/>
      <c r="Z26" s="701"/>
      <c r="AA26" s="701"/>
    </row>
    <row r="27" spans="1:27" ht="23.25" customHeight="1">
      <c r="A27" s="752" t="s">
        <v>981</v>
      </c>
      <c r="B27" s="1051"/>
      <c r="C27" s="753"/>
      <c r="D27" s="754"/>
      <c r="E27" s="753"/>
      <c r="F27" s="755"/>
      <c r="G27" s="755"/>
      <c r="H27" s="755"/>
      <c r="I27" s="755"/>
      <c r="J27" s="754"/>
      <c r="K27" s="756"/>
      <c r="L27" s="754"/>
      <c r="M27" s="753"/>
      <c r="N27" s="754"/>
      <c r="O27" s="756"/>
      <c r="P27" s="757"/>
      <c r="Q27" s="755"/>
      <c r="R27" s="769"/>
      <c r="S27" s="770"/>
      <c r="T27" s="769"/>
      <c r="U27" s="770"/>
      <c r="V27" s="758"/>
      <c r="W27" s="759"/>
      <c r="X27" s="760"/>
      <c r="Y27" s="761"/>
      <c r="Z27" s="701"/>
      <c r="AA27" s="701"/>
    </row>
    <row r="28" spans="1:27" ht="15.6">
      <c r="Z28" s="701"/>
      <c r="AA28" s="701"/>
    </row>
    <row r="29" spans="1:27" ht="15.6">
      <c r="Z29" s="701"/>
      <c r="AA29" s="701"/>
    </row>
    <row r="30" spans="1:27" ht="15.6">
      <c r="Z30" s="701"/>
      <c r="AA30" s="701"/>
    </row>
    <row r="31" spans="1:27">
      <c r="O31" s="763"/>
    </row>
    <row r="32" spans="1:27">
      <c r="D32" s="764"/>
    </row>
    <row r="33" spans="4:4">
      <c r="D33" s="765"/>
    </row>
  </sheetData>
  <mergeCells count="3">
    <mergeCell ref="Q9:Q10"/>
    <mergeCell ref="T9:U9"/>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V13" sqref="V13"/>
    </sheetView>
  </sheetViews>
  <sheetFormatPr baseColWidth="10" defaultColWidth="12.5546875" defaultRowHeight="13.2"/>
  <cols>
    <col min="1" max="1" width="30.21875" style="762" customWidth="1"/>
    <col min="2" max="2" width="9.44140625" style="762" customWidth="1"/>
    <col min="3" max="9" width="8.21875" style="762" customWidth="1"/>
    <col min="10" max="10" width="7" style="762" customWidth="1"/>
    <col min="11" max="12" width="8.21875" style="762" customWidth="1"/>
    <col min="13" max="13" width="9.21875" style="762" customWidth="1"/>
    <col min="14" max="17" width="8.21875" style="762" customWidth="1"/>
    <col min="18" max="21" width="9.44140625" style="762" customWidth="1"/>
    <col min="22" max="22" width="8.21875" style="762" customWidth="1"/>
    <col min="23" max="23" width="8.77734375" style="762" customWidth="1"/>
    <col min="24" max="24" width="8.5546875" style="762" customWidth="1"/>
    <col min="25" max="25" width="9.5546875" style="762" customWidth="1"/>
    <col min="26" max="26" width="10.77734375" style="700" customWidth="1"/>
    <col min="27" max="27" width="9.21875" style="700" customWidth="1"/>
    <col min="28" max="16384" width="12.5546875" style="700"/>
  </cols>
  <sheetData>
    <row r="1" spans="1:27">
      <c r="A1" s="697" t="s">
        <v>170</v>
      </c>
      <c r="B1" s="697"/>
      <c r="C1" s="698"/>
      <c r="D1" s="698"/>
      <c r="E1" s="698"/>
      <c r="F1" s="698"/>
      <c r="G1" s="698"/>
      <c r="H1" s="698"/>
      <c r="I1" s="698"/>
      <c r="J1" s="698"/>
      <c r="K1" s="699"/>
      <c r="L1" s="698"/>
      <c r="M1" s="698"/>
      <c r="N1" s="698"/>
      <c r="O1" s="698"/>
      <c r="P1" s="698"/>
      <c r="Q1" s="698"/>
      <c r="R1" s="698"/>
      <c r="S1" s="698"/>
      <c r="T1" s="698"/>
      <c r="U1" s="698"/>
      <c r="V1" s="698"/>
      <c r="W1" s="698"/>
      <c r="X1" s="698"/>
      <c r="Y1" s="698"/>
    </row>
    <row r="2" spans="1:27">
      <c r="A2" s="697"/>
      <c r="B2" s="697"/>
      <c r="C2" s="698"/>
      <c r="D2" s="698"/>
      <c r="E2" s="698"/>
      <c r="F2" s="698"/>
      <c r="G2" s="698"/>
      <c r="H2" s="698"/>
      <c r="I2" s="698"/>
      <c r="J2" s="698"/>
      <c r="K2" s="698"/>
      <c r="L2" s="698"/>
      <c r="M2" s="698"/>
      <c r="N2" s="698"/>
      <c r="O2" s="698"/>
      <c r="P2" s="698"/>
      <c r="Q2" s="698"/>
      <c r="R2" s="698"/>
      <c r="S2" s="698"/>
      <c r="T2" s="698"/>
      <c r="U2" s="698"/>
      <c r="V2" s="698"/>
      <c r="W2" s="698"/>
      <c r="X2" s="698"/>
      <c r="Y2" s="698"/>
    </row>
    <row r="3" spans="1:27">
      <c r="A3" s="697" t="str">
        <f>+'76'!A3</f>
        <v>SERVICIO DE SALUD   ACONCAGUA   2020</v>
      </c>
      <c r="B3" s="697"/>
      <c r="C3" s="698"/>
      <c r="D3" s="698"/>
      <c r="E3" s="698"/>
      <c r="F3" s="698"/>
      <c r="G3" s="698"/>
      <c r="H3" s="698"/>
      <c r="I3" s="698"/>
      <c r="J3" s="698"/>
      <c r="K3" s="698"/>
      <c r="L3" s="698"/>
      <c r="M3" s="698"/>
      <c r="N3" s="698"/>
      <c r="O3" s="698"/>
      <c r="P3" s="698"/>
      <c r="Q3" s="698"/>
      <c r="R3" s="698"/>
      <c r="S3" s="698"/>
      <c r="T3" s="698"/>
      <c r="U3" s="698"/>
      <c r="V3" s="698"/>
      <c r="W3" s="698"/>
      <c r="X3" s="698"/>
      <c r="Y3" s="698"/>
    </row>
    <row r="4" spans="1:27">
      <c r="A4" s="698"/>
      <c r="B4" s="698"/>
      <c r="C4" s="698"/>
      <c r="D4" s="698"/>
      <c r="E4" s="698"/>
      <c r="F4" s="698"/>
      <c r="G4" s="698"/>
      <c r="H4" s="698"/>
      <c r="I4" s="698"/>
      <c r="J4" s="698"/>
      <c r="K4" s="698"/>
      <c r="L4" s="698"/>
      <c r="M4" s="698"/>
      <c r="N4" s="698"/>
      <c r="O4" s="698"/>
      <c r="P4" s="698"/>
      <c r="Q4" s="698"/>
      <c r="R4" s="698"/>
      <c r="S4" s="698"/>
      <c r="T4" s="698"/>
      <c r="U4" s="698"/>
      <c r="V4" s="698"/>
      <c r="W4" s="698"/>
      <c r="X4" s="698"/>
      <c r="Y4" s="698"/>
    </row>
    <row r="5" spans="1:27">
      <c r="A5" s="697"/>
      <c r="B5" s="697"/>
      <c r="C5" s="698"/>
      <c r="D5" s="698"/>
      <c r="E5" s="698"/>
      <c r="F5" s="698"/>
      <c r="G5" s="698"/>
      <c r="H5" s="698"/>
      <c r="I5" s="698"/>
      <c r="J5" s="698"/>
      <c r="K5" s="698"/>
      <c r="L5" s="698"/>
      <c r="M5" s="698"/>
      <c r="N5" s="698"/>
      <c r="O5" s="698"/>
      <c r="P5" s="698"/>
      <c r="Q5" s="698"/>
      <c r="R5" s="698"/>
      <c r="S5" s="698"/>
      <c r="T5" s="698"/>
      <c r="U5" s="698"/>
      <c r="V5" s="698"/>
      <c r="W5" s="698"/>
      <c r="X5" s="698"/>
      <c r="Y5" s="698"/>
    </row>
    <row r="6" spans="1:27">
      <c r="A6" s="698"/>
      <c r="B6" s="698"/>
      <c r="C6" s="698"/>
      <c r="D6" s="698"/>
      <c r="E6" s="698"/>
      <c r="F6" s="698"/>
      <c r="G6" s="698"/>
      <c r="H6" s="698"/>
      <c r="I6" s="698"/>
      <c r="J6" s="698"/>
      <c r="K6" s="698"/>
      <c r="L6" s="698"/>
      <c r="M6" s="698"/>
      <c r="N6" s="698"/>
      <c r="O6" s="698"/>
      <c r="P6" s="698"/>
      <c r="Q6" s="698"/>
      <c r="R6" s="698"/>
      <c r="S6" s="698"/>
      <c r="T6" s="698"/>
      <c r="U6" s="698"/>
      <c r="V6" s="698"/>
      <c r="W6" s="698"/>
      <c r="X6" s="698"/>
      <c r="Y6" s="698"/>
    </row>
    <row r="7" spans="1:27">
      <c r="A7" s="698"/>
      <c r="B7" s="698"/>
      <c r="C7" s="698"/>
      <c r="D7" s="698"/>
      <c r="E7" s="698"/>
      <c r="F7" s="698"/>
      <c r="G7" s="698"/>
      <c r="H7" s="698"/>
      <c r="I7" s="698"/>
      <c r="J7" s="698"/>
      <c r="K7" s="698"/>
      <c r="L7" s="698"/>
      <c r="M7" s="698"/>
      <c r="N7" s="698"/>
      <c r="O7" s="698"/>
      <c r="P7" s="698"/>
      <c r="Q7" s="969"/>
      <c r="R7" s="698"/>
      <c r="S7" s="698"/>
      <c r="T7" s="698"/>
      <c r="U7" s="698"/>
      <c r="V7" s="698"/>
      <c r="W7" s="698"/>
      <c r="X7" s="698"/>
      <c r="Y7" s="698"/>
    </row>
    <row r="8" spans="1:27" ht="15.6">
      <c r="A8" s="702"/>
      <c r="B8" s="702"/>
      <c r="C8" s="702"/>
      <c r="D8" s="702"/>
      <c r="E8" s="702"/>
      <c r="F8" s="702"/>
      <c r="G8" s="702"/>
      <c r="H8" s="702"/>
      <c r="I8" s="702"/>
      <c r="J8" s="702"/>
      <c r="K8" s="702"/>
      <c r="L8" s="702"/>
      <c r="M8" s="702"/>
      <c r="N8" s="702"/>
      <c r="O8" s="702"/>
      <c r="P8" s="702"/>
      <c r="Q8" s="702"/>
      <c r="R8" s="702"/>
      <c r="S8" s="702"/>
      <c r="T8" s="702"/>
      <c r="U8" s="702"/>
      <c r="V8" s="702"/>
      <c r="W8" s="702"/>
      <c r="X8" s="702"/>
      <c r="Y8" s="702"/>
      <c r="Z8" s="701"/>
      <c r="AA8" s="701"/>
    </row>
    <row r="9" spans="1:27" s="713" customFormat="1" ht="21.75" customHeight="1">
      <c r="A9" s="703"/>
      <c r="B9" s="703"/>
      <c r="C9" s="704"/>
      <c r="D9" s="705"/>
      <c r="E9" s="1692" t="s">
        <v>131</v>
      </c>
      <c r="F9" s="1692"/>
      <c r="G9" s="1692"/>
      <c r="H9" s="1692"/>
      <c r="I9" s="1692"/>
      <c r="J9" s="1692"/>
      <c r="K9" s="1692"/>
      <c r="L9" s="1692"/>
      <c r="M9" s="1692"/>
      <c r="N9" s="1692"/>
      <c r="O9" s="1692"/>
      <c r="P9" s="706"/>
      <c r="Q9" s="1690" t="s">
        <v>132</v>
      </c>
      <c r="R9" s="707" t="s">
        <v>133</v>
      </c>
      <c r="S9" s="708"/>
      <c r="T9" s="709" t="s">
        <v>134</v>
      </c>
      <c r="U9" s="710"/>
      <c r="V9" s="707" t="s">
        <v>135</v>
      </c>
      <c r="W9" s="711"/>
      <c r="X9" s="711"/>
      <c r="Y9" s="708"/>
      <c r="Z9" s="712"/>
      <c r="AA9" s="712"/>
    </row>
    <row r="10" spans="1:27" s="713" customFormat="1" ht="19.5" customHeight="1">
      <c r="A10" s="714" t="s">
        <v>136</v>
      </c>
      <c r="B10" s="1048" t="s">
        <v>1231</v>
      </c>
      <c r="C10" s="715"/>
      <c r="D10" s="716" t="s">
        <v>137</v>
      </c>
      <c r="E10" s="717" t="s">
        <v>138</v>
      </c>
      <c r="F10" s="718"/>
      <c r="G10" s="718"/>
      <c r="H10" s="718"/>
      <c r="I10" s="718"/>
      <c r="J10" s="718"/>
      <c r="K10" s="719"/>
      <c r="L10" s="720" t="s">
        <v>139</v>
      </c>
      <c r="M10" s="720"/>
      <c r="N10" s="720"/>
      <c r="O10" s="720"/>
      <c r="P10" s="716" t="s">
        <v>137</v>
      </c>
      <c r="Q10" s="1691"/>
      <c r="R10" s="721"/>
      <c r="S10" s="722"/>
      <c r="T10" s="723"/>
      <c r="U10" s="723"/>
      <c r="V10" s="724"/>
      <c r="W10" s="725"/>
      <c r="X10" s="725"/>
      <c r="Y10" s="726"/>
      <c r="Z10" s="712"/>
      <c r="AA10" s="712"/>
    </row>
    <row r="11" spans="1:27" s="713" customFormat="1" ht="36" customHeight="1">
      <c r="A11" s="714" t="s">
        <v>140</v>
      </c>
      <c r="B11" s="1048" t="s">
        <v>1232</v>
      </c>
      <c r="C11" s="727" t="s">
        <v>141</v>
      </c>
      <c r="D11" s="727" t="s">
        <v>142</v>
      </c>
      <c r="E11" s="728" t="s">
        <v>1022</v>
      </c>
      <c r="F11" s="729" t="s">
        <v>1020</v>
      </c>
      <c r="G11" s="729" t="s">
        <v>143</v>
      </c>
      <c r="H11" s="730" t="s">
        <v>144</v>
      </c>
      <c r="I11" s="730" t="s">
        <v>145</v>
      </c>
      <c r="J11" s="731" t="s">
        <v>220</v>
      </c>
      <c r="K11" s="729" t="s">
        <v>517</v>
      </c>
      <c r="L11" s="732" t="s">
        <v>146</v>
      </c>
      <c r="M11" s="730" t="s">
        <v>147</v>
      </c>
      <c r="N11" s="733" t="s">
        <v>148</v>
      </c>
      <c r="O11" s="729" t="s">
        <v>517</v>
      </c>
      <c r="P11" s="727" t="s">
        <v>149</v>
      </c>
      <c r="Q11" s="734" t="s">
        <v>150</v>
      </c>
      <c r="R11" s="735" t="s">
        <v>151</v>
      </c>
      <c r="S11" s="729" t="s">
        <v>152</v>
      </c>
      <c r="T11" s="729" t="s">
        <v>517</v>
      </c>
      <c r="U11" s="736" t="s">
        <v>153</v>
      </c>
      <c r="V11" s="730" t="s">
        <v>154</v>
      </c>
      <c r="W11" s="730" t="s">
        <v>155</v>
      </c>
      <c r="X11" s="737" t="s">
        <v>156</v>
      </c>
      <c r="Y11" s="738" t="s">
        <v>157</v>
      </c>
      <c r="Z11" s="712"/>
      <c r="AA11" s="712"/>
    </row>
    <row r="12" spans="1:27" ht="23.25" customHeight="1">
      <c r="A12" s="739" t="s">
        <v>625</v>
      </c>
      <c r="B12" s="1050"/>
      <c r="C12" s="740">
        <f>SUM(C13:C27)</f>
        <v>28</v>
      </c>
      <c r="D12" s="740">
        <f t="shared" ref="D12:U12" si="0">SUM(D13:D27)</f>
        <v>6</v>
      </c>
      <c r="E12" s="740">
        <f t="shared" si="0"/>
        <v>592</v>
      </c>
      <c r="F12" s="740">
        <f t="shared" si="0"/>
        <v>0</v>
      </c>
      <c r="G12" s="740">
        <f t="shared" si="0"/>
        <v>0</v>
      </c>
      <c r="H12" s="740">
        <f t="shared" si="0"/>
        <v>0</v>
      </c>
      <c r="I12" s="740">
        <f t="shared" si="0"/>
        <v>0</v>
      </c>
      <c r="J12" s="740">
        <f t="shared" si="0"/>
        <v>0</v>
      </c>
      <c r="K12" s="740">
        <f t="shared" si="0"/>
        <v>592</v>
      </c>
      <c r="L12" s="740">
        <f t="shared" si="0"/>
        <v>510</v>
      </c>
      <c r="M12" s="740">
        <f t="shared" si="0"/>
        <v>0</v>
      </c>
      <c r="N12" s="740">
        <f t="shared" si="0"/>
        <v>68</v>
      </c>
      <c r="O12" s="740">
        <f t="shared" si="0"/>
        <v>578</v>
      </c>
      <c r="P12" s="740">
        <f t="shared" si="0"/>
        <v>20</v>
      </c>
      <c r="Q12" s="740">
        <f t="shared" si="0"/>
        <v>15</v>
      </c>
      <c r="R12" s="740">
        <f t="shared" si="0"/>
        <v>10220</v>
      </c>
      <c r="S12" s="740">
        <f t="shared" si="0"/>
        <v>6549</v>
      </c>
      <c r="T12" s="740">
        <f t="shared" si="0"/>
        <v>4748</v>
      </c>
      <c r="U12" s="740">
        <f t="shared" si="0"/>
        <v>4728</v>
      </c>
      <c r="V12" s="742">
        <f>S12/R12*100</f>
        <v>64.080234833659489</v>
      </c>
      <c r="W12" s="743">
        <f>+T12/O12</f>
        <v>8.2145328719723185</v>
      </c>
      <c r="X12" s="1056">
        <f>+O12/(R12/30.4)</f>
        <v>1.7192954990215266</v>
      </c>
      <c r="Y12" s="745">
        <f>(+R12-S12)/O12</f>
        <v>6.35121107266436</v>
      </c>
      <c r="Z12" s="701"/>
      <c r="AA12" s="701"/>
    </row>
    <row r="13" spans="1:27" ht="23.25" customHeight="1">
      <c r="A13" s="1043" t="s">
        <v>1348</v>
      </c>
      <c r="B13" s="714">
        <v>401</v>
      </c>
      <c r="C13" s="766">
        <v>28</v>
      </c>
      <c r="D13" s="767">
        <v>6</v>
      </c>
      <c r="E13" s="766">
        <v>592</v>
      </c>
      <c r="F13" s="767"/>
      <c r="G13" s="767"/>
      <c r="H13" s="767"/>
      <c r="I13" s="767"/>
      <c r="J13" s="767"/>
      <c r="K13" s="741">
        <f>SUM(E13:J13)</f>
        <v>592</v>
      </c>
      <c r="L13" s="749">
        <v>510</v>
      </c>
      <c r="M13" s="768"/>
      <c r="N13" s="749">
        <v>68</v>
      </c>
      <c r="O13" s="741">
        <f>SUM(L13:N13)</f>
        <v>578</v>
      </c>
      <c r="P13" s="750">
        <f>SUM(D13,K13)-O13</f>
        <v>20</v>
      </c>
      <c r="Q13" s="767">
        <v>15</v>
      </c>
      <c r="R13" s="767">
        <v>10220</v>
      </c>
      <c r="S13" s="766">
        <v>6549</v>
      </c>
      <c r="T13" s="767">
        <v>4748</v>
      </c>
      <c r="U13" s="766">
        <v>4728</v>
      </c>
      <c r="V13" s="742">
        <f>S13/R13*100</f>
        <v>64.080234833659489</v>
      </c>
      <c r="W13" s="743">
        <f>+T13/O13</f>
        <v>8.2145328719723185</v>
      </c>
      <c r="X13" s="744">
        <f>+O13/(R13/30.4)</f>
        <v>1.7192954990215266</v>
      </c>
      <c r="Y13" s="745">
        <f>(+R13-S13)/O13</f>
        <v>6.35121107266436</v>
      </c>
      <c r="Z13" s="701"/>
      <c r="AA13" s="701"/>
    </row>
    <row r="14" spans="1:27" ht="23.25" customHeight="1">
      <c r="A14" s="1043" t="s">
        <v>1233</v>
      </c>
      <c r="B14" s="714">
        <v>403</v>
      </c>
      <c r="C14" s="768"/>
      <c r="D14" s="748"/>
      <c r="E14" s="768"/>
      <c r="F14" s="749"/>
      <c r="G14" s="749"/>
      <c r="H14" s="749"/>
      <c r="I14" s="749"/>
      <c r="J14" s="749"/>
      <c r="K14" s="741"/>
      <c r="L14" s="749"/>
      <c r="M14" s="768"/>
      <c r="N14" s="749"/>
      <c r="O14" s="741"/>
      <c r="P14" s="750"/>
      <c r="Q14" s="749"/>
      <c r="R14" s="749"/>
      <c r="S14" s="768"/>
      <c r="T14" s="749"/>
      <c r="U14" s="768"/>
      <c r="V14" s="742"/>
      <c r="W14" s="743"/>
      <c r="X14" s="744"/>
      <c r="Y14" s="745"/>
      <c r="Z14" s="701"/>
      <c r="AA14" s="701"/>
    </row>
    <row r="15" spans="1:27" ht="23.25" customHeight="1">
      <c r="A15" s="1043" t="s">
        <v>1234</v>
      </c>
      <c r="B15" s="714">
        <v>404</v>
      </c>
      <c r="C15" s="741"/>
      <c r="D15" s="750"/>
      <c r="E15" s="741"/>
      <c r="F15" s="750"/>
      <c r="G15" s="750"/>
      <c r="H15" s="750"/>
      <c r="I15" s="750"/>
      <c r="J15" s="750"/>
      <c r="K15" s="741"/>
      <c r="L15" s="750"/>
      <c r="M15" s="741"/>
      <c r="N15" s="750"/>
      <c r="O15" s="741"/>
      <c r="P15" s="750"/>
      <c r="Q15" s="750"/>
      <c r="R15" s="750"/>
      <c r="S15" s="741"/>
      <c r="T15" s="750"/>
      <c r="U15" s="741"/>
      <c r="V15" s="742"/>
      <c r="W15" s="743"/>
      <c r="X15" s="744"/>
      <c r="Y15" s="745"/>
      <c r="Z15" s="701"/>
      <c r="AA15" s="701"/>
    </row>
    <row r="16" spans="1:27" ht="23.25" customHeight="1">
      <c r="A16" s="746" t="s">
        <v>158</v>
      </c>
      <c r="B16" s="714">
        <v>416</v>
      </c>
      <c r="C16" s="747"/>
      <c r="D16" s="748"/>
      <c r="E16" s="768"/>
      <c r="F16" s="751"/>
      <c r="G16" s="751"/>
      <c r="H16" s="751"/>
      <c r="I16" s="751"/>
      <c r="J16" s="749"/>
      <c r="K16" s="741"/>
      <c r="L16" s="749"/>
      <c r="M16" s="768"/>
      <c r="N16" s="749"/>
      <c r="O16" s="741"/>
      <c r="P16" s="750"/>
      <c r="Q16" s="749"/>
      <c r="R16" s="749"/>
      <c r="S16" s="768"/>
      <c r="T16" s="749"/>
      <c r="U16" s="768"/>
      <c r="V16" s="742"/>
      <c r="W16" s="743"/>
      <c r="X16" s="744"/>
      <c r="Y16" s="745"/>
      <c r="Z16" s="701"/>
      <c r="AA16" s="701"/>
    </row>
    <row r="17" spans="1:27" ht="23.25" customHeight="1">
      <c r="A17" s="1043" t="s">
        <v>1235</v>
      </c>
      <c r="B17" s="714">
        <v>407</v>
      </c>
      <c r="C17" s="747"/>
      <c r="D17" s="749"/>
      <c r="E17" s="768"/>
      <c r="F17" s="749"/>
      <c r="G17" s="749"/>
      <c r="H17" s="749"/>
      <c r="I17" s="749"/>
      <c r="J17" s="749"/>
      <c r="K17" s="741"/>
      <c r="L17" s="749"/>
      <c r="M17" s="768"/>
      <c r="N17" s="749"/>
      <c r="O17" s="741"/>
      <c r="P17" s="750"/>
      <c r="Q17" s="749"/>
      <c r="R17" s="749"/>
      <c r="S17" s="768"/>
      <c r="T17" s="749"/>
      <c r="U17" s="768"/>
      <c r="V17" s="742"/>
      <c r="W17" s="743"/>
      <c r="X17" s="744"/>
      <c r="Y17" s="745"/>
      <c r="Z17" s="701"/>
      <c r="AA17" s="701"/>
    </row>
    <row r="18" spans="1:27" ht="23.25" customHeight="1">
      <c r="A18" s="1043" t="s">
        <v>1236</v>
      </c>
      <c r="B18" s="714">
        <v>409</v>
      </c>
      <c r="C18" s="747"/>
      <c r="D18" s="749"/>
      <c r="E18" s="768"/>
      <c r="F18" s="749"/>
      <c r="G18" s="749"/>
      <c r="H18" s="749"/>
      <c r="I18" s="749"/>
      <c r="J18" s="749"/>
      <c r="K18" s="741"/>
      <c r="L18" s="749"/>
      <c r="M18" s="768"/>
      <c r="N18" s="749"/>
      <c r="O18" s="741"/>
      <c r="P18" s="750"/>
      <c r="Q18" s="749"/>
      <c r="R18" s="749"/>
      <c r="S18" s="768"/>
      <c r="T18" s="749"/>
      <c r="U18" s="768"/>
      <c r="V18" s="742"/>
      <c r="W18" s="743"/>
      <c r="X18" s="744"/>
      <c r="Y18" s="745"/>
      <c r="Z18" s="701"/>
      <c r="AA18" s="701"/>
    </row>
    <row r="19" spans="1:27" ht="23.25" customHeight="1">
      <c r="A19" s="746" t="s">
        <v>159</v>
      </c>
      <c r="B19" s="714">
        <v>413</v>
      </c>
      <c r="C19" s="747"/>
      <c r="D19" s="748"/>
      <c r="E19" s="768"/>
      <c r="F19" s="749"/>
      <c r="G19" s="749"/>
      <c r="H19" s="749"/>
      <c r="I19" s="749"/>
      <c r="J19" s="749"/>
      <c r="K19" s="741"/>
      <c r="L19" s="748"/>
      <c r="M19" s="747"/>
      <c r="N19" s="748"/>
      <c r="O19" s="741"/>
      <c r="P19" s="750"/>
      <c r="Q19" s="749"/>
      <c r="R19" s="748"/>
      <c r="S19" s="747"/>
      <c r="T19" s="748"/>
      <c r="U19" s="747"/>
      <c r="V19" s="742"/>
      <c r="W19" s="743"/>
      <c r="X19" s="744"/>
      <c r="Y19" s="745"/>
      <c r="Z19" s="701"/>
      <c r="AA19" s="701"/>
    </row>
    <row r="20" spans="1:27" ht="23.25" customHeight="1">
      <c r="A20" s="1043" t="s">
        <v>1425</v>
      </c>
      <c r="B20" s="714">
        <v>411</v>
      </c>
      <c r="C20" s="747"/>
      <c r="D20" s="748"/>
      <c r="E20" s="768"/>
      <c r="F20" s="749"/>
      <c r="G20" s="749"/>
      <c r="H20" s="749"/>
      <c r="I20" s="749"/>
      <c r="J20" s="749"/>
      <c r="K20" s="741"/>
      <c r="L20" s="748"/>
      <c r="M20" s="747"/>
      <c r="N20" s="748"/>
      <c r="O20" s="741"/>
      <c r="P20" s="750"/>
      <c r="Q20" s="749"/>
      <c r="R20" s="748"/>
      <c r="S20" s="747"/>
      <c r="T20" s="748"/>
      <c r="U20" s="747"/>
      <c r="V20" s="742"/>
      <c r="W20" s="743"/>
      <c r="X20" s="744"/>
      <c r="Y20" s="745"/>
      <c r="Z20" s="701"/>
      <c r="AA20" s="701"/>
    </row>
    <row r="21" spans="1:27" ht="23.25" customHeight="1">
      <c r="A21" s="1043" t="s">
        <v>1230</v>
      </c>
      <c r="B21" s="1048">
        <v>412</v>
      </c>
      <c r="C21" s="747"/>
      <c r="D21" s="748"/>
      <c r="E21" s="747"/>
      <c r="F21" s="749"/>
      <c r="G21" s="749"/>
      <c r="H21" s="749"/>
      <c r="I21" s="749"/>
      <c r="J21" s="748"/>
      <c r="K21" s="741"/>
      <c r="L21" s="772"/>
      <c r="M21" s="747"/>
      <c r="N21" s="748"/>
      <c r="O21" s="741"/>
      <c r="P21" s="750"/>
      <c r="Q21" s="749"/>
      <c r="R21" s="772"/>
      <c r="S21" s="773"/>
      <c r="T21" s="772"/>
      <c r="U21" s="773"/>
      <c r="V21" s="742"/>
      <c r="W21" s="743"/>
      <c r="X21" s="744"/>
      <c r="Y21" s="745"/>
      <c r="Z21" s="701"/>
      <c r="AA21" s="701"/>
    </row>
    <row r="22" spans="1:27" ht="23.25" customHeight="1">
      <c r="A22" s="746" t="s">
        <v>160</v>
      </c>
      <c r="B22" s="714">
        <v>414</v>
      </c>
      <c r="C22" s="747"/>
      <c r="D22" s="748"/>
      <c r="E22" s="747"/>
      <c r="F22" s="749"/>
      <c r="G22" s="749"/>
      <c r="H22" s="749"/>
      <c r="I22" s="749"/>
      <c r="J22" s="748"/>
      <c r="K22" s="741"/>
      <c r="L22" s="772"/>
      <c r="M22" s="747"/>
      <c r="N22" s="748"/>
      <c r="O22" s="741"/>
      <c r="P22" s="750"/>
      <c r="Q22" s="749"/>
      <c r="R22" s="772"/>
      <c r="S22" s="773"/>
      <c r="T22" s="772"/>
      <c r="U22" s="773"/>
      <c r="V22" s="742"/>
      <c r="W22" s="743"/>
      <c r="X22" s="744"/>
      <c r="Y22" s="745"/>
      <c r="Z22" s="701"/>
      <c r="AA22" s="701"/>
    </row>
    <row r="23" spans="1:27" ht="23.25" customHeight="1">
      <c r="A23" s="746" t="s">
        <v>161</v>
      </c>
      <c r="B23" s="714">
        <v>405</v>
      </c>
      <c r="C23" s="747"/>
      <c r="D23" s="748"/>
      <c r="E23" s="747"/>
      <c r="F23" s="749"/>
      <c r="G23" s="749"/>
      <c r="H23" s="749"/>
      <c r="I23" s="749"/>
      <c r="J23" s="748"/>
      <c r="K23" s="741"/>
      <c r="L23" s="772"/>
      <c r="M23" s="747"/>
      <c r="N23" s="748"/>
      <c r="O23" s="741"/>
      <c r="P23" s="750"/>
      <c r="Q23" s="749"/>
      <c r="R23" s="772"/>
      <c r="S23" s="773"/>
      <c r="T23" s="772"/>
      <c r="U23" s="773"/>
      <c r="V23" s="742"/>
      <c r="W23" s="743"/>
      <c r="X23" s="744"/>
      <c r="Y23" s="745"/>
      <c r="Z23" s="701"/>
      <c r="AA23" s="701"/>
    </row>
    <row r="24" spans="1:27" ht="23.25" customHeight="1">
      <c r="A24" s="746" t="s">
        <v>162</v>
      </c>
      <c r="B24" s="714">
        <v>406</v>
      </c>
      <c r="C24" s="747"/>
      <c r="D24" s="748"/>
      <c r="E24" s="747"/>
      <c r="F24" s="749"/>
      <c r="G24" s="749"/>
      <c r="H24" s="749"/>
      <c r="I24" s="749"/>
      <c r="J24" s="748"/>
      <c r="K24" s="741"/>
      <c r="L24" s="772"/>
      <c r="M24" s="747"/>
      <c r="N24" s="748"/>
      <c r="O24" s="741"/>
      <c r="P24" s="750"/>
      <c r="Q24" s="749"/>
      <c r="R24" s="772"/>
      <c r="S24" s="773"/>
      <c r="T24" s="772"/>
      <c r="U24" s="773"/>
      <c r="V24" s="742"/>
      <c r="W24" s="743"/>
      <c r="X24" s="744"/>
      <c r="Y24" s="745"/>
      <c r="Z24" s="701"/>
      <c r="AA24" s="701"/>
    </row>
    <row r="25" spans="1:27" ht="23.25" customHeight="1">
      <c r="A25" s="746" t="s">
        <v>764</v>
      </c>
      <c r="B25" s="714">
        <v>415</v>
      </c>
      <c r="C25" s="747"/>
      <c r="D25" s="748"/>
      <c r="E25" s="747"/>
      <c r="F25" s="749"/>
      <c r="G25" s="749"/>
      <c r="H25" s="749"/>
      <c r="I25" s="749"/>
      <c r="J25" s="748"/>
      <c r="K25" s="741"/>
      <c r="L25" s="772"/>
      <c r="M25" s="747"/>
      <c r="N25" s="748"/>
      <c r="O25" s="741"/>
      <c r="P25" s="750"/>
      <c r="Q25" s="749"/>
      <c r="R25" s="772"/>
      <c r="S25" s="773"/>
      <c r="T25" s="772"/>
      <c r="U25" s="773"/>
      <c r="V25" s="742"/>
      <c r="W25" s="743"/>
      <c r="X25" s="744"/>
      <c r="Y25" s="745"/>
      <c r="Z25" s="701"/>
      <c r="AA25" s="701"/>
    </row>
    <row r="26" spans="1:27" ht="23.25" customHeight="1">
      <c r="A26" s="746" t="s">
        <v>163</v>
      </c>
      <c r="B26" s="714">
        <v>330</v>
      </c>
      <c r="C26" s="747"/>
      <c r="D26" s="748"/>
      <c r="E26" s="747"/>
      <c r="F26" s="749"/>
      <c r="G26" s="749"/>
      <c r="H26" s="749"/>
      <c r="I26" s="749"/>
      <c r="J26" s="748"/>
      <c r="K26" s="741"/>
      <c r="L26" s="772"/>
      <c r="M26" s="747"/>
      <c r="N26" s="748"/>
      <c r="O26" s="741"/>
      <c r="P26" s="750"/>
      <c r="Q26" s="749"/>
      <c r="R26" s="772"/>
      <c r="S26" s="773"/>
      <c r="T26" s="772"/>
      <c r="U26" s="773"/>
      <c r="V26" s="742"/>
      <c r="W26" s="743"/>
      <c r="X26" s="744"/>
      <c r="Y26" s="745"/>
      <c r="Z26" s="701"/>
      <c r="AA26" s="701"/>
    </row>
    <row r="27" spans="1:27" ht="23.25" customHeight="1">
      <c r="A27" s="752" t="s">
        <v>981</v>
      </c>
      <c r="B27" s="1051"/>
      <c r="C27" s="753"/>
      <c r="D27" s="754"/>
      <c r="E27" s="753"/>
      <c r="F27" s="755"/>
      <c r="G27" s="755"/>
      <c r="H27" s="755"/>
      <c r="I27" s="755"/>
      <c r="J27" s="754"/>
      <c r="K27" s="756"/>
      <c r="L27" s="769"/>
      <c r="M27" s="753"/>
      <c r="N27" s="754"/>
      <c r="O27" s="756"/>
      <c r="P27" s="757"/>
      <c r="Q27" s="755"/>
      <c r="R27" s="769"/>
      <c r="S27" s="770"/>
      <c r="T27" s="769"/>
      <c r="U27" s="770"/>
      <c r="V27" s="758"/>
      <c r="W27" s="759"/>
      <c r="X27" s="760"/>
      <c r="Y27" s="761"/>
      <c r="Z27" s="701"/>
      <c r="AA27" s="701"/>
    </row>
    <row r="28" spans="1:27" ht="15.6">
      <c r="Z28" s="701"/>
      <c r="AA28" s="701"/>
    </row>
    <row r="29" spans="1:27" ht="15.6">
      <c r="Z29" s="701"/>
      <c r="AA29" s="701"/>
    </row>
    <row r="30" spans="1:27" ht="15.6">
      <c r="Z30" s="701"/>
      <c r="AA30" s="701"/>
    </row>
    <row r="31" spans="1:27">
      <c r="O31" s="763"/>
    </row>
    <row r="32" spans="1:27">
      <c r="D32" s="764"/>
    </row>
    <row r="33" spans="4:4">
      <c r="D33" s="765"/>
    </row>
  </sheetData>
  <mergeCells count="2">
    <mergeCell ref="Q9:Q10"/>
    <mergeCell ref="E9:O9"/>
  </mergeCells>
  <phoneticPr fontId="55" type="noConversion"/>
  <printOptions horizontalCentered="1" verticalCentered="1" gridLinesSet="0"/>
  <pageMargins left="0.19685039370078741" right="0.59055118110236227" top="0.27559055118110237" bottom="0.23622047244094491" header="0.39370078740157483" footer="0.39370078740157483"/>
  <pageSetup paperSize="5" scale="73"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8"/>
  <sheetViews>
    <sheetView showGridLines="0" topLeftCell="A4" zoomScale="75" workbookViewId="0">
      <selection activeCell="U34" sqref="U34"/>
    </sheetView>
  </sheetViews>
  <sheetFormatPr baseColWidth="10" defaultColWidth="12.5546875" defaultRowHeight="13.2"/>
  <cols>
    <col min="1" max="1" width="30.21875" style="762" customWidth="1"/>
    <col min="2" max="2" width="11.21875" style="762" customWidth="1"/>
    <col min="3" max="3" width="8.21875" style="762" customWidth="1"/>
    <col min="4" max="4" width="8.5546875" style="762" customWidth="1"/>
    <col min="5" max="9" width="8.21875" style="762" customWidth="1"/>
    <col min="10" max="10" width="7" style="762" customWidth="1"/>
    <col min="11" max="12" width="8.21875" style="762" customWidth="1"/>
    <col min="13" max="14" width="9.21875" style="762" customWidth="1"/>
    <col min="15" max="17" width="8.21875" style="762" customWidth="1"/>
    <col min="18" max="19" width="8.44140625" style="762" customWidth="1"/>
    <col min="20" max="21" width="8.77734375" style="762" customWidth="1"/>
    <col min="22" max="25" width="8.21875" style="762" customWidth="1"/>
    <col min="26" max="26" width="10.77734375" style="700" customWidth="1"/>
    <col min="27" max="27" width="9.21875" style="700" customWidth="1"/>
    <col min="28" max="16384" width="12.5546875" style="700"/>
  </cols>
  <sheetData>
    <row r="1" spans="1:27">
      <c r="A1" s="697" t="s">
        <v>171</v>
      </c>
      <c r="B1" s="697"/>
      <c r="C1" s="698"/>
      <c r="D1" s="698"/>
      <c r="E1" s="698"/>
      <c r="F1" s="698"/>
      <c r="G1" s="698"/>
      <c r="H1" s="698"/>
      <c r="I1" s="698"/>
      <c r="J1" s="698"/>
      <c r="K1" s="699"/>
      <c r="L1" s="698"/>
      <c r="M1" s="698"/>
      <c r="N1" s="698"/>
      <c r="O1" s="698"/>
      <c r="P1" s="698"/>
      <c r="Q1" s="698"/>
      <c r="R1" s="698"/>
      <c r="S1" s="698"/>
      <c r="T1" s="698"/>
      <c r="U1" s="698"/>
      <c r="V1" s="698"/>
      <c r="W1" s="698"/>
      <c r="X1" s="698"/>
      <c r="Y1" s="698"/>
    </row>
    <row r="2" spans="1:27">
      <c r="A2" s="697"/>
      <c r="B2" s="697"/>
      <c r="C2" s="698"/>
      <c r="D2" s="698"/>
      <c r="E2" s="698"/>
      <c r="F2" s="698"/>
      <c r="G2" s="698"/>
      <c r="H2" s="698"/>
      <c r="I2" s="698"/>
      <c r="J2" s="698"/>
      <c r="K2" s="698"/>
      <c r="L2" s="698"/>
      <c r="M2" s="698"/>
      <c r="N2" s="698"/>
      <c r="O2" s="698"/>
      <c r="P2" s="698"/>
      <c r="Q2" s="698"/>
      <c r="R2" s="698"/>
      <c r="S2" s="698"/>
      <c r="T2" s="698"/>
      <c r="U2" s="698"/>
      <c r="V2" s="698"/>
      <c r="W2" s="698"/>
      <c r="X2" s="698"/>
      <c r="Y2" s="698"/>
    </row>
    <row r="3" spans="1:27">
      <c r="A3" s="697" t="str">
        <f>+'76'!A3</f>
        <v>SERVICIO DE SALUD   ACONCAGUA   2020</v>
      </c>
      <c r="B3" s="697"/>
      <c r="C3" s="698"/>
      <c r="D3" s="698"/>
      <c r="E3" s="698"/>
      <c r="F3" s="698"/>
      <c r="G3" s="698"/>
      <c r="H3" s="698"/>
      <c r="I3" s="698"/>
      <c r="J3" s="698"/>
      <c r="K3" s="698"/>
      <c r="L3" s="698"/>
      <c r="M3" s="698"/>
      <c r="N3" s="698"/>
      <c r="O3" s="698"/>
      <c r="P3" s="698"/>
      <c r="Q3" s="698"/>
      <c r="R3" s="698"/>
      <c r="S3" s="698"/>
      <c r="T3" s="698"/>
      <c r="U3" s="698"/>
      <c r="V3" s="698"/>
      <c r="W3" s="698"/>
      <c r="X3" s="698"/>
      <c r="Y3" s="698"/>
    </row>
    <row r="4" spans="1:27">
      <c r="A4" s="698"/>
      <c r="B4" s="698"/>
      <c r="C4" s="698"/>
      <c r="D4" s="698"/>
      <c r="E4" s="698"/>
      <c r="F4" s="698"/>
      <c r="G4" s="698"/>
      <c r="H4" s="698"/>
      <c r="I4" s="698"/>
      <c r="J4" s="698"/>
      <c r="K4" s="698"/>
      <c r="L4" s="698"/>
      <c r="M4" s="698"/>
      <c r="N4" s="698"/>
      <c r="O4" s="698"/>
      <c r="P4" s="698"/>
      <c r="Q4" s="698"/>
      <c r="R4" s="698"/>
      <c r="S4" s="698"/>
      <c r="T4" s="698"/>
      <c r="U4" s="698"/>
      <c r="V4" s="698"/>
      <c r="W4" s="698"/>
      <c r="X4" s="698"/>
      <c r="Y4" s="698"/>
    </row>
    <row r="5" spans="1:27">
      <c r="A5" s="698"/>
      <c r="B5" s="698"/>
      <c r="C5" s="698"/>
      <c r="D5" s="698"/>
      <c r="E5" s="698"/>
      <c r="F5" s="698"/>
      <c r="G5" s="698"/>
      <c r="H5" s="698"/>
      <c r="I5" s="698"/>
      <c r="J5" s="698"/>
      <c r="K5" s="698"/>
      <c r="L5" s="698"/>
      <c r="M5" s="698"/>
      <c r="N5" s="698"/>
      <c r="O5" s="698"/>
      <c r="P5" s="698"/>
      <c r="Q5" s="698"/>
      <c r="R5" s="698"/>
      <c r="S5" s="698"/>
      <c r="T5" s="698"/>
      <c r="U5" s="698"/>
      <c r="V5" s="698"/>
      <c r="W5" s="698"/>
      <c r="X5" s="698"/>
      <c r="Y5" s="698"/>
    </row>
    <row r="6" spans="1:27">
      <c r="A6" s="698"/>
      <c r="B6" s="698"/>
      <c r="C6" s="698"/>
      <c r="D6" s="698"/>
      <c r="E6" s="698"/>
      <c r="F6" s="698"/>
      <c r="G6" s="698"/>
      <c r="H6" s="698"/>
      <c r="I6" s="698"/>
      <c r="J6" s="698"/>
      <c r="K6" s="698"/>
      <c r="L6" s="698"/>
      <c r="M6" s="698"/>
      <c r="N6" s="698"/>
      <c r="O6" s="698"/>
      <c r="P6" s="698"/>
      <c r="Q6" s="698"/>
      <c r="R6" s="698"/>
      <c r="S6" s="698"/>
      <c r="T6" s="698"/>
      <c r="U6" s="698"/>
      <c r="V6" s="698"/>
      <c r="W6" s="698"/>
      <c r="X6" s="698"/>
      <c r="Y6" s="698"/>
    </row>
    <row r="7" spans="1:27">
      <c r="A7" s="698"/>
      <c r="B7" s="698"/>
      <c r="C7" s="698"/>
      <c r="D7" s="698"/>
      <c r="E7" s="698"/>
      <c r="F7" s="698"/>
      <c r="G7" s="698"/>
      <c r="H7" s="698"/>
      <c r="I7" s="698"/>
      <c r="J7" s="698"/>
      <c r="K7" s="698"/>
      <c r="L7" s="698"/>
      <c r="M7" s="698"/>
      <c r="N7" s="698"/>
      <c r="O7" s="698"/>
      <c r="P7" s="698"/>
      <c r="Q7" s="698"/>
      <c r="R7" s="698"/>
      <c r="S7" s="698"/>
      <c r="T7" s="698"/>
      <c r="U7" s="698"/>
      <c r="V7" s="698"/>
      <c r="W7" s="698"/>
      <c r="X7" s="698"/>
      <c r="Y7" s="698"/>
    </row>
    <row r="8" spans="1:27" ht="15.6">
      <c r="A8" s="702"/>
      <c r="B8" s="702"/>
      <c r="C8" s="702"/>
      <c r="D8" s="702"/>
      <c r="E8" s="702"/>
      <c r="F8" s="702"/>
      <c r="G8" s="702"/>
      <c r="H8" s="702"/>
      <c r="I8" s="702"/>
      <c r="J8" s="702"/>
      <c r="K8" s="702"/>
      <c r="L8" s="702"/>
      <c r="M8" s="702"/>
      <c r="N8" s="702"/>
      <c r="O8" s="702"/>
      <c r="P8" s="702"/>
      <c r="Q8" s="702"/>
      <c r="R8" s="702"/>
      <c r="S8" s="702"/>
      <c r="T8" s="702"/>
      <c r="U8" s="702"/>
      <c r="V8" s="702"/>
      <c r="W8" s="702"/>
      <c r="X8" s="702"/>
      <c r="Y8" s="702"/>
      <c r="Z8" s="701"/>
      <c r="AA8" s="701"/>
    </row>
    <row r="9" spans="1:27" s="713" customFormat="1" ht="21.75" customHeight="1">
      <c r="A9" s="703"/>
      <c r="B9" s="703"/>
      <c r="C9" s="704"/>
      <c r="D9" s="705"/>
      <c r="E9" s="1692" t="s">
        <v>131</v>
      </c>
      <c r="F9" s="1692"/>
      <c r="G9" s="1692"/>
      <c r="H9" s="1692"/>
      <c r="I9" s="1692"/>
      <c r="J9" s="1692"/>
      <c r="K9" s="1692"/>
      <c r="L9" s="1692"/>
      <c r="M9" s="1692"/>
      <c r="N9" s="1692"/>
      <c r="O9" s="1692"/>
      <c r="P9" s="706"/>
      <c r="Q9" s="1690" t="s">
        <v>132</v>
      </c>
      <c r="R9" s="707" t="s">
        <v>133</v>
      </c>
      <c r="S9" s="708"/>
      <c r="T9" s="709" t="s">
        <v>134</v>
      </c>
      <c r="U9" s="710"/>
      <c r="V9" s="707" t="s">
        <v>135</v>
      </c>
      <c r="W9" s="711"/>
      <c r="X9" s="711"/>
      <c r="Y9" s="708"/>
      <c r="Z9" s="712"/>
      <c r="AA9" s="712"/>
    </row>
    <row r="10" spans="1:27" s="713" customFormat="1" ht="19.5" customHeight="1">
      <c r="A10" s="714" t="s">
        <v>136</v>
      </c>
      <c r="B10" s="1048" t="s">
        <v>1231</v>
      </c>
      <c r="C10" s="715"/>
      <c r="D10" s="716" t="s">
        <v>137</v>
      </c>
      <c r="E10" s="717" t="s">
        <v>138</v>
      </c>
      <c r="F10" s="718"/>
      <c r="G10" s="718"/>
      <c r="H10" s="718"/>
      <c r="I10" s="718"/>
      <c r="J10" s="718"/>
      <c r="K10" s="719"/>
      <c r="L10" s="720" t="s">
        <v>139</v>
      </c>
      <c r="M10" s="720"/>
      <c r="N10" s="720"/>
      <c r="O10" s="720"/>
      <c r="P10" s="716" t="s">
        <v>137</v>
      </c>
      <c r="Q10" s="1691"/>
      <c r="R10" s="721"/>
      <c r="S10" s="722"/>
      <c r="T10" s="723"/>
      <c r="U10" s="723"/>
      <c r="V10" s="724"/>
      <c r="W10" s="725"/>
      <c r="X10" s="725"/>
      <c r="Y10" s="726"/>
      <c r="Z10" s="712"/>
      <c r="AA10" s="712"/>
    </row>
    <row r="11" spans="1:27" s="713" customFormat="1" ht="36" customHeight="1">
      <c r="A11" s="714" t="s">
        <v>140</v>
      </c>
      <c r="B11" s="1048" t="s">
        <v>1232</v>
      </c>
      <c r="C11" s="727" t="s">
        <v>141</v>
      </c>
      <c r="D11" s="727" t="s">
        <v>142</v>
      </c>
      <c r="E11" s="728" t="s">
        <v>1022</v>
      </c>
      <c r="F11" s="729" t="s">
        <v>1020</v>
      </c>
      <c r="G11" s="729" t="s">
        <v>143</v>
      </c>
      <c r="H11" s="730" t="s">
        <v>144</v>
      </c>
      <c r="I11" s="730" t="s">
        <v>145</v>
      </c>
      <c r="J11" s="731" t="s">
        <v>220</v>
      </c>
      <c r="K11" s="729" t="s">
        <v>517</v>
      </c>
      <c r="L11" s="732" t="s">
        <v>146</v>
      </c>
      <c r="M11" s="730" t="s">
        <v>147</v>
      </c>
      <c r="N11" s="733" t="s">
        <v>148</v>
      </c>
      <c r="O11" s="729" t="s">
        <v>517</v>
      </c>
      <c r="P11" s="727" t="s">
        <v>149</v>
      </c>
      <c r="Q11" s="734" t="s">
        <v>150</v>
      </c>
      <c r="R11" s="735" t="s">
        <v>151</v>
      </c>
      <c r="S11" s="729" t="s">
        <v>152</v>
      </c>
      <c r="T11" s="729" t="s">
        <v>517</v>
      </c>
      <c r="U11" s="736" t="s">
        <v>153</v>
      </c>
      <c r="V11" s="730" t="s">
        <v>154</v>
      </c>
      <c r="W11" s="730" t="s">
        <v>155</v>
      </c>
      <c r="X11" s="737" t="s">
        <v>156</v>
      </c>
      <c r="Y11" s="738" t="s">
        <v>157</v>
      </c>
      <c r="Z11" s="712"/>
      <c r="AA11" s="712"/>
    </row>
    <row r="12" spans="1:27" ht="22.5" customHeight="1">
      <c r="A12" s="739" t="s">
        <v>625</v>
      </c>
      <c r="B12" s="1050"/>
      <c r="C12" s="741">
        <f t="shared" ref="C12:J12" si="0">SUM(C16:C27)</f>
        <v>354</v>
      </c>
      <c r="D12" s="740">
        <f t="shared" si="0"/>
        <v>223</v>
      </c>
      <c r="E12" s="740">
        <f t="shared" si="0"/>
        <v>0</v>
      </c>
      <c r="F12" s="740">
        <f t="shared" si="0"/>
        <v>0</v>
      </c>
      <c r="G12" s="740">
        <f t="shared" si="0"/>
        <v>0</v>
      </c>
      <c r="H12" s="740">
        <f t="shared" si="0"/>
        <v>42</v>
      </c>
      <c r="I12" s="740">
        <f t="shared" si="0"/>
        <v>394</v>
      </c>
      <c r="J12" s="740">
        <f t="shared" si="0"/>
        <v>131</v>
      </c>
      <c r="K12" s="740">
        <f>SUM(K14:K27)</f>
        <v>436</v>
      </c>
      <c r="L12" s="740">
        <f>SUM(L16:L27)</f>
        <v>454</v>
      </c>
      <c r="M12" s="741">
        <f>SUM(M16:M27)</f>
        <v>131</v>
      </c>
      <c r="N12" s="740">
        <f>SUM(N16:N27)</f>
        <v>6</v>
      </c>
      <c r="O12" s="741">
        <f>L12+N12</f>
        <v>460</v>
      </c>
      <c r="P12" s="740">
        <f t="shared" ref="P12:U12" si="1">SUM(P16:P27)</f>
        <v>199</v>
      </c>
      <c r="Q12" s="740">
        <f t="shared" si="1"/>
        <v>2</v>
      </c>
      <c r="R12" s="741">
        <f t="shared" si="1"/>
        <v>99633</v>
      </c>
      <c r="S12" s="740">
        <f t="shared" si="1"/>
        <v>92804</v>
      </c>
      <c r="T12" s="741">
        <f t="shared" si="1"/>
        <v>66070</v>
      </c>
      <c r="U12" s="740">
        <f t="shared" si="1"/>
        <v>65961</v>
      </c>
      <c r="V12" s="774">
        <f>S12/R12*100</f>
        <v>93.145845252075119</v>
      </c>
      <c r="W12" s="775">
        <f>+T12/O12</f>
        <v>143.63043478260869</v>
      </c>
      <c r="X12" s="776">
        <f>+O12/(R12/30.4)</f>
        <v>0.14035510322884986</v>
      </c>
      <c r="Y12" s="777">
        <f>(+R12-S12)/O12</f>
        <v>14.845652173913043</v>
      </c>
      <c r="Z12" s="701"/>
      <c r="AA12" s="701"/>
    </row>
    <row r="13" spans="1:27" ht="22.5" customHeight="1">
      <c r="A13" s="1043" t="s">
        <v>1348</v>
      </c>
      <c r="B13" s="714">
        <v>401</v>
      </c>
      <c r="C13" s="741"/>
      <c r="D13" s="750"/>
      <c r="E13" s="741"/>
      <c r="F13" s="750"/>
      <c r="G13" s="750"/>
      <c r="H13" s="750"/>
      <c r="I13" s="750"/>
      <c r="J13" s="750"/>
      <c r="K13" s="741"/>
      <c r="L13" s="750"/>
      <c r="M13" s="741"/>
      <c r="N13" s="750"/>
      <c r="O13" s="741"/>
      <c r="P13" s="750"/>
      <c r="Q13" s="750"/>
      <c r="R13" s="772"/>
      <c r="S13" s="773"/>
      <c r="T13" s="772"/>
      <c r="U13" s="741"/>
      <c r="V13" s="742"/>
      <c r="W13" s="743"/>
      <c r="X13" s="744"/>
      <c r="Y13" s="745"/>
      <c r="Z13" s="701"/>
      <c r="AA13" s="701"/>
    </row>
    <row r="14" spans="1:27" ht="22.5" customHeight="1">
      <c r="A14" s="1043" t="s">
        <v>1233</v>
      </c>
      <c r="B14" s="714">
        <v>403</v>
      </c>
      <c r="C14" s="741"/>
      <c r="D14" s="750"/>
      <c r="E14" s="741"/>
      <c r="F14" s="750"/>
      <c r="G14" s="750"/>
      <c r="H14" s="750"/>
      <c r="I14" s="750"/>
      <c r="J14" s="750"/>
      <c r="K14" s="741"/>
      <c r="L14" s="750"/>
      <c r="M14" s="741"/>
      <c r="N14" s="750"/>
      <c r="O14" s="741"/>
      <c r="P14" s="750"/>
      <c r="Q14" s="750"/>
      <c r="R14" s="772"/>
      <c r="S14" s="773"/>
      <c r="T14" s="772"/>
      <c r="U14" s="741"/>
      <c r="V14" s="742"/>
      <c r="W14" s="743"/>
      <c r="X14" s="744"/>
      <c r="Y14" s="745"/>
      <c r="Z14" s="701"/>
      <c r="AA14" s="701"/>
    </row>
    <row r="15" spans="1:27" ht="22.5" customHeight="1">
      <c r="A15" s="1043" t="s">
        <v>1234</v>
      </c>
      <c r="B15" s="714">
        <v>404</v>
      </c>
      <c r="C15" s="741"/>
      <c r="D15" s="750"/>
      <c r="E15" s="741"/>
      <c r="F15" s="750"/>
      <c r="G15" s="750"/>
      <c r="H15" s="750"/>
      <c r="I15" s="750"/>
      <c r="J15" s="750"/>
      <c r="K15" s="741"/>
      <c r="L15" s="750"/>
      <c r="M15" s="741"/>
      <c r="N15" s="750"/>
      <c r="O15" s="741"/>
      <c r="P15" s="750"/>
      <c r="Q15" s="750"/>
      <c r="R15" s="772"/>
      <c r="S15" s="773"/>
      <c r="T15" s="772"/>
      <c r="U15" s="741"/>
      <c r="V15" s="742"/>
      <c r="W15" s="743"/>
      <c r="X15" s="744"/>
      <c r="Y15" s="745"/>
      <c r="Z15" s="701"/>
      <c r="AA15" s="701"/>
    </row>
    <row r="16" spans="1:27" ht="16.5" customHeight="1">
      <c r="A16" s="746" t="s">
        <v>158</v>
      </c>
      <c r="B16" s="714">
        <v>416</v>
      </c>
      <c r="C16" s="747"/>
      <c r="D16" s="748"/>
      <c r="E16" s="747"/>
      <c r="F16" s="751"/>
      <c r="G16" s="751"/>
      <c r="H16" s="751"/>
      <c r="I16" s="751"/>
      <c r="J16" s="748"/>
      <c r="K16" s="741"/>
      <c r="L16" s="772"/>
      <c r="M16" s="747"/>
      <c r="N16" s="748"/>
      <c r="O16" s="741"/>
      <c r="P16" s="750"/>
      <c r="Q16" s="749"/>
      <c r="R16" s="772"/>
      <c r="S16" s="773"/>
      <c r="T16" s="772"/>
      <c r="U16" s="773"/>
      <c r="V16" s="742"/>
      <c r="W16" s="743"/>
      <c r="X16" s="744"/>
      <c r="Y16" s="745"/>
      <c r="Z16" s="701"/>
      <c r="AA16" s="701"/>
    </row>
    <row r="17" spans="1:27" ht="18" customHeight="1">
      <c r="A17" s="1043" t="s">
        <v>1235</v>
      </c>
      <c r="B17" s="714">
        <v>407</v>
      </c>
      <c r="C17" s="747"/>
      <c r="D17" s="748"/>
      <c r="E17" s="747"/>
      <c r="F17" s="749"/>
      <c r="G17" s="749"/>
      <c r="H17" s="749"/>
      <c r="I17" s="749"/>
      <c r="J17" s="748"/>
      <c r="K17" s="741"/>
      <c r="L17" s="772"/>
      <c r="M17" s="747"/>
      <c r="N17" s="748"/>
      <c r="O17" s="741"/>
      <c r="P17" s="750"/>
      <c r="Q17" s="749"/>
      <c r="R17" s="772"/>
      <c r="S17" s="773"/>
      <c r="T17" s="772"/>
      <c r="U17" s="773"/>
      <c r="V17" s="742"/>
      <c r="W17" s="743"/>
      <c r="X17" s="744"/>
      <c r="Y17" s="745"/>
      <c r="Z17" s="701"/>
      <c r="AA17" s="701"/>
    </row>
    <row r="18" spans="1:27" ht="18" customHeight="1">
      <c r="A18" s="1043" t="s">
        <v>1236</v>
      </c>
      <c r="B18" s="714">
        <v>409</v>
      </c>
      <c r="C18" s="747"/>
      <c r="D18" s="748"/>
      <c r="E18" s="747"/>
      <c r="F18" s="749"/>
      <c r="G18" s="749"/>
      <c r="H18" s="749"/>
      <c r="I18" s="749"/>
      <c r="J18" s="748"/>
      <c r="K18" s="741"/>
      <c r="L18" s="772"/>
      <c r="M18" s="747"/>
      <c r="N18" s="748"/>
      <c r="O18" s="741"/>
      <c r="P18" s="750"/>
      <c r="Q18" s="749"/>
      <c r="R18" s="772"/>
      <c r="S18" s="773"/>
      <c r="T18" s="772"/>
      <c r="U18" s="773"/>
      <c r="V18" s="742"/>
      <c r="W18" s="743"/>
      <c r="X18" s="744"/>
      <c r="Y18" s="745"/>
      <c r="Z18" s="701"/>
      <c r="AA18" s="701"/>
    </row>
    <row r="19" spans="1:27" ht="17.25" customHeight="1">
      <c r="A19" s="746" t="s">
        <v>159</v>
      </c>
      <c r="B19" s="714">
        <v>413</v>
      </c>
      <c r="C19" s="747"/>
      <c r="D19" s="748"/>
      <c r="E19" s="747"/>
      <c r="F19" s="749"/>
      <c r="G19" s="749"/>
      <c r="H19" s="749"/>
      <c r="I19" s="749"/>
      <c r="J19" s="748"/>
      <c r="K19" s="741"/>
      <c r="L19" s="772"/>
      <c r="M19" s="747"/>
      <c r="N19" s="748"/>
      <c r="O19" s="741"/>
      <c r="P19" s="750"/>
      <c r="Q19" s="749"/>
      <c r="R19" s="772"/>
      <c r="S19" s="773"/>
      <c r="T19" s="772"/>
      <c r="U19" s="773"/>
      <c r="V19" s="742"/>
      <c r="W19" s="743"/>
      <c r="X19" s="744"/>
      <c r="Y19" s="745"/>
      <c r="Z19" s="701"/>
      <c r="AA19" s="701"/>
    </row>
    <row r="20" spans="1:27" ht="17.25" customHeight="1">
      <c r="A20" s="1043" t="s">
        <v>1425</v>
      </c>
      <c r="B20" s="714">
        <v>411</v>
      </c>
      <c r="C20" s="747"/>
      <c r="D20" s="748"/>
      <c r="E20" s="747"/>
      <c r="F20" s="749"/>
      <c r="G20" s="749"/>
      <c r="H20" s="749"/>
      <c r="I20" s="749"/>
      <c r="J20" s="748"/>
      <c r="K20" s="741"/>
      <c r="L20" s="772"/>
      <c r="M20" s="747"/>
      <c r="N20" s="748"/>
      <c r="O20" s="741"/>
      <c r="P20" s="750"/>
      <c r="Q20" s="749"/>
      <c r="R20" s="772"/>
      <c r="S20" s="773"/>
      <c r="T20" s="772"/>
      <c r="U20" s="773"/>
      <c r="V20" s="742"/>
      <c r="W20" s="743"/>
      <c r="X20" s="744"/>
      <c r="Y20" s="745"/>
      <c r="Z20" s="701"/>
      <c r="AA20" s="701"/>
    </row>
    <row r="21" spans="1:27" ht="17.25" customHeight="1">
      <c r="A21" s="1043" t="s">
        <v>1230</v>
      </c>
      <c r="B21" s="1048">
        <v>412</v>
      </c>
      <c r="C21" s="747"/>
      <c r="D21" s="748"/>
      <c r="E21" s="747"/>
      <c r="F21" s="749"/>
      <c r="G21" s="749"/>
      <c r="H21" s="749"/>
      <c r="I21" s="749"/>
      <c r="J21" s="748"/>
      <c r="K21" s="741"/>
      <c r="L21" s="772"/>
      <c r="M21" s="747"/>
      <c r="N21" s="748"/>
      <c r="O21" s="741"/>
      <c r="P21" s="750"/>
      <c r="Q21" s="749"/>
      <c r="R21" s="772"/>
      <c r="S21" s="773"/>
      <c r="T21" s="772"/>
      <c r="U21" s="773"/>
      <c r="V21" s="742"/>
      <c r="W21" s="743"/>
      <c r="X21" s="744"/>
      <c r="Y21" s="745"/>
      <c r="Z21" s="701"/>
      <c r="AA21" s="701"/>
    </row>
    <row r="22" spans="1:27" ht="18.75" customHeight="1">
      <c r="A22" s="746" t="s">
        <v>160</v>
      </c>
      <c r="B22" s="714">
        <v>414</v>
      </c>
      <c r="C22" s="747"/>
      <c r="D22" s="748"/>
      <c r="E22" s="747"/>
      <c r="F22" s="749"/>
      <c r="G22" s="749"/>
      <c r="H22" s="749"/>
      <c r="I22" s="749"/>
      <c r="J22" s="748"/>
      <c r="K22" s="741"/>
      <c r="L22" s="772"/>
      <c r="M22" s="747"/>
      <c r="N22" s="748"/>
      <c r="O22" s="741"/>
      <c r="P22" s="750"/>
      <c r="Q22" s="749"/>
      <c r="R22" s="772"/>
      <c r="S22" s="773"/>
      <c r="T22" s="772"/>
      <c r="U22" s="773"/>
      <c r="V22" s="742"/>
      <c r="W22" s="743"/>
      <c r="X22" s="744"/>
      <c r="Y22" s="745"/>
      <c r="Z22" s="701"/>
      <c r="AA22" s="701"/>
    </row>
    <row r="23" spans="1:27" ht="19.5" customHeight="1">
      <c r="A23" s="746" t="s">
        <v>161</v>
      </c>
      <c r="B23" s="714">
        <v>405</v>
      </c>
      <c r="C23" s="747"/>
      <c r="D23" s="748"/>
      <c r="E23" s="747"/>
      <c r="F23" s="749"/>
      <c r="G23" s="749"/>
      <c r="H23" s="749"/>
      <c r="I23" s="749"/>
      <c r="J23" s="748"/>
      <c r="K23" s="741"/>
      <c r="L23" s="772"/>
      <c r="M23" s="747"/>
      <c r="N23" s="748"/>
      <c r="O23" s="741"/>
      <c r="P23" s="750"/>
      <c r="Q23" s="749"/>
      <c r="R23" s="772"/>
      <c r="S23" s="773"/>
      <c r="T23" s="772"/>
      <c r="U23" s="773"/>
      <c r="V23" s="742"/>
      <c r="W23" s="743"/>
      <c r="X23" s="744"/>
      <c r="Y23" s="745"/>
      <c r="Z23" s="701"/>
      <c r="AA23" s="701"/>
    </row>
    <row r="24" spans="1:27" ht="19.5" customHeight="1">
      <c r="A24" s="746" t="s">
        <v>162</v>
      </c>
      <c r="B24" s="714">
        <v>406</v>
      </c>
      <c r="C24" s="747"/>
      <c r="D24" s="748"/>
      <c r="E24" s="747"/>
      <c r="F24" s="749"/>
      <c r="G24" s="749"/>
      <c r="H24" s="749"/>
      <c r="I24" s="749"/>
      <c r="J24" s="748"/>
      <c r="K24" s="741"/>
      <c r="L24" s="772"/>
      <c r="M24" s="747"/>
      <c r="N24" s="748"/>
      <c r="O24" s="741"/>
      <c r="P24" s="750"/>
      <c r="Q24" s="749"/>
      <c r="R24" s="772"/>
      <c r="S24" s="773"/>
      <c r="T24" s="772"/>
      <c r="U24" s="773"/>
      <c r="V24" s="742"/>
      <c r="W24" s="743"/>
      <c r="X24" s="744"/>
      <c r="Y24" s="745"/>
      <c r="Z24" s="701"/>
      <c r="AA24" s="701"/>
    </row>
    <row r="25" spans="1:27" ht="19.5" customHeight="1">
      <c r="A25" s="746" t="s">
        <v>764</v>
      </c>
      <c r="B25" s="714">
        <v>415</v>
      </c>
      <c r="C25" s="747"/>
      <c r="D25" s="748"/>
      <c r="E25" s="747"/>
      <c r="F25" s="749"/>
      <c r="G25" s="749"/>
      <c r="H25" s="749"/>
      <c r="I25" s="749"/>
      <c r="J25" s="748"/>
      <c r="K25" s="741"/>
      <c r="L25" s="772"/>
      <c r="M25" s="747"/>
      <c r="N25" s="748"/>
      <c r="O25" s="741"/>
      <c r="P25" s="750"/>
      <c r="Q25" s="749"/>
      <c r="R25" s="772"/>
      <c r="S25" s="773"/>
      <c r="T25" s="772"/>
      <c r="U25" s="773"/>
      <c r="V25" s="742"/>
      <c r="W25" s="743"/>
      <c r="X25" s="744"/>
      <c r="Y25" s="745"/>
      <c r="Z25" s="701"/>
      <c r="AA25" s="701"/>
    </row>
    <row r="26" spans="1:27" ht="18" customHeight="1">
      <c r="A26" s="746" t="s">
        <v>163</v>
      </c>
      <c r="B26" s="714">
        <v>330</v>
      </c>
      <c r="C26" s="747"/>
      <c r="D26" s="748"/>
      <c r="E26" s="747"/>
      <c r="F26" s="749"/>
      <c r="G26" s="749"/>
      <c r="H26" s="749"/>
      <c r="I26" s="749"/>
      <c r="J26" s="748"/>
      <c r="K26" s="741"/>
      <c r="L26" s="772"/>
      <c r="M26" s="747"/>
      <c r="N26" s="748"/>
      <c r="O26" s="741"/>
      <c r="P26" s="750"/>
      <c r="Q26" s="749"/>
      <c r="R26" s="772"/>
      <c r="S26" s="773"/>
      <c r="T26" s="772"/>
      <c r="U26" s="773"/>
      <c r="V26" s="742"/>
      <c r="W26" s="743"/>
      <c r="X26" s="744"/>
      <c r="Y26" s="745"/>
      <c r="Z26" s="701"/>
      <c r="AA26" s="701"/>
    </row>
    <row r="27" spans="1:27" ht="27" customHeight="1">
      <c r="A27" s="746" t="s">
        <v>981</v>
      </c>
      <c r="B27" s="714"/>
      <c r="C27" s="747">
        <f t="shared" ref="C27:Q27" si="2">SUM(C28:C35)</f>
        <v>354</v>
      </c>
      <c r="D27" s="748">
        <f t="shared" si="2"/>
        <v>223</v>
      </c>
      <c r="E27" s="748">
        <f t="shared" si="2"/>
        <v>0</v>
      </c>
      <c r="F27" s="748">
        <f t="shared" si="2"/>
        <v>0</v>
      </c>
      <c r="G27" s="748">
        <f t="shared" si="2"/>
        <v>0</v>
      </c>
      <c r="H27" s="748">
        <f t="shared" si="2"/>
        <v>42</v>
      </c>
      <c r="I27" s="748">
        <f t="shared" si="2"/>
        <v>394</v>
      </c>
      <c r="J27" s="748">
        <f t="shared" si="2"/>
        <v>131</v>
      </c>
      <c r="K27" s="741">
        <f>SUM(E27:I27)</f>
        <v>436</v>
      </c>
      <c r="L27" s="748">
        <f t="shared" si="2"/>
        <v>454</v>
      </c>
      <c r="M27" s="748">
        <f t="shared" si="2"/>
        <v>131</v>
      </c>
      <c r="N27" s="748">
        <f t="shared" si="2"/>
        <v>6</v>
      </c>
      <c r="O27" s="741">
        <f>L27+N27</f>
        <v>460</v>
      </c>
      <c r="P27" s="748">
        <f t="shared" si="2"/>
        <v>199</v>
      </c>
      <c r="Q27" s="748">
        <f t="shared" si="2"/>
        <v>2</v>
      </c>
      <c r="R27" s="748">
        <f>SUM(R28:R35)</f>
        <v>99633</v>
      </c>
      <c r="S27" s="748">
        <f>SUM(S28:S35)</f>
        <v>92804</v>
      </c>
      <c r="T27" s="748">
        <f>SUM(T28:T35)</f>
        <v>66070</v>
      </c>
      <c r="U27" s="748">
        <f>SUM(U28:U35)</f>
        <v>65961</v>
      </c>
      <c r="V27" s="742">
        <f t="shared" ref="V27:V33" si="3">S27/R27*100</f>
        <v>93.145845252075119</v>
      </c>
      <c r="W27" s="743">
        <f t="shared" ref="W27:W33" si="4">+T27/O27</f>
        <v>143.63043478260869</v>
      </c>
      <c r="X27" s="744">
        <f t="shared" ref="X27:X33" si="5">+O27/(R27/30.4)</f>
        <v>0.14035510322884986</v>
      </c>
      <c r="Y27" s="745">
        <f t="shared" ref="Y27:Y33" si="6">(+R27-S27)/O27</f>
        <v>14.845652173913043</v>
      </c>
      <c r="Z27" s="701"/>
      <c r="AA27" s="701"/>
    </row>
    <row r="28" spans="1:27" s="713" customFormat="1" ht="18" customHeight="1">
      <c r="A28" s="778" t="s">
        <v>172</v>
      </c>
      <c r="B28" s="779">
        <v>418</v>
      </c>
      <c r="C28" s="779">
        <v>42</v>
      </c>
      <c r="D28" s="780">
        <v>21</v>
      </c>
      <c r="E28" s="779"/>
      <c r="F28" s="749"/>
      <c r="G28" s="749"/>
      <c r="H28" s="749"/>
      <c r="I28" s="779">
        <v>311</v>
      </c>
      <c r="J28" s="779">
        <v>90</v>
      </c>
      <c r="K28" s="741">
        <f t="shared" ref="K28:K35" si="7">SUM(E28:J28)</f>
        <v>401</v>
      </c>
      <c r="L28" s="779">
        <v>313</v>
      </c>
      <c r="M28" s="779">
        <v>96</v>
      </c>
      <c r="N28" s="779"/>
      <c r="O28" s="750">
        <f>SUM(L28:N28)</f>
        <v>409</v>
      </c>
      <c r="P28" s="750">
        <f t="shared" ref="P28:P35" si="8">SUM(D28,K28)-O28</f>
        <v>13</v>
      </c>
      <c r="Q28" s="749">
        <v>2</v>
      </c>
      <c r="R28" s="749">
        <v>14070</v>
      </c>
      <c r="S28" s="749">
        <v>12879</v>
      </c>
      <c r="T28" s="781">
        <v>13044</v>
      </c>
      <c r="U28" s="781">
        <v>12935</v>
      </c>
      <c r="V28" s="742">
        <f t="shared" si="3"/>
        <v>91.535181236673779</v>
      </c>
      <c r="W28" s="743">
        <f t="shared" si="4"/>
        <v>31.892420537897312</v>
      </c>
      <c r="X28" s="744">
        <f t="shared" si="5"/>
        <v>0.88369580668088121</v>
      </c>
      <c r="Y28" s="745">
        <f t="shared" si="6"/>
        <v>2.9119804400977993</v>
      </c>
      <c r="Z28" s="712"/>
      <c r="AA28" s="712"/>
    </row>
    <row r="29" spans="1:27" s="713" customFormat="1" ht="18" customHeight="1">
      <c r="A29" s="778" t="s">
        <v>173</v>
      </c>
      <c r="B29" s="779">
        <v>419</v>
      </c>
      <c r="C29" s="779">
        <v>110</v>
      </c>
      <c r="D29" s="780">
        <v>25</v>
      </c>
      <c r="E29" s="779"/>
      <c r="F29" s="749"/>
      <c r="G29" s="749"/>
      <c r="H29" s="749">
        <v>26</v>
      </c>
      <c r="I29" s="779">
        <v>40</v>
      </c>
      <c r="J29" s="779">
        <v>10</v>
      </c>
      <c r="K29" s="741">
        <f t="shared" si="7"/>
        <v>76</v>
      </c>
      <c r="L29" s="779">
        <v>77</v>
      </c>
      <c r="M29" s="779">
        <v>3</v>
      </c>
      <c r="N29" s="779">
        <v>1</v>
      </c>
      <c r="O29" s="750">
        <f t="shared" ref="O29:O34" si="9">SUM(L29:N29)</f>
        <v>81</v>
      </c>
      <c r="P29" s="750">
        <f t="shared" si="8"/>
        <v>20</v>
      </c>
      <c r="Q29" s="749"/>
      <c r="R29" s="781">
        <v>34038</v>
      </c>
      <c r="S29" s="781">
        <v>31698</v>
      </c>
      <c r="T29" s="781">
        <v>22672</v>
      </c>
      <c r="U29" s="779">
        <v>22672</v>
      </c>
      <c r="V29" s="742">
        <f t="shared" si="3"/>
        <v>93.125330512956111</v>
      </c>
      <c r="W29" s="743">
        <f t="shared" si="4"/>
        <v>279.90123456790121</v>
      </c>
      <c r="X29" s="744">
        <f t="shared" si="5"/>
        <v>7.2342675832892653E-2</v>
      </c>
      <c r="Y29" s="745">
        <f t="shared" si="6"/>
        <v>28.888888888888889</v>
      </c>
      <c r="Z29" s="712"/>
      <c r="AA29" s="712"/>
    </row>
    <row r="30" spans="1:27" s="713" customFormat="1" ht="18" customHeight="1">
      <c r="A30" s="782" t="s">
        <v>174</v>
      </c>
      <c r="B30" s="779">
        <v>420</v>
      </c>
      <c r="C30" s="779">
        <v>109</v>
      </c>
      <c r="D30" s="779">
        <v>120</v>
      </c>
      <c r="E30" s="779"/>
      <c r="F30" s="749"/>
      <c r="G30" s="749"/>
      <c r="H30" s="749">
        <v>16</v>
      </c>
      <c r="I30" s="779"/>
      <c r="J30" s="779"/>
      <c r="K30" s="741">
        <f t="shared" si="7"/>
        <v>16</v>
      </c>
      <c r="L30" s="779">
        <v>17</v>
      </c>
      <c r="M30" s="779"/>
      <c r="N30" s="779">
        <v>4</v>
      </c>
      <c r="O30" s="750">
        <f t="shared" si="9"/>
        <v>21</v>
      </c>
      <c r="P30" s="750">
        <f t="shared" si="8"/>
        <v>115</v>
      </c>
      <c r="Q30" s="749"/>
      <c r="R30" s="781">
        <v>20049</v>
      </c>
      <c r="S30" s="781">
        <v>19952</v>
      </c>
      <c r="T30" s="781">
        <v>8214</v>
      </c>
      <c r="U30" s="779">
        <v>8214</v>
      </c>
      <c r="V30" s="742">
        <f t="shared" si="3"/>
        <v>99.516185345902542</v>
      </c>
      <c r="W30" s="743">
        <f t="shared" si="4"/>
        <v>391.14285714285717</v>
      </c>
      <c r="X30" s="744">
        <f t="shared" si="5"/>
        <v>3.1841987131527756E-2</v>
      </c>
      <c r="Y30" s="745">
        <f t="shared" si="6"/>
        <v>4.6190476190476186</v>
      </c>
      <c r="Z30" s="712"/>
      <c r="AA30" s="712"/>
    </row>
    <row r="31" spans="1:27" s="713" customFormat="1" ht="18" customHeight="1">
      <c r="A31" s="778" t="s">
        <v>175</v>
      </c>
      <c r="B31" s="779"/>
      <c r="C31" s="779"/>
      <c r="D31" s="779">
        <v>0</v>
      </c>
      <c r="E31" s="779"/>
      <c r="F31" s="749"/>
      <c r="G31" s="749"/>
      <c r="H31" s="749"/>
      <c r="I31" s="779"/>
      <c r="J31" s="779"/>
      <c r="K31" s="741">
        <f t="shared" si="7"/>
        <v>0</v>
      </c>
      <c r="L31" s="779"/>
      <c r="M31" s="779"/>
      <c r="N31" s="779"/>
      <c r="O31" s="750">
        <f t="shared" si="9"/>
        <v>0</v>
      </c>
      <c r="P31" s="750">
        <f t="shared" si="8"/>
        <v>0</v>
      </c>
      <c r="Q31" s="749"/>
      <c r="R31" s="781"/>
      <c r="S31" s="781"/>
      <c r="T31" s="781"/>
      <c r="U31" s="779"/>
      <c r="V31" s="742"/>
      <c r="W31" s="743"/>
      <c r="X31" s="744"/>
      <c r="Y31" s="745"/>
      <c r="Z31" s="712"/>
      <c r="AA31" s="712"/>
    </row>
    <row r="32" spans="1:27" s="713" customFormat="1" ht="18" customHeight="1">
      <c r="A32" s="778" t="s">
        <v>176</v>
      </c>
      <c r="B32" s="779">
        <v>424</v>
      </c>
      <c r="C32" s="779"/>
      <c r="D32" s="779">
        <v>0</v>
      </c>
      <c r="E32" s="779"/>
      <c r="F32" s="749"/>
      <c r="G32" s="749"/>
      <c r="H32" s="749"/>
      <c r="I32" s="779"/>
      <c r="J32" s="779"/>
      <c r="K32" s="741">
        <f t="shared" si="7"/>
        <v>0</v>
      </c>
      <c r="L32" s="779"/>
      <c r="M32" s="779"/>
      <c r="N32" s="779"/>
      <c r="O32" s="750">
        <f t="shared" si="9"/>
        <v>0</v>
      </c>
      <c r="P32" s="750">
        <f t="shared" si="8"/>
        <v>0</v>
      </c>
      <c r="Q32" s="749"/>
      <c r="R32" s="781"/>
      <c r="S32" s="781"/>
      <c r="T32" s="781"/>
      <c r="U32" s="779"/>
      <c r="V32" s="742"/>
      <c r="W32" s="743"/>
      <c r="X32" s="744"/>
      <c r="Y32" s="745"/>
      <c r="Z32" s="712"/>
      <c r="AA32" s="712"/>
    </row>
    <row r="33" spans="1:27" s="713" customFormat="1" ht="18" customHeight="1">
      <c r="A33" s="778" t="s">
        <v>177</v>
      </c>
      <c r="B33" s="779">
        <v>424</v>
      </c>
      <c r="C33" s="779">
        <v>70</v>
      </c>
      <c r="D33" s="779">
        <v>37</v>
      </c>
      <c r="E33" s="779"/>
      <c r="F33" s="749"/>
      <c r="G33" s="749"/>
      <c r="H33" s="749"/>
      <c r="I33" s="779">
        <v>8</v>
      </c>
      <c r="J33" s="779">
        <v>31</v>
      </c>
      <c r="K33" s="741">
        <f t="shared" si="7"/>
        <v>39</v>
      </c>
      <c r="L33" s="779">
        <v>18</v>
      </c>
      <c r="M33" s="779">
        <v>24</v>
      </c>
      <c r="N33" s="779"/>
      <c r="O33" s="750">
        <f t="shared" si="9"/>
        <v>42</v>
      </c>
      <c r="P33" s="750">
        <f t="shared" si="8"/>
        <v>34</v>
      </c>
      <c r="Q33" s="749"/>
      <c r="R33" s="781">
        <v>24156</v>
      </c>
      <c r="S33" s="781">
        <v>22008</v>
      </c>
      <c r="T33" s="781">
        <v>15369</v>
      </c>
      <c r="U33" s="779">
        <v>15369</v>
      </c>
      <c r="V33" s="742">
        <f t="shared" si="3"/>
        <v>91.107799304520626</v>
      </c>
      <c r="W33" s="743">
        <f t="shared" si="4"/>
        <v>365.92857142857144</v>
      </c>
      <c r="X33" s="744">
        <f t="shared" si="5"/>
        <v>5.2856433184302033E-2</v>
      </c>
      <c r="Y33" s="745">
        <f t="shared" si="6"/>
        <v>51.142857142857146</v>
      </c>
      <c r="Z33" s="712"/>
      <c r="AA33" s="712"/>
    </row>
    <row r="34" spans="1:27" s="713" customFormat="1" ht="18" customHeight="1">
      <c r="A34" s="778" t="s">
        <v>178</v>
      </c>
      <c r="B34" s="779">
        <v>423</v>
      </c>
      <c r="C34" s="779">
        <v>20</v>
      </c>
      <c r="D34" s="779">
        <v>20</v>
      </c>
      <c r="E34" s="779"/>
      <c r="F34" s="749"/>
      <c r="G34" s="749"/>
      <c r="H34" s="749"/>
      <c r="I34" s="779">
        <v>35</v>
      </c>
      <c r="J34" s="779"/>
      <c r="K34" s="741">
        <f t="shared" ref="K34" si="10">SUM(E34:J34)</f>
        <v>35</v>
      </c>
      <c r="L34" s="779">
        <v>29</v>
      </c>
      <c r="M34" s="779">
        <v>8</v>
      </c>
      <c r="N34" s="779">
        <v>1</v>
      </c>
      <c r="O34" s="750">
        <f t="shared" si="9"/>
        <v>38</v>
      </c>
      <c r="P34" s="750">
        <f t="shared" ref="P34" si="11">SUM(D34,K34)-O34</f>
        <v>17</v>
      </c>
      <c r="Q34" s="749"/>
      <c r="R34" s="781">
        <v>7320</v>
      </c>
      <c r="S34" s="781">
        <v>6267</v>
      </c>
      <c r="T34" s="781">
        <v>6771</v>
      </c>
      <c r="U34" s="779">
        <v>6771</v>
      </c>
      <c r="V34" s="742">
        <f t="shared" ref="V34" si="12">S34/R34*100</f>
        <v>85.614754098360663</v>
      </c>
      <c r="W34" s="743">
        <f t="shared" ref="W34" si="13">+T34/O34</f>
        <v>178.18421052631578</v>
      </c>
      <c r="X34" s="744">
        <f t="shared" ref="X34" si="14">+O34/(R34/30.4)</f>
        <v>0.15781420765027321</v>
      </c>
      <c r="Y34" s="745">
        <f t="shared" ref="Y34" si="15">(+R34-S34)/O34</f>
        <v>27.710526315789473</v>
      </c>
      <c r="Z34" s="712"/>
      <c r="AA34" s="712"/>
    </row>
    <row r="35" spans="1:27" s="713" customFormat="1" ht="18" customHeight="1">
      <c r="A35" s="783" t="s">
        <v>179</v>
      </c>
      <c r="B35" s="784">
        <v>330</v>
      </c>
      <c r="C35" s="784">
        <v>3</v>
      </c>
      <c r="D35" s="784">
        <v>0</v>
      </c>
      <c r="E35" s="784"/>
      <c r="F35" s="755"/>
      <c r="G35" s="755"/>
      <c r="H35" s="755"/>
      <c r="I35" s="784"/>
      <c r="J35" s="784"/>
      <c r="K35" s="785">
        <f t="shared" si="7"/>
        <v>0</v>
      </c>
      <c r="L35" s="784"/>
      <c r="M35" s="784"/>
      <c r="N35" s="784"/>
      <c r="O35" s="757">
        <f t="shared" ref="O35" si="16">L35+N35</f>
        <v>0</v>
      </c>
      <c r="P35" s="786">
        <f t="shared" si="8"/>
        <v>0</v>
      </c>
      <c r="Q35" s="755"/>
      <c r="R35" s="787"/>
      <c r="S35" s="787"/>
      <c r="T35" s="787"/>
      <c r="U35" s="784"/>
      <c r="V35" s="758"/>
      <c r="W35" s="759"/>
      <c r="X35" s="760"/>
      <c r="Y35" s="761"/>
      <c r="Z35" s="712"/>
      <c r="AA35" s="712"/>
    </row>
    <row r="36" spans="1:27">
      <c r="O36" s="763"/>
    </row>
    <row r="37" spans="1:27">
      <c r="D37" s="764"/>
    </row>
    <row r="38" spans="1:27">
      <c r="D38" s="765"/>
    </row>
  </sheetData>
  <mergeCells count="2">
    <mergeCell ref="Q9:Q10"/>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7:J27 L27:V27" unlockedFormula="1"/>
    <ignoredError sqref="K27" formula="1" unlockedFormula="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6"/>
  <sheetViews>
    <sheetView topLeftCell="A7" workbookViewId="0">
      <selection activeCell="C18" sqref="C18"/>
    </sheetView>
  </sheetViews>
  <sheetFormatPr baseColWidth="10" defaultColWidth="14.77734375" defaultRowHeight="13.2"/>
  <cols>
    <col min="1" max="1" width="14.21875" style="791" customWidth="1"/>
    <col min="2" max="3" width="9.21875" style="791" customWidth="1"/>
    <col min="4" max="5" width="11.21875" style="791" customWidth="1"/>
    <col min="6" max="6" width="13.77734375" style="791" customWidth="1"/>
    <col min="7" max="7" width="11.21875" style="791" customWidth="1"/>
    <col min="8" max="8" width="12.44140625" style="791" customWidth="1"/>
    <col min="9" max="16384" width="14.77734375" style="791"/>
  </cols>
  <sheetData>
    <row r="1" spans="1:35" ht="15.6">
      <c r="A1" s="788" t="s">
        <v>180</v>
      </c>
      <c r="B1" s="789"/>
      <c r="C1" s="789"/>
      <c r="D1" s="789"/>
      <c r="E1" s="789"/>
      <c r="F1" s="790"/>
      <c r="G1" s="790"/>
      <c r="H1" s="790"/>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row>
    <row r="2" spans="1:35" ht="15.6">
      <c r="A2" s="788"/>
      <c r="B2" s="789"/>
      <c r="C2" s="789"/>
      <c r="D2" s="789"/>
      <c r="E2" s="789"/>
      <c r="F2" s="790"/>
      <c r="G2" s="790"/>
      <c r="H2" s="790"/>
      <c r="I2" s="701"/>
      <c r="J2" s="701"/>
      <c r="K2" s="701"/>
      <c r="L2" s="701"/>
      <c r="M2" s="701"/>
      <c r="N2" s="701"/>
      <c r="O2" s="701"/>
      <c r="P2" s="701"/>
      <c r="Q2" s="701"/>
      <c r="R2" s="701"/>
      <c r="S2" s="701"/>
      <c r="T2" s="701"/>
      <c r="U2" s="701"/>
      <c r="V2" s="701"/>
      <c r="W2" s="701"/>
      <c r="X2" s="701"/>
      <c r="Y2" s="701"/>
      <c r="Z2" s="701"/>
      <c r="AA2" s="701"/>
      <c r="AB2" s="701"/>
      <c r="AC2" s="701"/>
      <c r="AD2" s="701"/>
      <c r="AE2" s="701"/>
      <c r="AF2" s="701"/>
      <c r="AG2" s="701"/>
      <c r="AH2" s="701"/>
      <c r="AI2" s="701"/>
    </row>
    <row r="3" spans="1:35" ht="15.6">
      <c r="A3" s="788" t="s">
        <v>181</v>
      </c>
      <c r="B3" s="789"/>
      <c r="C3" s="789"/>
      <c r="D3" s="789"/>
      <c r="E3" s="789"/>
      <c r="F3" s="790"/>
      <c r="G3" s="790"/>
      <c r="H3" s="790"/>
      <c r="I3" s="701"/>
      <c r="J3" s="701"/>
      <c r="K3" s="701"/>
      <c r="L3" s="701"/>
      <c r="M3" s="701"/>
      <c r="N3" s="701"/>
      <c r="O3" s="701"/>
      <c r="P3" s="701"/>
      <c r="Q3" s="701"/>
      <c r="R3" s="701"/>
      <c r="S3" s="701"/>
      <c r="T3" s="701"/>
      <c r="U3" s="701"/>
      <c r="V3" s="701"/>
      <c r="W3" s="701"/>
      <c r="X3" s="701"/>
      <c r="Y3" s="701"/>
      <c r="Z3" s="701"/>
      <c r="AA3" s="701"/>
      <c r="AB3" s="701"/>
      <c r="AC3" s="701"/>
      <c r="AD3" s="701"/>
      <c r="AE3" s="701"/>
      <c r="AF3" s="701"/>
      <c r="AG3" s="701"/>
      <c r="AH3" s="701"/>
      <c r="AI3" s="701"/>
    </row>
    <row r="4" spans="1:35" ht="15.6">
      <c r="A4" s="788" t="s">
        <v>1648</v>
      </c>
      <c r="B4" s="789"/>
      <c r="C4" s="789"/>
      <c r="D4" s="789"/>
      <c r="E4" s="789"/>
      <c r="F4" s="790"/>
      <c r="G4" s="790"/>
      <c r="H4" s="790"/>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row>
    <row r="5" spans="1:35" ht="15.6">
      <c r="B5" s="792"/>
      <c r="C5" s="792"/>
      <c r="D5" s="792"/>
      <c r="E5" s="792"/>
      <c r="F5" s="792"/>
      <c r="G5" s="792"/>
      <c r="H5" s="792"/>
      <c r="I5" s="701"/>
      <c r="J5" s="701"/>
      <c r="K5" s="701"/>
      <c r="L5" s="701"/>
      <c r="M5" s="701"/>
      <c r="N5" s="701"/>
      <c r="O5" s="701"/>
      <c r="P5" s="701"/>
      <c r="Q5" s="701"/>
      <c r="R5" s="701"/>
      <c r="S5" s="701"/>
      <c r="T5" s="701"/>
      <c r="U5" s="701"/>
      <c r="V5" s="701"/>
      <c r="W5" s="701"/>
      <c r="X5" s="701"/>
      <c r="Y5" s="701"/>
      <c r="Z5" s="701"/>
      <c r="AA5" s="701"/>
      <c r="AB5" s="701"/>
      <c r="AC5" s="701"/>
      <c r="AD5" s="701"/>
      <c r="AE5" s="701"/>
      <c r="AF5" s="701"/>
      <c r="AG5" s="701"/>
      <c r="AH5" s="701"/>
      <c r="AI5" s="701"/>
    </row>
    <row r="6" spans="1:35" ht="15.6">
      <c r="I6" s="701"/>
      <c r="J6" s="701"/>
      <c r="K6" s="701"/>
      <c r="L6" s="701"/>
      <c r="M6" s="701"/>
      <c r="N6" s="701"/>
      <c r="O6" s="701"/>
      <c r="P6" s="701"/>
      <c r="Q6" s="701"/>
      <c r="R6" s="701"/>
      <c r="S6" s="701"/>
      <c r="T6" s="701"/>
      <c r="U6" s="701"/>
      <c r="V6" s="701"/>
      <c r="W6" s="701"/>
      <c r="X6" s="701"/>
      <c r="Y6" s="701"/>
      <c r="Z6" s="701"/>
      <c r="AA6" s="701"/>
      <c r="AB6" s="701"/>
      <c r="AC6" s="701"/>
      <c r="AD6" s="701"/>
      <c r="AE6" s="701"/>
      <c r="AF6" s="701"/>
      <c r="AG6" s="701"/>
      <c r="AH6" s="701"/>
      <c r="AI6" s="701"/>
    </row>
    <row r="7" spans="1:35" ht="17.25" customHeight="1">
      <c r="B7" s="793"/>
      <c r="C7" s="794" t="s">
        <v>182</v>
      </c>
      <c r="D7" s="794" t="s">
        <v>183</v>
      </c>
      <c r="E7" s="795" t="s">
        <v>661</v>
      </c>
      <c r="F7" s="796" t="s">
        <v>184</v>
      </c>
      <c r="G7" s="797" t="s">
        <v>185</v>
      </c>
      <c r="H7" s="798"/>
      <c r="I7" s="701"/>
      <c r="J7" s="701"/>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row>
    <row r="8" spans="1:35" ht="17.25" customHeight="1">
      <c r="B8" s="799" t="s">
        <v>640</v>
      </c>
      <c r="C8" s="800" t="s">
        <v>186</v>
      </c>
      <c r="D8" s="800" t="s">
        <v>186</v>
      </c>
      <c r="E8" s="801" t="s">
        <v>187</v>
      </c>
      <c r="F8" s="802" t="s">
        <v>188</v>
      </c>
      <c r="G8" s="803" t="s">
        <v>189</v>
      </c>
      <c r="H8" s="798"/>
      <c r="I8" s="701"/>
      <c r="J8" s="701"/>
      <c r="K8" s="701"/>
      <c r="L8" s="701"/>
      <c r="M8" s="701"/>
      <c r="N8" s="701"/>
      <c r="O8" s="701"/>
      <c r="P8" s="701"/>
      <c r="Q8" s="701"/>
      <c r="R8" s="701"/>
      <c r="S8" s="701"/>
      <c r="T8" s="701"/>
      <c r="U8" s="701"/>
      <c r="V8" s="701"/>
      <c r="W8" s="701"/>
      <c r="X8" s="701"/>
      <c r="Y8" s="701"/>
      <c r="Z8" s="701"/>
      <c r="AA8" s="701"/>
      <c r="AB8" s="701"/>
      <c r="AC8" s="701"/>
      <c r="AD8" s="701"/>
      <c r="AE8" s="701"/>
      <c r="AF8" s="701"/>
      <c r="AG8" s="701"/>
      <c r="AH8" s="701"/>
      <c r="AI8" s="701"/>
    </row>
    <row r="9" spans="1:35" ht="18.75" customHeight="1">
      <c r="B9" s="809">
        <v>2011</v>
      </c>
      <c r="C9" s="805">
        <f>+'84'!C9+'85'!C9+'86'!C9+'87'!C9+'88'!C9</f>
        <v>816</v>
      </c>
      <c r="D9" s="805">
        <f>+'84'!D9+'85'!D9+'86'!D9+'87'!D9+'88'!D9</f>
        <v>762</v>
      </c>
      <c r="E9" s="806">
        <f>+'84'!E9+'85'!E9+'86'!E9+'87'!E9+'88'!E9</f>
        <v>24229</v>
      </c>
      <c r="F9" s="807">
        <v>81.254692613601662</v>
      </c>
      <c r="G9" s="808">
        <v>9.9765570184489665</v>
      </c>
      <c r="H9" s="798"/>
      <c r="I9" s="701"/>
      <c r="J9" s="701"/>
      <c r="K9" s="701"/>
      <c r="L9" s="701"/>
      <c r="M9" s="701"/>
      <c r="N9" s="701"/>
      <c r="O9" s="701"/>
      <c r="P9" s="701"/>
      <c r="Q9" s="701"/>
      <c r="R9" s="701"/>
      <c r="S9" s="701"/>
      <c r="T9" s="701"/>
      <c r="U9" s="701"/>
      <c r="V9" s="701"/>
      <c r="W9" s="701"/>
      <c r="X9" s="701"/>
      <c r="Y9" s="701"/>
      <c r="Z9" s="701"/>
      <c r="AA9" s="701"/>
      <c r="AB9" s="701"/>
      <c r="AC9" s="701"/>
      <c r="AD9" s="701"/>
      <c r="AE9" s="701"/>
      <c r="AF9" s="701"/>
      <c r="AG9" s="701"/>
      <c r="AH9" s="701"/>
      <c r="AI9" s="701"/>
    </row>
    <row r="10" spans="1:35" ht="18.75" customHeight="1">
      <c r="B10" s="809">
        <v>2012</v>
      </c>
      <c r="C10" s="806">
        <f>+'84'!C10+'85'!C10+'86'!C10+'87'!C10+'88'!C10</f>
        <v>816</v>
      </c>
      <c r="D10" s="810">
        <f>+'84'!D10+'85'!D10+'86'!D10+'87'!D10+'88'!D10</f>
        <v>785</v>
      </c>
      <c r="E10" s="806">
        <f>+'84'!E10+'85'!E10+'86'!E10+'87'!E10+'88'!E10</f>
        <v>24975</v>
      </c>
      <c r="F10" s="807">
        <v>79.109242877358824</v>
      </c>
      <c r="G10" s="808">
        <v>9.3496696696696695</v>
      </c>
      <c r="H10" s="798"/>
      <c r="I10" s="701"/>
      <c r="J10" s="701"/>
      <c r="K10" s="701"/>
      <c r="L10" s="701"/>
      <c r="M10" s="701"/>
      <c r="N10" s="701"/>
      <c r="O10" s="701"/>
      <c r="P10" s="701"/>
      <c r="Q10" s="701"/>
      <c r="R10" s="701"/>
      <c r="S10" s="701"/>
      <c r="T10" s="701"/>
      <c r="U10" s="701"/>
      <c r="V10" s="701"/>
      <c r="W10" s="701"/>
      <c r="X10" s="701"/>
      <c r="Y10" s="701"/>
      <c r="Z10" s="701"/>
      <c r="AA10" s="701"/>
      <c r="AB10" s="701"/>
      <c r="AC10" s="701"/>
      <c r="AD10" s="701"/>
      <c r="AE10" s="701"/>
      <c r="AF10" s="701"/>
      <c r="AG10" s="701"/>
      <c r="AH10" s="701"/>
      <c r="AI10" s="701"/>
    </row>
    <row r="11" spans="1:35" ht="18.75" customHeight="1">
      <c r="B11" s="809">
        <v>2013</v>
      </c>
      <c r="C11" s="806">
        <f>+'84'!C11+'85'!C11+'86'!C11+'87'!C11+'88'!C11</f>
        <v>816</v>
      </c>
      <c r="D11" s="810">
        <f>+'84'!D11+'85'!D11+'86'!D11+'87'!D11+'88'!D11</f>
        <v>766</v>
      </c>
      <c r="E11" s="806">
        <f>+'84'!E11+'85'!E11+'86'!E11+'87'!E11+'88'!E11</f>
        <v>24175</v>
      </c>
      <c r="F11" s="807">
        <v>80.425263775961383</v>
      </c>
      <c r="G11" s="808">
        <v>9.5870941054808689</v>
      </c>
      <c r="H11" s="798"/>
      <c r="I11" s="701"/>
      <c r="J11" s="701"/>
      <c r="K11" s="701"/>
      <c r="L11" s="701"/>
      <c r="M11" s="701"/>
      <c r="N11" s="701"/>
      <c r="O11" s="701"/>
      <c r="P11" s="701"/>
      <c r="Q11" s="701"/>
      <c r="R11" s="701"/>
      <c r="S11" s="701"/>
      <c r="T11" s="701"/>
      <c r="U11" s="701"/>
      <c r="V11" s="701"/>
      <c r="W11" s="701"/>
      <c r="X11" s="701"/>
      <c r="Y11" s="701"/>
      <c r="Z11" s="701"/>
      <c r="AA11" s="701"/>
      <c r="AB11" s="701"/>
      <c r="AC11" s="701"/>
      <c r="AD11" s="701"/>
      <c r="AE11" s="701"/>
      <c r="AF11" s="701"/>
      <c r="AG11" s="701"/>
      <c r="AH11" s="701"/>
      <c r="AI11" s="701"/>
    </row>
    <row r="12" spans="1:35" ht="18.75" customHeight="1">
      <c r="B12" s="809">
        <v>2014</v>
      </c>
      <c r="C12" s="806">
        <f>+'84'!C12+'85'!C12+'86'!C12+'87'!C12+'88'!C12</f>
        <v>829</v>
      </c>
      <c r="D12" s="810">
        <f>+'84'!D12+'85'!D12+'86'!D12+'87'!D12+'88'!D12</f>
        <v>786</v>
      </c>
      <c r="E12" s="806">
        <f>+'84'!E12+'85'!E12+'86'!E12+'87'!E12+'88'!E12</f>
        <v>24626</v>
      </c>
      <c r="F12" s="807">
        <v>80.434570516662248</v>
      </c>
      <c r="G12" s="808">
        <v>9.6418419556566235</v>
      </c>
      <c r="H12" s="798"/>
      <c r="I12" s="701"/>
      <c r="J12" s="701"/>
      <c r="K12" s="701"/>
      <c r="L12" s="701"/>
      <c r="M12" s="701"/>
      <c r="N12" s="701"/>
      <c r="O12" s="701"/>
      <c r="P12" s="701"/>
      <c r="Q12" s="701"/>
      <c r="R12" s="701"/>
      <c r="S12" s="701"/>
      <c r="T12" s="701"/>
      <c r="U12" s="701"/>
      <c r="V12" s="701"/>
      <c r="W12" s="701"/>
      <c r="X12" s="701"/>
      <c r="Y12" s="701"/>
      <c r="Z12" s="701"/>
      <c r="AA12" s="701"/>
      <c r="AB12" s="701"/>
      <c r="AC12" s="701"/>
      <c r="AD12" s="701"/>
      <c r="AE12" s="701"/>
      <c r="AF12" s="701"/>
      <c r="AG12" s="701"/>
      <c r="AH12" s="701"/>
      <c r="AI12" s="701"/>
    </row>
    <row r="13" spans="1:35" ht="18" customHeight="1">
      <c r="B13" s="809">
        <v>2015</v>
      </c>
      <c r="C13" s="806">
        <f>+'84'!C13+'85'!C13+'86'!C13+'87'!C13+'88'!C13</f>
        <v>829</v>
      </c>
      <c r="D13" s="810">
        <f>+'84'!D13+'85'!D13+'86'!D13+'87'!D13+'88'!D13</f>
        <v>786</v>
      </c>
      <c r="E13" s="806">
        <f>+'84'!E13+'85'!E13+'86'!E13+'87'!E13+'88'!E13</f>
        <v>23665</v>
      </c>
      <c r="F13" s="807">
        <v>79.143192610942137</v>
      </c>
      <c r="G13" s="808">
        <v>9.5555884217198397</v>
      </c>
      <c r="H13" s="798"/>
      <c r="I13" s="701"/>
      <c r="J13" s="701"/>
      <c r="K13" s="701"/>
      <c r="L13" s="701"/>
      <c r="M13" s="701"/>
      <c r="N13" s="701"/>
      <c r="O13" s="701"/>
      <c r="P13" s="701"/>
      <c r="Q13" s="701"/>
      <c r="R13" s="701"/>
      <c r="S13" s="701"/>
      <c r="T13" s="701"/>
      <c r="U13" s="701"/>
      <c r="V13" s="701"/>
      <c r="W13" s="701"/>
      <c r="X13" s="701"/>
      <c r="Y13" s="701"/>
      <c r="Z13" s="701"/>
      <c r="AA13" s="701"/>
      <c r="AB13" s="701"/>
      <c r="AC13" s="701"/>
      <c r="AD13" s="701"/>
      <c r="AE13" s="701"/>
      <c r="AF13" s="701"/>
      <c r="AG13" s="701"/>
      <c r="AH13" s="701"/>
      <c r="AI13" s="701"/>
    </row>
    <row r="14" spans="1:35" ht="18" customHeight="1">
      <c r="B14" s="809">
        <v>2016</v>
      </c>
      <c r="C14" s="806">
        <f>+'84'!C14+'85'!C14+'86'!C14+'87'!C14+'88'!C14</f>
        <v>829</v>
      </c>
      <c r="D14" s="810">
        <f>+'84'!D14+'85'!D14+'86'!D14+'87'!D14+'88'!D14</f>
        <v>773</v>
      </c>
      <c r="E14" s="806">
        <f>+'84'!E14+'85'!E14+'86'!E14+'87'!E14+'88'!E14</f>
        <v>23155</v>
      </c>
      <c r="F14" s="807">
        <v>79.169135044821019</v>
      </c>
      <c r="G14" s="808">
        <v>13.571928309220471</v>
      </c>
      <c r="H14" s="798"/>
      <c r="I14" s="701"/>
      <c r="J14" s="701"/>
      <c r="K14" s="701"/>
      <c r="L14" s="701"/>
      <c r="M14" s="701"/>
      <c r="N14" s="701"/>
      <c r="O14" s="701"/>
      <c r="P14" s="701"/>
      <c r="Q14" s="701"/>
      <c r="R14" s="701"/>
      <c r="S14" s="701"/>
      <c r="T14" s="701"/>
      <c r="U14" s="701"/>
      <c r="V14" s="701"/>
      <c r="W14" s="701"/>
      <c r="X14" s="701"/>
      <c r="Y14" s="701"/>
      <c r="Z14" s="701"/>
      <c r="AA14" s="701"/>
      <c r="AB14" s="701"/>
      <c r="AC14" s="701"/>
      <c r="AD14" s="701"/>
      <c r="AE14" s="701"/>
      <c r="AF14" s="701"/>
      <c r="AG14" s="701"/>
      <c r="AH14" s="701"/>
      <c r="AI14" s="701"/>
    </row>
    <row r="15" spans="1:35" ht="18" customHeight="1">
      <c r="B15" s="809">
        <v>2017</v>
      </c>
      <c r="C15" s="806">
        <f>+'84'!C15+'85'!C15+'86'!C15+'87'!C15+'88'!C15</f>
        <v>829</v>
      </c>
      <c r="D15" s="810">
        <f>+'84'!D15+'85'!D15+'86'!D15+'87'!D15+'88'!D15</f>
        <v>772.67945205479452</v>
      </c>
      <c r="E15" s="806">
        <f>+'84'!E15+'85'!E15+'86'!E15+'87'!E15+'88'!E15</f>
        <v>23436</v>
      </c>
      <c r="F15" s="807">
        <v>79.112724640149906</v>
      </c>
      <c r="G15" s="808">
        <v>11.470558115719406</v>
      </c>
      <c r="H15" s="798"/>
      <c r="I15" s="701"/>
      <c r="J15" s="701"/>
      <c r="K15" s="701"/>
      <c r="L15" s="701"/>
      <c r="M15" s="701"/>
      <c r="N15" s="701"/>
      <c r="O15" s="701"/>
      <c r="P15" s="701"/>
      <c r="Q15" s="701"/>
      <c r="R15" s="701"/>
      <c r="S15" s="701"/>
      <c r="T15" s="701"/>
      <c r="U15" s="701"/>
      <c r="V15" s="701"/>
      <c r="W15" s="701"/>
      <c r="X15" s="701"/>
      <c r="Y15" s="701"/>
      <c r="Z15" s="701"/>
      <c r="AA15" s="701"/>
      <c r="AB15" s="701"/>
      <c r="AC15" s="701"/>
      <c r="AD15" s="701"/>
      <c r="AE15" s="701"/>
      <c r="AF15" s="701"/>
      <c r="AG15" s="701"/>
      <c r="AH15" s="701"/>
      <c r="AI15" s="701"/>
    </row>
    <row r="16" spans="1:35" ht="18" customHeight="1">
      <c r="B16" s="809">
        <v>2018</v>
      </c>
      <c r="C16" s="806">
        <f>+'84'!C16+'85'!C16+'86'!C16+'87'!C16+'88'!C16</f>
        <v>829</v>
      </c>
      <c r="D16" s="810">
        <f>+'84'!D16+'85'!D16+'86'!D16+'87'!D16+'88'!D16</f>
        <v>746.2027397260274</v>
      </c>
      <c r="E16" s="806">
        <f>+'84'!E16+'85'!E16+'86'!E16+'87'!E16+'88'!E16</f>
        <v>23706</v>
      </c>
      <c r="F16" s="813">
        <v>82.204696655945725</v>
      </c>
      <c r="G16" s="814">
        <v>9.7483337551674687</v>
      </c>
      <c r="H16" s="798"/>
      <c r="I16" s="701"/>
      <c r="J16" s="701"/>
      <c r="K16" s="701"/>
      <c r="L16" s="701"/>
      <c r="M16" s="701"/>
      <c r="N16" s="701"/>
      <c r="O16" s="701"/>
      <c r="P16" s="701"/>
      <c r="Q16" s="701"/>
      <c r="R16" s="701"/>
      <c r="S16" s="701"/>
      <c r="T16" s="701"/>
      <c r="U16" s="701"/>
      <c r="V16" s="701"/>
      <c r="W16" s="701"/>
      <c r="X16" s="701"/>
      <c r="Y16" s="701"/>
      <c r="Z16" s="701"/>
      <c r="AA16" s="701"/>
      <c r="AB16" s="701"/>
      <c r="AC16" s="701"/>
      <c r="AD16" s="701"/>
      <c r="AE16" s="701"/>
      <c r="AF16" s="701"/>
      <c r="AG16" s="701"/>
      <c r="AH16" s="701"/>
      <c r="AI16" s="701"/>
    </row>
    <row r="17" spans="2:35" ht="18" customHeight="1">
      <c r="B17" s="809">
        <v>2019</v>
      </c>
      <c r="C17" s="811">
        <f>+'84'!C17+'85'!C17+'86'!C17+'87'!C17+'88'!C17</f>
        <v>817</v>
      </c>
      <c r="D17" s="812">
        <f>+'84'!D17+'85'!D17+'86'!D17+'87'!D17+'88'!D17</f>
        <v>735.67123287671234</v>
      </c>
      <c r="E17" s="811">
        <f>+'84'!E17+'85'!E17+'86'!E17+'87'!E17+'88'!E17</f>
        <v>22872</v>
      </c>
      <c r="F17" s="813">
        <v>83.510725458066432</v>
      </c>
      <c r="G17" s="814">
        <v>9.3189052116124511</v>
      </c>
      <c r="H17" s="798"/>
      <c r="I17" s="701"/>
      <c r="J17" s="701"/>
      <c r="K17" s="701"/>
      <c r="L17" s="701"/>
      <c r="M17" s="701"/>
      <c r="N17" s="701"/>
      <c r="O17" s="701"/>
      <c r="P17" s="701"/>
      <c r="Q17" s="701"/>
      <c r="R17" s="701"/>
      <c r="S17" s="701"/>
      <c r="T17" s="701"/>
      <c r="U17" s="701"/>
      <c r="V17" s="701"/>
      <c r="W17" s="701"/>
      <c r="X17" s="701"/>
      <c r="Y17" s="701"/>
      <c r="Z17" s="701"/>
      <c r="AA17" s="701"/>
      <c r="AB17" s="701"/>
      <c r="AC17" s="701"/>
      <c r="AD17" s="701"/>
      <c r="AE17" s="701"/>
      <c r="AF17" s="701"/>
      <c r="AG17" s="701"/>
      <c r="AH17" s="701"/>
      <c r="AI17" s="701"/>
    </row>
    <row r="18" spans="2:35" ht="18.75" customHeight="1">
      <c r="B18" s="815">
        <v>2020</v>
      </c>
      <c r="C18" s="816">
        <f>+'84'!C18+'85'!C18+'86'!C18+'87'!C18+'88'!C18</f>
        <v>817</v>
      </c>
      <c r="D18" s="817">
        <f>+'84'!D18+'85'!D18+'86'!D18+'87'!D18+'88'!D18</f>
        <v>720.90136986301377</v>
      </c>
      <c r="E18" s="816">
        <f>+'84'!E18+'85'!E18+'86'!E18+'87'!E18+'88'!E18</f>
        <v>17330</v>
      </c>
      <c r="F18" s="818">
        <f>+'74'!V12</f>
        <v>74.851878736285244</v>
      </c>
      <c r="G18" s="819">
        <f>+'74'!W12</f>
        <v>9.7656664743219856</v>
      </c>
      <c r="H18" s="798"/>
      <c r="I18" s="701"/>
      <c r="J18" s="701"/>
      <c r="K18" s="701"/>
      <c r="L18" s="701"/>
      <c r="M18" s="701"/>
      <c r="N18" s="701"/>
      <c r="O18" s="701"/>
      <c r="P18" s="701"/>
      <c r="Q18" s="701"/>
      <c r="R18" s="701"/>
      <c r="S18" s="701"/>
      <c r="T18" s="701"/>
      <c r="U18" s="701"/>
      <c r="V18" s="701"/>
      <c r="W18" s="701"/>
      <c r="X18" s="701"/>
      <c r="Y18" s="701"/>
      <c r="Z18" s="701"/>
      <c r="AA18" s="701"/>
      <c r="AB18" s="701"/>
      <c r="AC18" s="701"/>
      <c r="AD18" s="701"/>
      <c r="AE18" s="701"/>
      <c r="AF18" s="701"/>
      <c r="AG18" s="701"/>
      <c r="AH18" s="701"/>
      <c r="AI18" s="701"/>
    </row>
    <row r="19" spans="2:35" ht="12" customHeight="1">
      <c r="B19" s="820"/>
      <c r="C19" s="820"/>
      <c r="D19" s="820"/>
      <c r="E19" s="806"/>
      <c r="F19" s="806"/>
      <c r="G19" s="821"/>
      <c r="H19" s="798"/>
      <c r="I19" s="701"/>
      <c r="J19" s="701"/>
      <c r="K19" s="701"/>
      <c r="L19" s="701"/>
      <c r="M19" s="701"/>
      <c r="N19" s="701"/>
      <c r="O19" s="701"/>
      <c r="P19" s="701"/>
      <c r="Q19" s="701"/>
      <c r="R19" s="701"/>
      <c r="S19" s="701"/>
      <c r="T19" s="701"/>
      <c r="U19" s="701"/>
      <c r="V19" s="701"/>
      <c r="W19" s="701"/>
      <c r="X19" s="701"/>
      <c r="Y19" s="701"/>
      <c r="Z19" s="701"/>
      <c r="AA19" s="701"/>
      <c r="AB19" s="701"/>
      <c r="AC19" s="701"/>
      <c r="AD19" s="701"/>
      <c r="AE19" s="701"/>
      <c r="AF19" s="701"/>
      <c r="AG19" s="701"/>
      <c r="AH19" s="701"/>
      <c r="AI19" s="701"/>
    </row>
    <row r="20" spans="2:35" ht="12" customHeight="1">
      <c r="B20" s="822"/>
      <c r="C20" s="822"/>
      <c r="D20" s="822"/>
      <c r="E20" s="798"/>
      <c r="F20" s="798"/>
      <c r="G20" s="798"/>
      <c r="H20" s="798"/>
      <c r="I20" s="701"/>
      <c r="J20" s="701"/>
      <c r="K20" s="701"/>
      <c r="L20" s="701"/>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row>
    <row r="21" spans="2:35" ht="12" customHeight="1">
      <c r="B21" s="822"/>
      <c r="C21" s="822"/>
      <c r="D21" s="822"/>
      <c r="E21" s="798"/>
      <c r="F21" s="798"/>
      <c r="G21" s="798"/>
      <c r="H21" s="798"/>
      <c r="I21" s="701"/>
      <c r="J21" s="701"/>
      <c r="K21" s="701"/>
      <c r="L21" s="701"/>
      <c r="M21" s="701"/>
      <c r="N21" s="701"/>
      <c r="O21" s="701"/>
      <c r="P21" s="701"/>
      <c r="Q21" s="701"/>
      <c r="R21" s="701"/>
      <c r="S21" s="701"/>
      <c r="T21" s="701"/>
      <c r="U21" s="701"/>
      <c r="V21" s="701"/>
      <c r="W21" s="701"/>
      <c r="X21" s="701"/>
      <c r="Y21" s="701"/>
      <c r="Z21" s="701"/>
      <c r="AA21" s="701"/>
      <c r="AB21" s="701"/>
      <c r="AC21" s="701"/>
      <c r="AD21" s="701"/>
      <c r="AE21" s="701"/>
      <c r="AF21" s="701"/>
      <c r="AG21" s="701"/>
      <c r="AH21" s="701"/>
      <c r="AI21" s="701"/>
    </row>
    <row r="22" spans="2:35" ht="12" customHeight="1">
      <c r="B22" s="822"/>
      <c r="C22" s="822"/>
      <c r="D22" s="822"/>
      <c r="E22" s="798"/>
      <c r="F22" s="798"/>
      <c r="G22" s="798"/>
      <c r="H22" s="798"/>
      <c r="I22" s="701"/>
      <c r="J22" s="701"/>
      <c r="K22" s="701"/>
      <c r="L22" s="701"/>
      <c r="M22" s="701"/>
      <c r="N22" s="701"/>
      <c r="O22" s="701"/>
      <c r="P22" s="701"/>
      <c r="Q22" s="701"/>
      <c r="R22" s="701"/>
      <c r="S22" s="701"/>
      <c r="T22" s="701"/>
      <c r="U22" s="701"/>
      <c r="V22" s="701"/>
      <c r="W22" s="701"/>
      <c r="X22" s="701"/>
      <c r="Y22" s="701"/>
      <c r="Z22" s="701"/>
      <c r="AA22" s="701"/>
      <c r="AB22" s="701"/>
      <c r="AC22" s="701"/>
      <c r="AD22" s="701"/>
      <c r="AE22" s="701"/>
      <c r="AF22" s="701"/>
      <c r="AG22" s="701"/>
      <c r="AH22" s="701"/>
      <c r="AI22" s="701"/>
    </row>
    <row r="23" spans="2:35" ht="12" customHeight="1">
      <c r="B23" s="822"/>
      <c r="C23" s="822"/>
      <c r="D23" s="822"/>
      <c r="E23" s="822"/>
      <c r="F23" s="822"/>
      <c r="G23" s="822"/>
      <c r="H23" s="822"/>
      <c r="I23" s="701"/>
      <c r="J23" s="701"/>
      <c r="K23" s="701"/>
      <c r="L23" s="701"/>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row>
    <row r="24" spans="2:35" ht="12" customHeight="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row>
    <row r="25" spans="2:35" ht="12" customHeight="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row>
    <row r="26" spans="2:35" ht="12" customHeight="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row>
    <row r="27" spans="2:35" ht="12" customHeight="1">
      <c r="I27" s="701"/>
      <c r="J27" s="701"/>
      <c r="K27" s="701"/>
      <c r="L27" s="701"/>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row>
    <row r="28" spans="2:35" ht="12" customHeight="1">
      <c r="I28" s="701"/>
      <c r="J28" s="701"/>
      <c r="K28" s="701"/>
      <c r="L28" s="701"/>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row>
    <row r="29" spans="2:35" ht="12" customHeight="1">
      <c r="I29" s="701"/>
      <c r="J29" s="701"/>
      <c r="K29" s="701"/>
      <c r="L29" s="701"/>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row>
    <row r="30" spans="2:35" ht="12" customHeight="1">
      <c r="I30" s="701"/>
      <c r="J30" s="701"/>
      <c r="K30" s="701"/>
      <c r="L30" s="701"/>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row>
    <row r="31" spans="2:35" ht="12" customHeight="1">
      <c r="I31" s="701"/>
      <c r="J31" s="701"/>
      <c r="K31" s="701"/>
      <c r="L31" s="701"/>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row>
    <row r="32" spans="2:35" ht="12" customHeight="1">
      <c r="I32" s="701"/>
      <c r="J32" s="701"/>
      <c r="K32" s="701"/>
      <c r="L32" s="701"/>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row>
    <row r="33" spans="2:35" ht="12" customHeight="1">
      <c r="I33" s="701"/>
      <c r="J33" s="701"/>
      <c r="K33" s="701"/>
      <c r="L33" s="701"/>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row>
    <row r="34" spans="2:35" ht="12" customHeight="1">
      <c r="I34" s="701"/>
      <c r="J34" s="701"/>
      <c r="K34" s="701"/>
      <c r="L34" s="701"/>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row>
    <row r="35" spans="2:35" ht="12" customHeight="1">
      <c r="B35" s="822"/>
      <c r="C35" s="822"/>
      <c r="D35" s="822"/>
      <c r="E35" s="798"/>
      <c r="F35" s="798"/>
      <c r="G35" s="798"/>
      <c r="I35" s="701"/>
      <c r="J35" s="701"/>
      <c r="K35" s="701"/>
      <c r="L35" s="701"/>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row>
    <row r="36" spans="2:35" ht="12" customHeight="1">
      <c r="B36" s="822"/>
      <c r="C36" s="822"/>
      <c r="D36" s="822"/>
      <c r="E36" s="798"/>
      <c r="F36" s="798"/>
      <c r="G36" s="798"/>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row>
    <row r="37" spans="2:35" ht="12" customHeight="1">
      <c r="B37" s="822"/>
      <c r="C37" s="822"/>
      <c r="D37" s="822"/>
      <c r="E37" s="798"/>
      <c r="F37" s="798"/>
      <c r="G37" s="798"/>
      <c r="I37" s="701"/>
      <c r="J37" s="701"/>
      <c r="K37" s="701"/>
      <c r="L37" s="701"/>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row>
    <row r="38" spans="2:35" ht="12" customHeight="1">
      <c r="B38" s="822"/>
      <c r="C38" s="822"/>
      <c r="D38" s="822"/>
      <c r="E38" s="822"/>
      <c r="F38" s="822"/>
      <c r="G38" s="822"/>
      <c r="I38" s="701"/>
      <c r="J38" s="701"/>
      <c r="K38" s="701"/>
      <c r="L38" s="701"/>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row>
    <row r="39" spans="2:35" ht="12" customHeight="1">
      <c r="I39" s="701"/>
      <c r="J39" s="701"/>
      <c r="K39" s="701"/>
      <c r="L39" s="701"/>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row>
    <row r="40" spans="2:35" ht="12" customHeight="1">
      <c r="I40" s="701"/>
      <c r="J40" s="701"/>
      <c r="K40" s="701"/>
      <c r="L40" s="701"/>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row>
    <row r="41" spans="2:35" ht="12" customHeight="1">
      <c r="I41" s="701"/>
      <c r="J41" s="701"/>
      <c r="K41" s="701"/>
      <c r="L41" s="701"/>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row>
    <row r="42" spans="2:35" ht="12" customHeight="1">
      <c r="I42" s="701"/>
      <c r="J42" s="701"/>
      <c r="K42" s="701"/>
      <c r="L42" s="701"/>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row>
    <row r="43" spans="2:35" ht="12" customHeight="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row>
    <row r="44" spans="2:35" ht="12" customHeight="1">
      <c r="I44" s="701"/>
      <c r="J44" s="701"/>
      <c r="K44" s="701"/>
      <c r="L44" s="701"/>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row>
    <row r="45" spans="2:35" ht="12" customHeight="1">
      <c r="I45" s="701"/>
      <c r="J45" s="701"/>
      <c r="K45" s="701"/>
      <c r="L45" s="701"/>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row>
    <row r="46" spans="2:35" ht="12" customHeight="1">
      <c r="I46" s="701"/>
      <c r="J46" s="701"/>
      <c r="K46" s="701"/>
      <c r="L46" s="701"/>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row>
    <row r="47" spans="2:35" ht="12" customHeight="1">
      <c r="I47" s="701"/>
      <c r="J47" s="701"/>
      <c r="K47" s="701"/>
      <c r="L47" s="701"/>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row>
    <row r="48" spans="2:35" ht="12" customHeight="1">
      <c r="I48" s="701"/>
      <c r="J48" s="701"/>
      <c r="K48" s="701"/>
      <c r="L48" s="701"/>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row>
    <row r="49" spans="2:35" ht="12" customHeight="1">
      <c r="I49" s="701"/>
      <c r="J49" s="701"/>
      <c r="K49" s="701"/>
      <c r="L49" s="701"/>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row>
    <row r="50" spans="2:35" ht="12" customHeight="1">
      <c r="B50" s="822"/>
      <c r="C50" s="822"/>
      <c r="D50" s="822"/>
      <c r="E50" s="798"/>
      <c r="F50" s="798"/>
      <c r="G50" s="798"/>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row>
    <row r="51" spans="2:35" ht="12" customHeight="1">
      <c r="B51" s="822"/>
      <c r="C51" s="822"/>
      <c r="D51" s="822"/>
      <c r="E51" s="798"/>
      <c r="F51" s="798"/>
      <c r="G51" s="798"/>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row>
    <row r="52" spans="2:35" ht="12" customHeight="1">
      <c r="B52" s="822"/>
      <c r="C52" s="822"/>
      <c r="D52" s="822"/>
      <c r="E52" s="798"/>
      <c r="F52" s="798"/>
      <c r="G52" s="798"/>
      <c r="I52" s="701"/>
      <c r="J52" s="701"/>
      <c r="K52" s="701"/>
      <c r="L52" s="701"/>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row>
    <row r="53" spans="2:35" ht="12" customHeight="1">
      <c r="B53" s="822"/>
      <c r="C53" s="822"/>
      <c r="D53" s="822"/>
      <c r="E53" s="822"/>
      <c r="F53" s="822"/>
      <c r="G53" s="822"/>
      <c r="I53" s="701"/>
      <c r="J53" s="701"/>
      <c r="K53" s="701"/>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row>
    <row r="54" spans="2:35" ht="12" customHeight="1">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row>
    <row r="55" spans="2:35" ht="12" customHeight="1">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row>
    <row r="56" spans="2:35" ht="12" customHeight="1">
      <c r="I56" s="701"/>
      <c r="J56" s="701"/>
      <c r="K56" s="701"/>
      <c r="L56" s="701"/>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row>
    <row r="57" spans="2:35" ht="12" customHeight="1">
      <c r="I57" s="701"/>
      <c r="J57" s="701"/>
      <c r="K57" s="701"/>
      <c r="L57" s="701"/>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row>
    <row r="58" spans="2:35" ht="12" customHeight="1">
      <c r="I58" s="701"/>
      <c r="J58" s="701"/>
      <c r="K58" s="701"/>
      <c r="L58" s="701"/>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row>
    <row r="59" spans="2:35" ht="12" customHeight="1">
      <c r="I59" s="701"/>
      <c r="J59" s="701"/>
      <c r="K59" s="701"/>
      <c r="L59" s="701"/>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row>
    <row r="60" spans="2:35" ht="12" customHeight="1">
      <c r="I60" s="701"/>
      <c r="J60" s="701"/>
      <c r="K60" s="701"/>
      <c r="L60" s="701"/>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row>
    <row r="61" spans="2:35" ht="12" customHeight="1">
      <c r="I61" s="701"/>
      <c r="J61" s="701"/>
      <c r="K61" s="701"/>
      <c r="L61" s="701"/>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row>
    <row r="62" spans="2:35" ht="12" customHeight="1">
      <c r="I62" s="701"/>
      <c r="J62" s="701"/>
      <c r="K62" s="701"/>
      <c r="L62" s="701"/>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row>
    <row r="63" spans="2:35" ht="12" customHeight="1"/>
    <row r="64" spans="2:35" ht="12" customHeight="1"/>
    <row r="65" ht="12" customHeight="1"/>
    <row r="66" ht="12" customHeight="1"/>
  </sheetData>
  <phoneticPr fontId="55" type="noConversion"/>
  <pageMargins left="0.98425196850393704"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4" workbookViewId="0">
      <selection activeCell="C18" sqref="C18"/>
    </sheetView>
  </sheetViews>
  <sheetFormatPr baseColWidth="10" defaultColWidth="14.77734375" defaultRowHeight="13.2"/>
  <cols>
    <col min="1" max="1" width="14.21875" style="791" customWidth="1"/>
    <col min="2" max="4" width="9.21875" style="791" customWidth="1"/>
    <col min="5" max="5" width="14.77734375" style="791" customWidth="1"/>
    <col min="6" max="6" width="13.77734375" style="791" customWidth="1"/>
    <col min="7" max="7" width="12.44140625" style="791" customWidth="1"/>
    <col min="8" max="8" width="12.21875" style="791" customWidth="1"/>
    <col min="9" max="16384" width="14.77734375" style="791"/>
  </cols>
  <sheetData>
    <row r="1" spans="1:9">
      <c r="A1" s="788" t="s">
        <v>180</v>
      </c>
      <c r="B1" s="789"/>
      <c r="C1" s="789"/>
      <c r="D1" s="789"/>
      <c r="E1" s="789"/>
      <c r="F1" s="790"/>
      <c r="G1" s="790"/>
      <c r="H1" s="790"/>
      <c r="I1" s="823"/>
    </row>
    <row r="2" spans="1:9">
      <c r="A2" s="788"/>
      <c r="B2" s="789"/>
      <c r="C2" s="789"/>
      <c r="D2" s="789"/>
      <c r="E2" s="789"/>
      <c r="F2" s="790"/>
      <c r="G2" s="790"/>
      <c r="H2" s="790"/>
      <c r="I2" s="823"/>
    </row>
    <row r="3" spans="1:9">
      <c r="A3" s="788" t="s">
        <v>190</v>
      </c>
      <c r="B3" s="789"/>
      <c r="C3" s="789"/>
      <c r="D3" s="789"/>
      <c r="E3" s="789"/>
      <c r="F3" s="790"/>
      <c r="G3" s="790"/>
      <c r="H3" s="790"/>
      <c r="I3" s="823"/>
    </row>
    <row r="4" spans="1:9">
      <c r="A4" s="788" t="str">
        <f>+'83'!A4</f>
        <v>2011  -  2020</v>
      </c>
      <c r="B4" s="789"/>
      <c r="C4" s="789"/>
      <c r="D4" s="789"/>
      <c r="E4" s="789"/>
      <c r="F4" s="790"/>
      <c r="G4" s="790"/>
      <c r="H4" s="790"/>
      <c r="I4" s="823"/>
    </row>
    <row r="5" spans="1:9">
      <c r="B5" s="792"/>
      <c r="C5" s="792"/>
      <c r="D5" s="792"/>
      <c r="E5" s="792"/>
      <c r="F5" s="792"/>
      <c r="G5" s="792"/>
      <c r="H5" s="792"/>
    </row>
    <row r="7" spans="1:9" ht="17.25" customHeight="1">
      <c r="B7" s="793"/>
      <c r="C7" s="794" t="s">
        <v>182</v>
      </c>
      <c r="D7" s="794" t="s">
        <v>183</v>
      </c>
      <c r="E7" s="795" t="s">
        <v>661</v>
      </c>
      <c r="F7" s="796" t="s">
        <v>184</v>
      </c>
      <c r="G7" s="797" t="s">
        <v>185</v>
      </c>
      <c r="H7" s="798"/>
      <c r="I7" s="824"/>
    </row>
    <row r="8" spans="1:9" ht="17.25" customHeight="1">
      <c r="B8" s="825" t="s">
        <v>640</v>
      </c>
      <c r="C8" s="800" t="s">
        <v>186</v>
      </c>
      <c r="D8" s="800" t="s">
        <v>186</v>
      </c>
      <c r="E8" s="801" t="s">
        <v>187</v>
      </c>
      <c r="F8" s="802" t="s">
        <v>188</v>
      </c>
      <c r="G8" s="803" t="s">
        <v>189</v>
      </c>
      <c r="H8" s="798"/>
      <c r="I8" s="824"/>
    </row>
    <row r="9" spans="1:9" ht="17.25" customHeight="1">
      <c r="B9" s="809">
        <v>2011</v>
      </c>
      <c r="C9" s="826">
        <v>226</v>
      </c>
      <c r="D9" s="827">
        <v>224</v>
      </c>
      <c r="E9" s="828">
        <v>10500</v>
      </c>
      <c r="F9" s="807">
        <v>68.17643395327822</v>
      </c>
      <c r="G9" s="808">
        <v>5.3314285714285718</v>
      </c>
      <c r="H9" s="798"/>
      <c r="I9" s="824"/>
    </row>
    <row r="10" spans="1:9" ht="17.25" customHeight="1">
      <c r="B10" s="809">
        <v>2012</v>
      </c>
      <c r="C10" s="804">
        <v>226</v>
      </c>
      <c r="D10" s="809">
        <v>226</v>
      </c>
      <c r="E10" s="828">
        <v>11443</v>
      </c>
      <c r="F10" s="807">
        <v>68.993356931581246</v>
      </c>
      <c r="G10" s="829">
        <v>4.9829590142445159</v>
      </c>
      <c r="H10" s="798"/>
      <c r="I10" s="824"/>
    </row>
    <row r="11" spans="1:9" ht="17.25" customHeight="1">
      <c r="B11" s="809">
        <v>2013</v>
      </c>
      <c r="C11" s="804">
        <v>226</v>
      </c>
      <c r="D11" s="809">
        <v>226</v>
      </c>
      <c r="E11" s="828">
        <v>11340</v>
      </c>
      <c r="F11" s="807">
        <v>69.163118502614111</v>
      </c>
      <c r="G11" s="829">
        <v>5.0448853615520282</v>
      </c>
      <c r="H11" s="798"/>
      <c r="I11" s="824"/>
    </row>
    <row r="12" spans="1:9" ht="17.25" customHeight="1">
      <c r="B12" s="809">
        <v>2014</v>
      </c>
      <c r="C12" s="804">
        <v>234</v>
      </c>
      <c r="D12" s="809">
        <v>233</v>
      </c>
      <c r="E12" s="830">
        <v>11948</v>
      </c>
      <c r="F12" s="813">
        <v>69.898782801324415</v>
      </c>
      <c r="G12" s="814">
        <v>5.0907264814194848</v>
      </c>
      <c r="H12" s="798"/>
      <c r="I12" s="824"/>
    </row>
    <row r="13" spans="1:9" ht="17.25" customHeight="1">
      <c r="B13" s="809">
        <v>2015</v>
      </c>
      <c r="C13" s="804">
        <v>234</v>
      </c>
      <c r="D13" s="809">
        <v>233</v>
      </c>
      <c r="E13" s="830">
        <v>11421</v>
      </c>
      <c r="F13" s="813">
        <v>64.493501618730349</v>
      </c>
      <c r="G13" s="814">
        <v>4.7750634795552056</v>
      </c>
      <c r="H13" s="798"/>
      <c r="I13" s="824"/>
    </row>
    <row r="14" spans="1:9" ht="17.25" customHeight="1">
      <c r="B14" s="809">
        <v>2016</v>
      </c>
      <c r="C14" s="804">
        <v>234</v>
      </c>
      <c r="D14" s="809">
        <v>233</v>
      </c>
      <c r="E14" s="830">
        <v>10752</v>
      </c>
      <c r="F14" s="813">
        <v>62.549711730791856</v>
      </c>
      <c r="G14" s="814">
        <v>5.0465959821428568</v>
      </c>
      <c r="H14" s="798"/>
      <c r="I14" s="824"/>
    </row>
    <row r="15" spans="1:9" ht="17.25" customHeight="1">
      <c r="B15" s="809">
        <v>2017</v>
      </c>
      <c r="C15" s="804">
        <v>234</v>
      </c>
      <c r="D15" s="809">
        <v>232</v>
      </c>
      <c r="E15" s="830">
        <v>11194</v>
      </c>
      <c r="F15" s="813">
        <v>65.759969724206442</v>
      </c>
      <c r="G15" s="814">
        <v>5.1546364123637662</v>
      </c>
      <c r="H15" s="798"/>
      <c r="I15" s="824"/>
    </row>
    <row r="16" spans="1:9" ht="17.25" customHeight="1">
      <c r="B16" s="809">
        <v>2018</v>
      </c>
      <c r="C16" s="804">
        <v>234</v>
      </c>
      <c r="D16" s="953">
        <v>222.03287671232877</v>
      </c>
      <c r="E16" s="830">
        <v>11761</v>
      </c>
      <c r="F16" s="813">
        <v>70.390661632240068</v>
      </c>
      <c r="G16" s="814">
        <v>4.85069296828501</v>
      </c>
      <c r="H16" s="798"/>
      <c r="I16" s="824"/>
    </row>
    <row r="17" spans="2:9" ht="17.25" customHeight="1">
      <c r="B17" s="809">
        <v>2019</v>
      </c>
      <c r="C17" s="804">
        <v>225</v>
      </c>
      <c r="D17" s="953">
        <v>224.89589041095891</v>
      </c>
      <c r="E17" s="830">
        <v>11046</v>
      </c>
      <c r="F17" s="813">
        <v>72.046730907451845</v>
      </c>
      <c r="G17" s="814">
        <v>5.4436900235379326</v>
      </c>
      <c r="H17" s="798"/>
      <c r="I17" s="824"/>
    </row>
    <row r="18" spans="2:9" ht="15" customHeight="1">
      <c r="B18" s="815">
        <f>+'83'!B18</f>
        <v>2020</v>
      </c>
      <c r="C18" s="831">
        <v>225</v>
      </c>
      <c r="D18" s="832">
        <f>+'76'!R12/365</f>
        <v>223.64931506849314</v>
      </c>
      <c r="E18" s="833">
        <f>+'76'!O12</f>
        <v>8460</v>
      </c>
      <c r="F18" s="818">
        <f>+'76'!V12</f>
        <v>61.376666013328105</v>
      </c>
      <c r="G18" s="819">
        <f>+'76'!W12</f>
        <v>5.949290780141844</v>
      </c>
      <c r="H18" s="798"/>
      <c r="I18" s="824"/>
    </row>
    <row r="19" spans="2:9" ht="15" customHeight="1">
      <c r="B19" s="820"/>
      <c r="C19" s="820"/>
      <c r="D19" s="820"/>
      <c r="E19" s="806"/>
      <c r="F19" s="806"/>
      <c r="G19" s="821"/>
      <c r="H19" s="798"/>
      <c r="I19" s="824"/>
    </row>
    <row r="20" spans="2:9">
      <c r="B20" s="822"/>
      <c r="C20" s="822"/>
      <c r="D20" s="822"/>
      <c r="E20" s="798"/>
      <c r="F20" s="798"/>
      <c r="G20" s="798"/>
      <c r="H20" s="798"/>
      <c r="I20" s="824"/>
    </row>
    <row r="21" spans="2:9">
      <c r="B21" s="822"/>
      <c r="C21" s="822"/>
      <c r="D21" s="822"/>
      <c r="E21" s="798"/>
      <c r="F21" s="798"/>
      <c r="G21" s="798"/>
      <c r="H21" s="798"/>
      <c r="I21" s="824"/>
    </row>
    <row r="22" spans="2:9">
      <c r="B22" s="822"/>
      <c r="C22" s="822"/>
      <c r="D22" s="822"/>
      <c r="E22" s="798"/>
      <c r="F22" s="798"/>
      <c r="G22" s="798"/>
      <c r="H22" s="798"/>
      <c r="I22" s="824"/>
    </row>
    <row r="23" spans="2:9">
      <c r="B23" s="822"/>
      <c r="C23" s="822"/>
      <c r="D23" s="822"/>
      <c r="E23" s="822"/>
      <c r="F23" s="822"/>
      <c r="G23" s="822"/>
      <c r="H23" s="822"/>
    </row>
    <row r="35" spans="2:7">
      <c r="B35" s="822"/>
      <c r="C35" s="822"/>
      <c r="D35" s="822"/>
      <c r="E35" s="798"/>
      <c r="F35" s="798"/>
      <c r="G35" s="798"/>
    </row>
    <row r="36" spans="2:7">
      <c r="B36" s="822"/>
      <c r="C36" s="822"/>
      <c r="D36" s="822"/>
      <c r="E36" s="798"/>
      <c r="F36" s="798"/>
      <c r="G36" s="798"/>
    </row>
    <row r="37" spans="2:7">
      <c r="B37" s="822"/>
      <c r="C37" s="822"/>
      <c r="D37" s="822"/>
      <c r="E37" s="798"/>
      <c r="F37" s="798"/>
      <c r="G37" s="798"/>
    </row>
    <row r="38" spans="2:7">
      <c r="B38" s="822"/>
      <c r="C38" s="822"/>
      <c r="D38" s="822"/>
      <c r="E38" s="822"/>
      <c r="F38" s="822"/>
      <c r="G38" s="822"/>
    </row>
    <row r="50" spans="2:7">
      <c r="B50" s="822"/>
      <c r="C50" s="822"/>
      <c r="D50" s="822"/>
      <c r="E50" s="798"/>
      <c r="F50" s="798"/>
      <c r="G50" s="798"/>
    </row>
    <row r="51" spans="2:7">
      <c r="B51" s="822"/>
      <c r="C51" s="822"/>
      <c r="D51" s="822"/>
      <c r="E51" s="798"/>
      <c r="F51" s="798"/>
      <c r="G51" s="798"/>
    </row>
    <row r="52" spans="2:7">
      <c r="B52" s="822"/>
      <c r="C52" s="822"/>
      <c r="D52" s="822"/>
      <c r="E52" s="798"/>
      <c r="F52" s="798"/>
      <c r="G52" s="798"/>
    </row>
    <row r="53" spans="2:7">
      <c r="B53" s="822"/>
      <c r="C53" s="822"/>
      <c r="D53" s="822"/>
      <c r="E53" s="822"/>
      <c r="F53" s="822"/>
      <c r="G53" s="822"/>
    </row>
  </sheetData>
  <phoneticPr fontId="55"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topLeftCell="A4" workbookViewId="0">
      <selection activeCell="D15" sqref="D15"/>
    </sheetView>
  </sheetViews>
  <sheetFormatPr baseColWidth="10" defaultColWidth="14.77734375" defaultRowHeight="13.2"/>
  <cols>
    <col min="1" max="1" width="11.21875" style="836" customWidth="1"/>
    <col min="2" max="4" width="9.21875" style="836" customWidth="1"/>
    <col min="5" max="5" width="14.77734375" style="836" customWidth="1"/>
    <col min="6" max="6" width="13.77734375" style="836" customWidth="1"/>
    <col min="7" max="7" width="12.44140625" style="836" customWidth="1"/>
    <col min="8" max="8" width="14.21875" style="836" customWidth="1"/>
    <col min="9" max="16384" width="14.77734375" style="836"/>
  </cols>
  <sheetData>
    <row r="1" spans="1:9" s="835" customFormat="1">
      <c r="A1" s="788" t="s">
        <v>180</v>
      </c>
      <c r="B1" s="789"/>
      <c r="C1" s="789"/>
      <c r="D1" s="789"/>
      <c r="E1" s="789"/>
      <c r="F1" s="789"/>
      <c r="G1" s="789"/>
      <c r="H1" s="789"/>
      <c r="I1" s="834"/>
    </row>
    <row r="2" spans="1:9" s="835" customFormat="1">
      <c r="A2" s="788"/>
      <c r="B2" s="789"/>
      <c r="C2" s="789"/>
      <c r="D2" s="789"/>
      <c r="E2" s="789"/>
      <c r="F2" s="789"/>
      <c r="G2" s="789"/>
      <c r="H2" s="789"/>
      <c r="I2" s="834"/>
    </row>
    <row r="3" spans="1:9" s="835" customFormat="1">
      <c r="A3" s="788" t="s">
        <v>191</v>
      </c>
      <c r="B3" s="789"/>
      <c r="C3" s="789"/>
      <c r="D3" s="789"/>
      <c r="E3" s="789"/>
      <c r="F3" s="789"/>
      <c r="G3" s="789"/>
      <c r="H3" s="789"/>
      <c r="I3" s="834"/>
    </row>
    <row r="4" spans="1:9" s="835" customFormat="1">
      <c r="A4" s="788" t="str">
        <f>+'84'!A4</f>
        <v>2011  -  2020</v>
      </c>
      <c r="B4" s="789"/>
      <c r="C4" s="789"/>
      <c r="D4" s="789"/>
      <c r="E4" s="789"/>
      <c r="F4" s="789"/>
      <c r="G4" s="789"/>
      <c r="H4" s="789"/>
      <c r="I4" s="834"/>
    </row>
    <row r="5" spans="1:9">
      <c r="B5" s="837"/>
      <c r="C5" s="837"/>
      <c r="D5" s="837"/>
      <c r="E5" s="837"/>
      <c r="F5" s="837"/>
      <c r="G5" s="837"/>
      <c r="H5" s="837"/>
      <c r="I5" s="838"/>
    </row>
    <row r="7" spans="1:9" ht="17.25" customHeight="1">
      <c r="B7" s="793"/>
      <c r="C7" s="794" t="s">
        <v>182</v>
      </c>
      <c r="D7" s="794" t="s">
        <v>183</v>
      </c>
      <c r="E7" s="839" t="s">
        <v>661</v>
      </c>
      <c r="F7" s="840" t="s">
        <v>184</v>
      </c>
      <c r="G7" s="841" t="s">
        <v>185</v>
      </c>
      <c r="H7" s="842"/>
    </row>
    <row r="8" spans="1:9" ht="17.25" customHeight="1">
      <c r="B8" s="825" t="s">
        <v>640</v>
      </c>
      <c r="C8" s="800" t="s">
        <v>186</v>
      </c>
      <c r="D8" s="800" t="s">
        <v>186</v>
      </c>
      <c r="E8" s="843" t="s">
        <v>187</v>
      </c>
      <c r="F8" s="844" t="s">
        <v>188</v>
      </c>
      <c r="G8" s="845" t="s">
        <v>189</v>
      </c>
      <c r="H8" s="842"/>
    </row>
    <row r="9" spans="1:9" ht="17.25" customHeight="1">
      <c r="B9" s="809">
        <v>2011</v>
      </c>
      <c r="C9" s="826">
        <v>163</v>
      </c>
      <c r="D9" s="827">
        <v>158</v>
      </c>
      <c r="E9" s="846">
        <v>10483</v>
      </c>
      <c r="F9" s="847">
        <v>82.908376234868513</v>
      </c>
      <c r="G9" s="848">
        <v>4.5489840694457691</v>
      </c>
      <c r="H9" s="842"/>
    </row>
    <row r="10" spans="1:9" ht="17.25" customHeight="1">
      <c r="B10" s="809">
        <v>2012</v>
      </c>
      <c r="C10" s="804">
        <v>163</v>
      </c>
      <c r="D10" s="809">
        <v>158</v>
      </c>
      <c r="E10" s="846">
        <v>10303</v>
      </c>
      <c r="F10" s="849">
        <v>80.20476635190758</v>
      </c>
      <c r="G10" s="850">
        <v>4.5715810928855669</v>
      </c>
      <c r="H10" s="842"/>
    </row>
    <row r="11" spans="1:9" ht="17.25" customHeight="1">
      <c r="B11" s="809">
        <v>2013</v>
      </c>
      <c r="C11" s="804">
        <v>163</v>
      </c>
      <c r="D11" s="809">
        <v>156</v>
      </c>
      <c r="E11" s="846">
        <v>10041</v>
      </c>
      <c r="F11" s="849">
        <v>80.940450953941038</v>
      </c>
      <c r="G11" s="850">
        <v>4.6188626630813667</v>
      </c>
      <c r="H11" s="842"/>
    </row>
    <row r="12" spans="1:9" ht="17.25" customHeight="1">
      <c r="B12" s="809">
        <v>2014</v>
      </c>
      <c r="C12" s="804">
        <v>168</v>
      </c>
      <c r="D12" s="809">
        <v>160</v>
      </c>
      <c r="E12" s="851">
        <v>9671</v>
      </c>
      <c r="F12" s="852">
        <v>78.718246380770282</v>
      </c>
      <c r="G12" s="853">
        <v>4.7527660014476272</v>
      </c>
      <c r="H12" s="842"/>
    </row>
    <row r="13" spans="1:9" ht="15" customHeight="1">
      <c r="B13" s="809">
        <v>2015</v>
      </c>
      <c r="C13" s="804">
        <v>168</v>
      </c>
      <c r="D13" s="809">
        <v>160</v>
      </c>
      <c r="E13" s="851">
        <v>9361</v>
      </c>
      <c r="F13" s="852">
        <v>80.627072862173904</v>
      </c>
      <c r="G13" s="853">
        <v>5.0138874051917526</v>
      </c>
      <c r="H13" s="842"/>
    </row>
    <row r="14" spans="1:9" ht="15" customHeight="1">
      <c r="B14" s="809">
        <v>2016</v>
      </c>
      <c r="C14" s="804">
        <v>168</v>
      </c>
      <c r="D14" s="809">
        <v>153</v>
      </c>
      <c r="E14" s="851">
        <v>9344</v>
      </c>
      <c r="F14" s="852">
        <v>87.477343287331976</v>
      </c>
      <c r="G14" s="853">
        <v>5.2456121575342465</v>
      </c>
      <c r="H14" s="842"/>
    </row>
    <row r="15" spans="1:9" ht="15" customHeight="1">
      <c r="B15" s="809">
        <v>2017</v>
      </c>
      <c r="C15" s="804">
        <v>168</v>
      </c>
      <c r="D15" s="953">
        <v>163.67945205479452</v>
      </c>
      <c r="E15" s="851">
        <v>9208</v>
      </c>
      <c r="F15" s="852">
        <v>82.351070418291684</v>
      </c>
      <c r="G15" s="853">
        <v>5.3322111207645522</v>
      </c>
      <c r="H15" s="842"/>
    </row>
    <row r="16" spans="1:9" ht="15" customHeight="1">
      <c r="B16" s="809">
        <v>2018</v>
      </c>
      <c r="C16" s="804">
        <v>168</v>
      </c>
      <c r="D16" s="953">
        <v>164.0958904109589</v>
      </c>
      <c r="E16" s="851">
        <v>9081</v>
      </c>
      <c r="F16" s="852">
        <v>86.102345771767261</v>
      </c>
      <c r="G16" s="853">
        <v>5.6168924127298752</v>
      </c>
      <c r="H16" s="842"/>
    </row>
    <row r="17" spans="1:8" ht="15" customHeight="1">
      <c r="B17" s="809">
        <v>2019</v>
      </c>
      <c r="C17" s="804">
        <v>168</v>
      </c>
      <c r="D17" s="953">
        <v>164.07671232876712</v>
      </c>
      <c r="E17" s="851">
        <v>9086</v>
      </c>
      <c r="F17" s="852">
        <v>84.714800961795362</v>
      </c>
      <c r="G17" s="853">
        <v>5.5651551837992512</v>
      </c>
      <c r="H17" s="842"/>
    </row>
    <row r="18" spans="1:8" ht="15" customHeight="1">
      <c r="B18" s="815">
        <f>+'83'!B18</f>
        <v>2020</v>
      </c>
      <c r="C18" s="831">
        <v>168</v>
      </c>
      <c r="D18" s="832">
        <f>+'78'!R12/365</f>
        <v>156.75342465753425</v>
      </c>
      <c r="E18" s="854">
        <f>+'78'!O12</f>
        <v>6807</v>
      </c>
      <c r="F18" s="855">
        <f>+'78'!V12</f>
        <v>71.36764834396574</v>
      </c>
      <c r="G18" s="856">
        <f>+'78'!W12</f>
        <v>6.079477008961363</v>
      </c>
      <c r="H18" s="842"/>
    </row>
    <row r="19" spans="1:8" ht="15" customHeight="1">
      <c r="B19" s="820"/>
      <c r="C19" s="820"/>
      <c r="D19" s="820"/>
      <c r="E19" s="806"/>
      <c r="F19" s="806"/>
      <c r="G19" s="821"/>
      <c r="H19" s="842"/>
    </row>
    <row r="20" spans="1:8">
      <c r="B20" s="822"/>
      <c r="C20" s="822"/>
      <c r="D20" s="822"/>
      <c r="E20" s="798"/>
      <c r="F20" s="798"/>
      <c r="G20" s="798"/>
      <c r="H20" s="842"/>
    </row>
    <row r="21" spans="1:8">
      <c r="B21" s="822"/>
      <c r="C21" s="822"/>
      <c r="D21" s="822"/>
      <c r="E21" s="798"/>
      <c r="F21" s="798"/>
      <c r="G21" s="798"/>
      <c r="H21" s="842"/>
    </row>
    <row r="22" spans="1:8">
      <c r="A22" s="791"/>
      <c r="B22" s="822"/>
      <c r="C22" s="822"/>
      <c r="D22" s="822"/>
      <c r="E22" s="798"/>
      <c r="F22" s="798"/>
      <c r="G22" s="798"/>
      <c r="H22" s="798"/>
    </row>
    <row r="23" spans="1:8">
      <c r="A23" s="791"/>
      <c r="B23" s="822"/>
      <c r="C23" s="822"/>
      <c r="D23" s="822"/>
      <c r="E23" s="822"/>
      <c r="F23" s="822"/>
      <c r="G23" s="822"/>
      <c r="H23" s="822"/>
    </row>
    <row r="24" spans="1:8">
      <c r="A24" s="791"/>
      <c r="B24" s="791"/>
      <c r="C24" s="791"/>
      <c r="D24" s="791"/>
      <c r="E24" s="791"/>
      <c r="F24" s="791"/>
      <c r="G24" s="791"/>
      <c r="H24" s="791"/>
    </row>
    <row r="25" spans="1:8">
      <c r="A25" s="791"/>
      <c r="B25" s="791"/>
      <c r="C25" s="791"/>
      <c r="D25" s="791"/>
      <c r="E25" s="791"/>
      <c r="F25" s="791"/>
      <c r="G25" s="791"/>
      <c r="H25" s="791"/>
    </row>
    <row r="26" spans="1:8">
      <c r="A26" s="791"/>
      <c r="B26" s="791"/>
      <c r="C26" s="791"/>
      <c r="D26" s="791"/>
      <c r="E26" s="791"/>
      <c r="F26" s="791"/>
      <c r="G26" s="791"/>
      <c r="H26" s="791"/>
    </row>
    <row r="27" spans="1:8">
      <c r="A27" s="791"/>
      <c r="B27" s="791"/>
      <c r="C27" s="791"/>
      <c r="D27" s="791"/>
      <c r="E27" s="791"/>
      <c r="F27" s="791"/>
      <c r="G27" s="791"/>
      <c r="H27" s="791"/>
    </row>
    <row r="28" spans="1:8">
      <c r="A28" s="791"/>
      <c r="B28" s="791"/>
      <c r="C28" s="791"/>
      <c r="D28" s="791"/>
      <c r="E28" s="791"/>
      <c r="F28" s="791"/>
      <c r="G28" s="791"/>
      <c r="H28" s="791"/>
    </row>
    <row r="29" spans="1:8">
      <c r="A29" s="791"/>
      <c r="B29" s="791"/>
      <c r="C29" s="791"/>
      <c r="D29" s="791"/>
      <c r="E29" s="791"/>
      <c r="F29" s="791"/>
      <c r="G29" s="791"/>
      <c r="H29" s="791"/>
    </row>
    <row r="30" spans="1:8">
      <c r="A30" s="791"/>
      <c r="B30" s="791"/>
      <c r="C30" s="791"/>
      <c r="D30" s="791"/>
      <c r="E30" s="791"/>
      <c r="F30" s="791"/>
      <c r="G30" s="791"/>
      <c r="H30" s="791"/>
    </row>
    <row r="31" spans="1:8">
      <c r="A31" s="791"/>
      <c r="B31" s="791"/>
      <c r="C31" s="791"/>
      <c r="D31" s="791"/>
      <c r="E31" s="791"/>
      <c r="F31" s="791"/>
      <c r="G31" s="791"/>
      <c r="H31" s="791"/>
    </row>
    <row r="32" spans="1:8">
      <c r="A32" s="791"/>
      <c r="B32" s="791"/>
      <c r="C32" s="791"/>
      <c r="D32" s="791"/>
      <c r="E32" s="791"/>
      <c r="F32" s="791"/>
      <c r="G32" s="791"/>
      <c r="H32" s="791"/>
    </row>
    <row r="33" spans="1:8">
      <c r="A33" s="791"/>
      <c r="B33" s="791"/>
      <c r="C33" s="791"/>
      <c r="D33" s="791"/>
      <c r="E33" s="791"/>
      <c r="F33" s="791"/>
      <c r="G33" s="791"/>
      <c r="H33" s="791"/>
    </row>
    <row r="34" spans="1:8">
      <c r="A34" s="791"/>
      <c r="B34" s="791"/>
      <c r="C34" s="791"/>
      <c r="D34" s="791"/>
      <c r="E34" s="791"/>
      <c r="F34" s="791"/>
      <c r="G34" s="791"/>
      <c r="H34" s="791"/>
    </row>
    <row r="35" spans="1:8">
      <c r="A35" s="791"/>
      <c r="B35" s="822"/>
      <c r="C35" s="822"/>
      <c r="D35" s="822"/>
      <c r="E35" s="798"/>
      <c r="F35" s="798"/>
      <c r="G35" s="798"/>
      <c r="H35" s="791"/>
    </row>
    <row r="36" spans="1:8">
      <c r="A36" s="791"/>
      <c r="B36" s="822"/>
      <c r="C36" s="822"/>
      <c r="D36" s="822"/>
      <c r="E36" s="798"/>
      <c r="F36" s="798"/>
      <c r="G36" s="798"/>
      <c r="H36" s="791"/>
    </row>
    <row r="37" spans="1:8">
      <c r="A37" s="791"/>
      <c r="B37" s="822"/>
      <c r="C37" s="822"/>
      <c r="D37" s="822"/>
      <c r="E37" s="798"/>
      <c r="F37" s="798"/>
      <c r="G37" s="798"/>
      <c r="H37" s="791"/>
    </row>
    <row r="38" spans="1:8">
      <c r="A38" s="791"/>
      <c r="B38" s="822"/>
      <c r="C38" s="822"/>
      <c r="D38" s="822"/>
      <c r="E38" s="822"/>
      <c r="F38" s="822"/>
      <c r="G38" s="822"/>
      <c r="H38" s="791"/>
    </row>
    <row r="39" spans="1:8">
      <c r="A39" s="791"/>
      <c r="B39" s="791"/>
      <c r="C39" s="791"/>
      <c r="D39" s="791"/>
      <c r="E39" s="791"/>
      <c r="F39" s="791"/>
      <c r="G39" s="791"/>
      <c r="H39" s="791"/>
    </row>
    <row r="40" spans="1:8">
      <c r="A40" s="791"/>
      <c r="B40" s="791"/>
      <c r="C40" s="791"/>
      <c r="D40" s="791"/>
      <c r="E40" s="791"/>
      <c r="F40" s="791"/>
      <c r="G40" s="791"/>
      <c r="H40" s="791"/>
    </row>
    <row r="41" spans="1:8">
      <c r="A41" s="791"/>
      <c r="B41" s="791"/>
      <c r="C41" s="791"/>
      <c r="D41" s="791"/>
      <c r="E41" s="791"/>
      <c r="F41" s="791"/>
      <c r="G41" s="791"/>
      <c r="H41" s="791"/>
    </row>
    <row r="42" spans="1:8">
      <c r="A42" s="791"/>
      <c r="B42" s="791"/>
      <c r="C42" s="791"/>
      <c r="D42" s="791"/>
      <c r="E42" s="791"/>
      <c r="F42" s="791"/>
      <c r="G42" s="791"/>
      <c r="H42" s="791"/>
    </row>
    <row r="43" spans="1:8">
      <c r="A43" s="791"/>
      <c r="B43" s="791"/>
      <c r="C43" s="791"/>
      <c r="D43" s="791"/>
      <c r="E43" s="791"/>
      <c r="F43" s="791"/>
      <c r="G43" s="791"/>
      <c r="H43" s="791"/>
    </row>
    <row r="44" spans="1:8">
      <c r="A44" s="791"/>
      <c r="B44" s="791"/>
      <c r="C44" s="791"/>
      <c r="D44" s="791"/>
      <c r="E44" s="791"/>
      <c r="F44" s="791"/>
      <c r="G44" s="791"/>
      <c r="H44" s="791"/>
    </row>
    <row r="45" spans="1:8">
      <c r="A45" s="791"/>
      <c r="B45" s="791"/>
      <c r="C45" s="791"/>
      <c r="D45" s="791"/>
      <c r="E45" s="791"/>
      <c r="F45" s="791"/>
      <c r="G45" s="791"/>
      <c r="H45" s="791"/>
    </row>
    <row r="46" spans="1:8">
      <c r="A46" s="791"/>
      <c r="B46" s="791"/>
      <c r="C46" s="791"/>
      <c r="D46" s="791"/>
      <c r="E46" s="791"/>
      <c r="F46" s="791"/>
      <c r="G46" s="791"/>
      <c r="H46" s="791"/>
    </row>
    <row r="47" spans="1:8">
      <c r="A47" s="791"/>
      <c r="B47" s="791"/>
      <c r="C47" s="791"/>
      <c r="D47" s="791"/>
      <c r="E47" s="791"/>
      <c r="F47" s="791"/>
      <c r="G47" s="791"/>
      <c r="H47" s="791"/>
    </row>
    <row r="48" spans="1:8">
      <c r="A48" s="791"/>
      <c r="B48" s="791"/>
      <c r="C48" s="791"/>
      <c r="D48" s="791"/>
      <c r="E48" s="791"/>
      <c r="F48" s="791"/>
      <c r="G48" s="791"/>
      <c r="H48" s="791"/>
    </row>
    <row r="49" spans="1:8">
      <c r="A49" s="791"/>
      <c r="B49" s="791"/>
      <c r="C49" s="791"/>
      <c r="D49" s="791"/>
      <c r="E49" s="791"/>
      <c r="F49" s="791"/>
      <c r="G49" s="791"/>
      <c r="H49" s="791"/>
    </row>
    <row r="50" spans="1:8" ht="15" customHeight="1">
      <c r="A50" s="791"/>
      <c r="B50" s="822"/>
      <c r="C50" s="822"/>
      <c r="D50" s="822"/>
      <c r="E50" s="798"/>
      <c r="F50" s="798"/>
      <c r="G50" s="798"/>
      <c r="H50" s="791"/>
    </row>
    <row r="51" spans="1:8">
      <c r="A51" s="791"/>
      <c r="B51" s="822"/>
      <c r="C51" s="822"/>
      <c r="D51" s="822"/>
      <c r="E51" s="798"/>
      <c r="F51" s="798"/>
      <c r="G51" s="798"/>
      <c r="H51" s="791"/>
    </row>
    <row r="52" spans="1:8">
      <c r="A52" s="791"/>
      <c r="B52" s="822"/>
      <c r="C52" s="822"/>
      <c r="D52" s="822"/>
      <c r="E52" s="798"/>
      <c r="F52" s="798"/>
      <c r="G52" s="798"/>
      <c r="H52" s="791"/>
    </row>
    <row r="53" spans="1:8">
      <c r="A53" s="791"/>
      <c r="B53" s="822"/>
      <c r="C53" s="822"/>
      <c r="D53" s="822"/>
      <c r="E53" s="822"/>
      <c r="F53" s="822"/>
      <c r="G53" s="822"/>
      <c r="H53" s="791"/>
    </row>
    <row r="54" spans="1:8">
      <c r="A54" s="791"/>
      <c r="B54" s="791"/>
      <c r="C54" s="791"/>
      <c r="D54" s="791"/>
      <c r="E54" s="791"/>
      <c r="F54" s="791"/>
      <c r="G54" s="791"/>
      <c r="H54" s="791"/>
    </row>
    <row r="55" spans="1:8">
      <c r="A55" s="791"/>
      <c r="B55" s="791"/>
      <c r="C55" s="791"/>
      <c r="D55" s="791"/>
      <c r="E55" s="791"/>
      <c r="F55" s="791"/>
      <c r="G55" s="791"/>
      <c r="H55" s="791"/>
    </row>
    <row r="56" spans="1:8">
      <c r="A56" s="791"/>
      <c r="B56" s="791"/>
      <c r="C56" s="791"/>
      <c r="D56" s="791"/>
      <c r="E56" s="791"/>
      <c r="F56" s="791"/>
      <c r="G56" s="791"/>
      <c r="H56" s="791"/>
    </row>
    <row r="57" spans="1:8">
      <c r="A57" s="791"/>
      <c r="B57" s="791"/>
      <c r="C57" s="791"/>
      <c r="D57" s="791"/>
      <c r="E57" s="791"/>
      <c r="F57" s="791"/>
      <c r="G57" s="791"/>
      <c r="H57" s="791"/>
    </row>
    <row r="58" spans="1:8">
      <c r="A58" s="791"/>
      <c r="B58" s="791"/>
      <c r="C58" s="791"/>
      <c r="D58" s="791"/>
      <c r="E58" s="791"/>
      <c r="F58" s="791"/>
      <c r="G58" s="791"/>
      <c r="H58" s="791"/>
    </row>
    <row r="59" spans="1:8">
      <c r="A59" s="791"/>
      <c r="B59" s="791"/>
      <c r="C59" s="791"/>
      <c r="D59" s="791"/>
      <c r="E59" s="791"/>
      <c r="F59" s="791"/>
      <c r="G59" s="791"/>
      <c r="H59" s="791"/>
    </row>
    <row r="60" spans="1:8">
      <c r="A60" s="791"/>
      <c r="B60" s="791"/>
      <c r="C60" s="791"/>
      <c r="D60" s="791"/>
      <c r="E60" s="791"/>
      <c r="F60" s="791"/>
      <c r="G60" s="791"/>
      <c r="H60" s="791"/>
    </row>
    <row r="61" spans="1:8">
      <c r="A61" s="791"/>
      <c r="B61" s="791"/>
      <c r="C61" s="791"/>
      <c r="D61" s="791"/>
      <c r="E61" s="791"/>
      <c r="F61" s="791"/>
      <c r="G61" s="791"/>
      <c r="H61" s="791"/>
    </row>
    <row r="62" spans="1:8">
      <c r="A62" s="791"/>
      <c r="B62" s="791"/>
      <c r="C62" s="791"/>
      <c r="D62" s="791"/>
      <c r="E62" s="791"/>
      <c r="F62" s="791"/>
      <c r="G62" s="791"/>
      <c r="H62" s="791"/>
    </row>
    <row r="63" spans="1:8">
      <c r="A63" s="791"/>
      <c r="B63" s="791"/>
      <c r="C63" s="791"/>
      <c r="D63" s="791"/>
      <c r="E63" s="791"/>
      <c r="F63" s="791"/>
      <c r="G63" s="791"/>
      <c r="H63" s="791"/>
    </row>
    <row r="64" spans="1:8">
      <c r="A64" s="791"/>
      <c r="B64" s="791"/>
      <c r="C64" s="791"/>
      <c r="D64" s="791"/>
      <c r="E64" s="791"/>
      <c r="F64" s="791"/>
      <c r="G64" s="791"/>
      <c r="H64" s="791"/>
    </row>
    <row r="65" spans="1:8">
      <c r="A65" s="791"/>
      <c r="B65" s="791"/>
      <c r="C65" s="791"/>
      <c r="D65" s="791"/>
      <c r="E65" s="791"/>
      <c r="F65" s="791"/>
      <c r="G65" s="791"/>
      <c r="H65" s="791"/>
    </row>
    <row r="66" spans="1:8">
      <c r="A66" s="791"/>
      <c r="B66" s="791"/>
      <c r="C66" s="791"/>
      <c r="D66" s="791"/>
      <c r="E66" s="791"/>
      <c r="F66" s="791"/>
      <c r="G66" s="791"/>
      <c r="H66" s="791"/>
    </row>
    <row r="67" spans="1:8">
      <c r="A67" s="791"/>
      <c r="B67" s="791"/>
      <c r="C67" s="791"/>
      <c r="D67" s="791"/>
      <c r="E67" s="791"/>
      <c r="F67" s="791"/>
      <c r="G67" s="791"/>
      <c r="H67" s="791"/>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7" workbookViewId="0">
      <selection activeCell="B17" sqref="B17"/>
    </sheetView>
  </sheetViews>
  <sheetFormatPr baseColWidth="10" defaultColWidth="14.77734375" defaultRowHeight="13.2"/>
  <cols>
    <col min="1" max="1" width="13.77734375" style="791" customWidth="1"/>
    <col min="2" max="4" width="9.21875" style="791" customWidth="1"/>
    <col min="5" max="5" width="14.77734375" style="791" customWidth="1"/>
    <col min="6" max="6" width="13.77734375" style="791" customWidth="1"/>
    <col min="7" max="7" width="12.44140625" style="791" customWidth="1"/>
    <col min="8" max="8" width="12.77734375" style="791" customWidth="1"/>
    <col min="9" max="16384" width="14.77734375" style="791"/>
  </cols>
  <sheetData>
    <row r="1" spans="1:9" s="835" customFormat="1">
      <c r="A1" s="788" t="s">
        <v>180</v>
      </c>
      <c r="B1" s="789"/>
      <c r="C1" s="789"/>
      <c r="D1" s="789"/>
      <c r="E1" s="789"/>
      <c r="F1" s="789"/>
      <c r="G1" s="789"/>
      <c r="H1" s="789"/>
      <c r="I1" s="834"/>
    </row>
    <row r="2" spans="1:9" s="835" customFormat="1">
      <c r="A2" s="788"/>
      <c r="B2" s="789"/>
      <c r="C2" s="789"/>
      <c r="D2" s="789"/>
      <c r="E2" s="789"/>
      <c r="F2" s="789"/>
      <c r="G2" s="789"/>
      <c r="H2" s="789"/>
      <c r="I2" s="834"/>
    </row>
    <row r="3" spans="1:9" s="835" customFormat="1">
      <c r="A3" s="788" t="s">
        <v>192</v>
      </c>
      <c r="B3" s="789"/>
      <c r="C3" s="789"/>
      <c r="D3" s="789"/>
      <c r="E3" s="789"/>
      <c r="F3" s="789"/>
      <c r="G3" s="789"/>
      <c r="H3" s="789"/>
      <c r="I3" s="834"/>
    </row>
    <row r="4" spans="1:9" s="835" customFormat="1">
      <c r="A4" s="788" t="str">
        <f>+'85'!A4</f>
        <v>2011  -  2020</v>
      </c>
      <c r="B4" s="789"/>
      <c r="C4" s="789"/>
      <c r="D4" s="789"/>
      <c r="E4" s="789"/>
      <c r="F4" s="789"/>
      <c r="G4" s="789"/>
      <c r="H4" s="789"/>
      <c r="I4" s="834"/>
    </row>
    <row r="5" spans="1:9">
      <c r="B5" s="792"/>
      <c r="C5" s="792"/>
      <c r="D5" s="792"/>
      <c r="E5" s="792"/>
      <c r="F5" s="792"/>
      <c r="G5" s="792"/>
      <c r="H5" s="792"/>
    </row>
    <row r="7" spans="1:9" ht="17.25" customHeight="1">
      <c r="B7" s="793"/>
      <c r="C7" s="794" t="s">
        <v>182</v>
      </c>
      <c r="D7" s="794" t="s">
        <v>183</v>
      </c>
      <c r="E7" s="795" t="s">
        <v>661</v>
      </c>
      <c r="F7" s="796" t="s">
        <v>184</v>
      </c>
      <c r="G7" s="797" t="s">
        <v>185</v>
      </c>
      <c r="H7" s="798"/>
      <c r="I7" s="824"/>
    </row>
    <row r="8" spans="1:9" ht="17.25" customHeight="1">
      <c r="B8" s="825" t="s">
        <v>640</v>
      </c>
      <c r="C8" s="800" t="s">
        <v>186</v>
      </c>
      <c r="D8" s="800" t="s">
        <v>186</v>
      </c>
      <c r="E8" s="801" t="s">
        <v>187</v>
      </c>
      <c r="F8" s="802" t="s">
        <v>188</v>
      </c>
      <c r="G8" s="803" t="s">
        <v>189</v>
      </c>
      <c r="H8" s="798"/>
      <c r="I8" s="824"/>
    </row>
    <row r="9" spans="1:9" ht="17.25" customHeight="1">
      <c r="B9" s="809">
        <v>2011</v>
      </c>
      <c r="C9" s="826">
        <v>45</v>
      </c>
      <c r="D9" s="827">
        <v>43</v>
      </c>
      <c r="E9" s="806">
        <v>1863</v>
      </c>
      <c r="F9" s="807">
        <v>45.050415371932274</v>
      </c>
      <c r="G9" s="808">
        <v>3.595276435856146</v>
      </c>
      <c r="H9" s="798"/>
      <c r="I9" s="824"/>
    </row>
    <row r="10" spans="1:9" ht="17.25" customHeight="1">
      <c r="B10" s="809">
        <v>2012</v>
      </c>
      <c r="C10" s="804">
        <v>45</v>
      </c>
      <c r="D10" s="809">
        <v>44</v>
      </c>
      <c r="E10" s="857">
        <v>1709</v>
      </c>
      <c r="F10" s="807">
        <v>38.77563627378305</v>
      </c>
      <c r="G10" s="808">
        <v>3.9531889994148623</v>
      </c>
      <c r="H10" s="798"/>
      <c r="I10" s="824"/>
    </row>
    <row r="11" spans="1:9" ht="17.25" customHeight="1">
      <c r="B11" s="809">
        <v>2013</v>
      </c>
      <c r="C11" s="804">
        <v>45</v>
      </c>
      <c r="D11" s="809">
        <v>35</v>
      </c>
      <c r="E11" s="857">
        <v>1248</v>
      </c>
      <c r="F11" s="807">
        <v>43.671489903005245</v>
      </c>
      <c r="G11" s="808">
        <v>4.0376602564102564</v>
      </c>
      <c r="H11" s="798"/>
      <c r="I11" s="824"/>
    </row>
    <row r="12" spans="1:9" ht="17.25" customHeight="1">
      <c r="B12" s="809">
        <v>2014</v>
      </c>
      <c r="C12" s="804">
        <v>45</v>
      </c>
      <c r="D12" s="809">
        <v>44</v>
      </c>
      <c r="E12" s="811">
        <v>1480</v>
      </c>
      <c r="F12" s="813">
        <v>49.95308101345011</v>
      </c>
      <c r="G12" s="814">
        <v>5.5182432432432433</v>
      </c>
      <c r="H12" s="798"/>
      <c r="I12" s="824"/>
    </row>
    <row r="13" spans="1:9" ht="15" customHeight="1">
      <c r="B13" s="809">
        <v>2015</v>
      </c>
      <c r="C13" s="804">
        <v>45</v>
      </c>
      <c r="D13" s="809">
        <v>44</v>
      </c>
      <c r="E13" s="811">
        <v>1442</v>
      </c>
      <c r="F13" s="813">
        <v>52.73520249221184</v>
      </c>
      <c r="G13" s="814">
        <v>6.0208044382801669</v>
      </c>
      <c r="H13" s="798"/>
      <c r="I13" s="824"/>
    </row>
    <row r="14" spans="1:9" ht="15" customHeight="1">
      <c r="B14" s="809">
        <v>2016</v>
      </c>
      <c r="C14" s="804">
        <v>45</v>
      </c>
      <c r="D14" s="809">
        <v>44</v>
      </c>
      <c r="E14" s="811">
        <v>1558</v>
      </c>
      <c r="F14" s="813">
        <v>61.449004975124375</v>
      </c>
      <c r="G14" s="814">
        <v>6.4268292682926829</v>
      </c>
      <c r="H14" s="798"/>
      <c r="I14" s="824"/>
    </row>
    <row r="15" spans="1:9" ht="15" customHeight="1">
      <c r="B15" s="809">
        <v>2017</v>
      </c>
      <c r="C15" s="804">
        <v>45</v>
      </c>
      <c r="D15" s="809">
        <v>44</v>
      </c>
      <c r="E15" s="811">
        <v>1514</v>
      </c>
      <c r="F15" s="813">
        <v>58.069738480697389</v>
      </c>
      <c r="G15" s="814">
        <v>6.1717305151915456</v>
      </c>
      <c r="H15" s="798"/>
      <c r="I15" s="824"/>
    </row>
    <row r="16" spans="1:9" ht="15" customHeight="1">
      <c r="B16" s="809">
        <v>2018</v>
      </c>
      <c r="C16" s="804">
        <v>45</v>
      </c>
      <c r="D16" s="953">
        <v>40.232876712328768</v>
      </c>
      <c r="E16" s="811">
        <v>1416</v>
      </c>
      <c r="F16" s="813">
        <v>50.956758597208044</v>
      </c>
      <c r="G16" s="814">
        <v>5.3248587570621471</v>
      </c>
      <c r="H16" s="798"/>
      <c r="I16" s="824"/>
    </row>
    <row r="17" spans="2:9" ht="15" customHeight="1">
      <c r="B17" s="809">
        <v>2019</v>
      </c>
      <c r="C17" s="804">
        <v>42</v>
      </c>
      <c r="D17" s="953">
        <v>37.016438356164386</v>
      </c>
      <c r="E17" s="811">
        <v>1408</v>
      </c>
      <c r="F17" s="813">
        <v>64.969284286877354</v>
      </c>
      <c r="G17" s="814">
        <v>6.1789772727272725</v>
      </c>
      <c r="H17" s="798"/>
      <c r="I17" s="824"/>
    </row>
    <row r="18" spans="2:9" ht="15" customHeight="1">
      <c r="B18" s="815">
        <f>+'83'!B18</f>
        <v>2020</v>
      </c>
      <c r="C18" s="831">
        <v>42</v>
      </c>
      <c r="D18" s="832">
        <f>+'80'!R12/365</f>
        <v>39.531506849315072</v>
      </c>
      <c r="E18" s="816">
        <f>+'80'!O12</f>
        <v>1025</v>
      </c>
      <c r="F18" s="818">
        <f>+'80'!V12</f>
        <v>46.212488737958282</v>
      </c>
      <c r="G18" s="819">
        <f>+'80'!W12</f>
        <v>6.5434146341463411</v>
      </c>
      <c r="H18" s="798"/>
      <c r="I18" s="824"/>
    </row>
    <row r="19" spans="2:9" ht="15" customHeight="1">
      <c r="B19" s="820"/>
      <c r="C19" s="820"/>
      <c r="D19" s="820"/>
      <c r="E19" s="806"/>
      <c r="F19" s="806"/>
      <c r="G19" s="821"/>
      <c r="H19" s="798"/>
      <c r="I19" s="824"/>
    </row>
    <row r="20" spans="2:9">
      <c r="B20" s="822"/>
      <c r="C20" s="822"/>
      <c r="D20" s="822"/>
      <c r="E20" s="798"/>
      <c r="F20" s="798"/>
      <c r="G20" s="798"/>
      <c r="H20" s="798"/>
      <c r="I20" s="824"/>
    </row>
    <row r="21" spans="2:9">
      <c r="B21" s="822"/>
      <c r="C21" s="822"/>
      <c r="D21" s="822"/>
      <c r="E21" s="798"/>
      <c r="F21" s="798"/>
      <c r="G21" s="798"/>
      <c r="H21" s="798"/>
      <c r="I21" s="824"/>
    </row>
    <row r="22" spans="2:9">
      <c r="B22" s="822"/>
      <c r="C22" s="822"/>
      <c r="D22" s="822"/>
      <c r="E22" s="798"/>
      <c r="F22" s="798"/>
      <c r="G22" s="798"/>
      <c r="H22" s="798"/>
      <c r="I22" s="824"/>
    </row>
    <row r="23" spans="2:9">
      <c r="B23" s="822"/>
      <c r="C23" s="822"/>
      <c r="D23" s="822"/>
      <c r="E23" s="822"/>
      <c r="F23" s="822"/>
      <c r="G23" s="822"/>
      <c r="H23" s="822"/>
    </row>
    <row r="35" spans="2:7">
      <c r="B35" s="822"/>
      <c r="C35" s="822"/>
      <c r="D35" s="822"/>
      <c r="E35" s="798"/>
      <c r="F35" s="798"/>
      <c r="G35" s="798"/>
    </row>
    <row r="36" spans="2:7">
      <c r="B36" s="822"/>
      <c r="C36" s="822"/>
      <c r="D36" s="822"/>
      <c r="E36" s="798"/>
      <c r="F36" s="798"/>
      <c r="G36" s="798"/>
    </row>
    <row r="37" spans="2:7">
      <c r="B37" s="822"/>
      <c r="C37" s="822"/>
      <c r="D37" s="822"/>
      <c r="E37" s="798"/>
      <c r="F37" s="798"/>
      <c r="G37" s="798"/>
    </row>
    <row r="38" spans="2:7">
      <c r="B38" s="822"/>
      <c r="C38" s="822"/>
      <c r="D38" s="822"/>
      <c r="E38" s="822"/>
      <c r="F38" s="822"/>
      <c r="G38" s="822"/>
    </row>
    <row r="50" spans="2:7">
      <c r="B50" s="822"/>
      <c r="C50" s="822"/>
      <c r="D50" s="822"/>
      <c r="E50" s="798"/>
      <c r="F50" s="798"/>
      <c r="G50" s="798"/>
    </row>
    <row r="51" spans="2:7">
      <c r="B51" s="822"/>
      <c r="C51" s="822"/>
      <c r="D51" s="822"/>
      <c r="E51" s="798"/>
      <c r="F51" s="798"/>
      <c r="G51" s="798"/>
    </row>
    <row r="52" spans="2:7">
      <c r="B52" s="822"/>
      <c r="C52" s="822"/>
      <c r="D52" s="822"/>
      <c r="E52" s="798"/>
      <c r="F52" s="798"/>
      <c r="G52" s="798"/>
    </row>
    <row r="53" spans="2:7">
      <c r="B53" s="822"/>
      <c r="C53" s="822"/>
      <c r="D53" s="822"/>
      <c r="E53" s="822"/>
      <c r="F53" s="822"/>
      <c r="G53" s="822"/>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7" workbookViewId="0">
      <selection activeCell="F20" sqref="F20"/>
    </sheetView>
  </sheetViews>
  <sheetFormatPr baseColWidth="10" defaultColWidth="14.77734375" defaultRowHeight="13.2"/>
  <cols>
    <col min="1" max="1" width="13.77734375" style="791" customWidth="1"/>
    <col min="2" max="4" width="9.21875" style="791" customWidth="1"/>
    <col min="5" max="5" width="14.77734375" style="791" customWidth="1"/>
    <col min="6" max="6" width="13.77734375" style="791" customWidth="1"/>
    <col min="7" max="7" width="12.44140625" style="791" customWidth="1"/>
    <col min="8" max="8" width="13.77734375" style="791" customWidth="1"/>
    <col min="9" max="9" width="14.77734375" style="858" customWidth="1"/>
    <col min="10" max="16384" width="14.77734375" style="791"/>
  </cols>
  <sheetData>
    <row r="1" spans="1:9" s="835" customFormat="1">
      <c r="A1" s="788" t="s">
        <v>180</v>
      </c>
      <c r="B1" s="789"/>
      <c r="C1" s="789"/>
      <c r="D1" s="789"/>
      <c r="E1" s="789"/>
      <c r="F1" s="789"/>
      <c r="G1" s="789"/>
      <c r="H1" s="789"/>
      <c r="I1" s="834"/>
    </row>
    <row r="2" spans="1:9" s="835" customFormat="1">
      <c r="A2" s="788"/>
      <c r="B2" s="789"/>
      <c r="C2" s="789"/>
      <c r="D2" s="789"/>
      <c r="E2" s="789"/>
      <c r="F2" s="789"/>
      <c r="G2" s="789"/>
      <c r="H2" s="789"/>
      <c r="I2" s="834"/>
    </row>
    <row r="3" spans="1:9" s="835" customFormat="1">
      <c r="A3" s="788" t="s">
        <v>193</v>
      </c>
      <c r="B3" s="789"/>
      <c r="C3" s="789"/>
      <c r="D3" s="789"/>
      <c r="E3" s="789"/>
      <c r="F3" s="789"/>
      <c r="G3" s="789"/>
      <c r="H3" s="789"/>
      <c r="I3" s="834"/>
    </row>
    <row r="4" spans="1:9" s="835" customFormat="1">
      <c r="A4" s="788" t="str">
        <f>+'86'!A4</f>
        <v>2011  -  2020</v>
      </c>
      <c r="B4" s="789"/>
      <c r="C4" s="789"/>
      <c r="D4" s="789"/>
      <c r="E4" s="789"/>
      <c r="F4" s="789"/>
      <c r="G4" s="789"/>
      <c r="H4" s="789"/>
      <c r="I4" s="834"/>
    </row>
    <row r="5" spans="1:9">
      <c r="B5" s="792"/>
      <c r="C5" s="792"/>
      <c r="D5" s="792"/>
      <c r="E5" s="792"/>
      <c r="F5" s="792"/>
      <c r="G5" s="792"/>
      <c r="H5" s="792"/>
    </row>
    <row r="7" spans="1:9" ht="17.25" customHeight="1">
      <c r="B7" s="793"/>
      <c r="C7" s="794" t="s">
        <v>182</v>
      </c>
      <c r="D7" s="794" t="s">
        <v>183</v>
      </c>
      <c r="E7" s="795" t="s">
        <v>661</v>
      </c>
      <c r="F7" s="796" t="s">
        <v>184</v>
      </c>
      <c r="G7" s="797" t="s">
        <v>185</v>
      </c>
      <c r="H7" s="798"/>
      <c r="I7" s="859"/>
    </row>
    <row r="8" spans="1:9" ht="17.25" customHeight="1">
      <c r="B8" s="825" t="s">
        <v>640</v>
      </c>
      <c r="C8" s="800" t="s">
        <v>186</v>
      </c>
      <c r="D8" s="800" t="s">
        <v>186</v>
      </c>
      <c r="E8" s="801" t="s">
        <v>187</v>
      </c>
      <c r="F8" s="802" t="s">
        <v>188</v>
      </c>
      <c r="G8" s="803" t="s">
        <v>189</v>
      </c>
      <c r="H8" s="798"/>
      <c r="I8" s="859"/>
    </row>
    <row r="9" spans="1:9" ht="17.25" customHeight="1">
      <c r="B9" s="809">
        <v>2011</v>
      </c>
      <c r="C9" s="826">
        <v>28</v>
      </c>
      <c r="D9" s="827">
        <v>17</v>
      </c>
      <c r="E9" s="828">
        <v>452</v>
      </c>
      <c r="F9" s="807">
        <v>66.287818152713314</v>
      </c>
      <c r="G9" s="808">
        <v>9.0044247787610612</v>
      </c>
      <c r="H9" s="798"/>
      <c r="I9" s="859"/>
    </row>
    <row r="10" spans="1:9" ht="17.25" customHeight="1">
      <c r="B10" s="809">
        <v>2012</v>
      </c>
      <c r="C10" s="804">
        <v>28</v>
      </c>
      <c r="D10" s="809">
        <v>28</v>
      </c>
      <c r="E10" s="810">
        <v>519</v>
      </c>
      <c r="F10" s="807">
        <v>56.240234375</v>
      </c>
      <c r="G10" s="808">
        <v>10.273603082851638</v>
      </c>
      <c r="H10" s="798"/>
      <c r="I10" s="859"/>
    </row>
    <row r="11" spans="1:9" ht="17.25" customHeight="1">
      <c r="B11" s="809">
        <v>2013</v>
      </c>
      <c r="C11" s="804">
        <v>28</v>
      </c>
      <c r="D11" s="809">
        <v>28</v>
      </c>
      <c r="E11" s="810">
        <v>576</v>
      </c>
      <c r="F11" s="807">
        <v>49.126766091051806</v>
      </c>
      <c r="G11" s="808">
        <v>8.3524305555555554</v>
      </c>
      <c r="H11" s="798"/>
      <c r="I11" s="859"/>
    </row>
    <row r="12" spans="1:9" ht="17.25" customHeight="1">
      <c r="B12" s="809">
        <v>2014</v>
      </c>
      <c r="C12" s="804">
        <v>28</v>
      </c>
      <c r="D12" s="809">
        <v>28</v>
      </c>
      <c r="E12" s="830">
        <v>608</v>
      </c>
      <c r="F12" s="813">
        <v>56.391491022638562</v>
      </c>
      <c r="G12" s="814">
        <v>8.1891447368421044</v>
      </c>
      <c r="H12" s="798"/>
      <c r="I12" s="859"/>
    </row>
    <row r="13" spans="1:9" ht="15" customHeight="1">
      <c r="B13" s="809">
        <v>2015</v>
      </c>
      <c r="C13" s="804">
        <v>28</v>
      </c>
      <c r="D13" s="809">
        <v>28</v>
      </c>
      <c r="E13" s="830">
        <v>568</v>
      </c>
      <c r="F13" s="813">
        <v>56.193737769080229</v>
      </c>
      <c r="G13" s="814">
        <v>12.40669014084507</v>
      </c>
      <c r="H13" s="798"/>
      <c r="I13" s="859"/>
    </row>
    <row r="14" spans="1:9" ht="15" customHeight="1">
      <c r="B14" s="809">
        <v>2016</v>
      </c>
      <c r="C14" s="804">
        <v>28</v>
      </c>
      <c r="D14" s="809">
        <v>28</v>
      </c>
      <c r="E14" s="830">
        <v>685</v>
      </c>
      <c r="F14" s="813">
        <v>59.338407494145194</v>
      </c>
      <c r="G14" s="814">
        <v>8.25985401459854</v>
      </c>
      <c r="H14" s="798"/>
      <c r="I14" s="859"/>
    </row>
    <row r="15" spans="1:9" ht="15" customHeight="1">
      <c r="B15" s="809">
        <v>2017</v>
      </c>
      <c r="C15" s="804">
        <v>28</v>
      </c>
      <c r="D15" s="809">
        <v>28</v>
      </c>
      <c r="E15" s="830">
        <v>722</v>
      </c>
      <c r="F15" s="813">
        <v>62.09772370486656</v>
      </c>
      <c r="G15" s="814">
        <v>8.54016620498615</v>
      </c>
      <c r="H15" s="798"/>
      <c r="I15" s="859"/>
    </row>
    <row r="16" spans="1:9" ht="15" customHeight="1">
      <c r="B16" s="809">
        <v>2018</v>
      </c>
      <c r="C16" s="804">
        <v>28</v>
      </c>
      <c r="D16" s="809">
        <v>28</v>
      </c>
      <c r="E16" s="830">
        <v>645</v>
      </c>
      <c r="F16" s="813">
        <v>59.050880626223091</v>
      </c>
      <c r="G16" s="814">
        <v>8.590697674418605</v>
      </c>
      <c r="H16" s="798"/>
      <c r="I16" s="859"/>
    </row>
    <row r="17" spans="2:9" ht="15" customHeight="1">
      <c r="B17" s="809">
        <v>2019</v>
      </c>
      <c r="C17" s="804">
        <v>28</v>
      </c>
      <c r="D17" s="953">
        <v>27.923287671232877</v>
      </c>
      <c r="E17" s="830">
        <v>660</v>
      </c>
      <c r="F17" s="813">
        <v>59.134615384615387</v>
      </c>
      <c r="G17" s="814">
        <v>8.4333333333333336</v>
      </c>
      <c r="H17" s="798"/>
      <c r="I17" s="859"/>
    </row>
    <row r="18" spans="2:9" ht="15" customHeight="1">
      <c r="B18" s="815">
        <f>+'83'!B18</f>
        <v>2020</v>
      </c>
      <c r="C18" s="831">
        <v>28</v>
      </c>
      <c r="D18" s="832">
        <f>+'81'!R12/365</f>
        <v>28</v>
      </c>
      <c r="E18" s="833">
        <f>+'81'!O12</f>
        <v>578</v>
      </c>
      <c r="F18" s="818">
        <f>+'81'!V12</f>
        <v>64.080234833659489</v>
      </c>
      <c r="G18" s="819">
        <f>+'81'!W12</f>
        <v>8.2145328719723185</v>
      </c>
      <c r="H18" s="798"/>
      <c r="I18" s="859"/>
    </row>
    <row r="19" spans="2:9" ht="15" customHeight="1">
      <c r="B19" s="1055" t="s">
        <v>1238</v>
      </c>
      <c r="C19" s="820"/>
      <c r="D19" s="820"/>
      <c r="E19" s="806"/>
      <c r="F19" s="806"/>
      <c r="G19" s="821"/>
      <c r="H19" s="798"/>
      <c r="I19" s="859"/>
    </row>
    <row r="20" spans="2:9">
      <c r="B20" s="822" t="s">
        <v>892</v>
      </c>
      <c r="C20" s="822"/>
      <c r="D20" s="822"/>
      <c r="E20" s="798"/>
      <c r="F20" s="798"/>
      <c r="G20" s="798"/>
      <c r="H20" s="798"/>
      <c r="I20" s="859"/>
    </row>
    <row r="21" spans="2:9">
      <c r="B21" s="822"/>
      <c r="C21" s="822"/>
      <c r="D21" s="822"/>
      <c r="E21" s="798"/>
      <c r="F21" s="798"/>
      <c r="G21" s="798"/>
      <c r="H21" s="798"/>
      <c r="I21" s="859"/>
    </row>
    <row r="22" spans="2:9">
      <c r="B22" s="822"/>
      <c r="C22" s="822"/>
      <c r="D22" s="822"/>
      <c r="E22" s="798"/>
      <c r="F22" s="798"/>
      <c r="G22" s="798"/>
      <c r="H22" s="798"/>
      <c r="I22" s="859"/>
    </row>
    <row r="23" spans="2:9">
      <c r="B23" s="822"/>
      <c r="C23" s="822"/>
      <c r="D23" s="822"/>
      <c r="E23" s="822"/>
      <c r="F23" s="822"/>
      <c r="G23" s="822"/>
      <c r="H23" s="822"/>
    </row>
    <row r="35" spans="2:7">
      <c r="B35" s="822"/>
      <c r="C35" s="822"/>
      <c r="D35" s="822"/>
      <c r="E35" s="798"/>
      <c r="F35" s="798"/>
      <c r="G35" s="798"/>
    </row>
    <row r="36" spans="2:7">
      <c r="B36" s="822"/>
      <c r="C36" s="822"/>
      <c r="D36" s="822"/>
      <c r="E36" s="798"/>
      <c r="F36" s="798"/>
      <c r="G36" s="798"/>
    </row>
    <row r="37" spans="2:7">
      <c r="B37" s="822"/>
      <c r="C37" s="822"/>
      <c r="D37" s="822"/>
      <c r="E37" s="798"/>
      <c r="F37" s="798"/>
      <c r="G37" s="798"/>
    </row>
    <row r="38" spans="2:7">
      <c r="B38" s="822"/>
      <c r="C38" s="822"/>
      <c r="D38" s="822"/>
      <c r="E38" s="822"/>
      <c r="F38" s="822"/>
      <c r="G38" s="822"/>
    </row>
    <row r="50" spans="2:7">
      <c r="B50" s="822"/>
      <c r="C50" s="822"/>
      <c r="D50" s="822"/>
      <c r="E50" s="798"/>
      <c r="F50" s="798"/>
      <c r="G50" s="798"/>
    </row>
    <row r="51" spans="2:7">
      <c r="B51" s="822"/>
      <c r="C51" s="822"/>
      <c r="D51" s="822"/>
      <c r="E51" s="798"/>
      <c r="F51" s="798"/>
      <c r="G51" s="798"/>
    </row>
    <row r="52" spans="2:7">
      <c r="B52" s="822"/>
      <c r="C52" s="822"/>
      <c r="D52" s="822"/>
      <c r="E52" s="798"/>
      <c r="F52" s="798"/>
      <c r="G52" s="798"/>
    </row>
    <row r="53" spans="2:7">
      <c r="B53" s="822"/>
      <c r="C53" s="822"/>
      <c r="D53" s="822"/>
      <c r="E53" s="822"/>
      <c r="F53" s="822"/>
      <c r="G53" s="822"/>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4" workbookViewId="0">
      <selection activeCell="F9" sqref="F9"/>
    </sheetView>
  </sheetViews>
  <sheetFormatPr baseColWidth="10" defaultColWidth="14.77734375" defaultRowHeight="13.2"/>
  <cols>
    <col min="1" max="1" width="11.21875" style="791" customWidth="1"/>
    <col min="2" max="4" width="9.21875" style="791" customWidth="1"/>
    <col min="5" max="5" width="15" style="791" customWidth="1"/>
    <col min="6" max="7" width="13.77734375" style="791" customWidth="1"/>
    <col min="8" max="16384" width="14.77734375" style="791"/>
  </cols>
  <sheetData>
    <row r="1" spans="1:9" s="835" customFormat="1">
      <c r="A1" s="788" t="s">
        <v>180</v>
      </c>
      <c r="B1" s="789"/>
      <c r="C1" s="789"/>
      <c r="D1" s="789"/>
      <c r="E1" s="789"/>
      <c r="F1" s="789"/>
      <c r="G1" s="789"/>
      <c r="H1" s="789"/>
      <c r="I1" s="834"/>
    </row>
    <row r="2" spans="1:9" s="835" customFormat="1">
      <c r="A2" s="788"/>
      <c r="B2" s="789"/>
      <c r="C2" s="789"/>
      <c r="D2" s="789"/>
      <c r="E2" s="789"/>
      <c r="F2" s="789"/>
      <c r="G2" s="789"/>
      <c r="H2" s="789"/>
      <c r="I2" s="834"/>
    </row>
    <row r="3" spans="1:9" s="835" customFormat="1">
      <c r="A3" s="788" t="s">
        <v>194</v>
      </c>
      <c r="B3" s="789"/>
      <c r="C3" s="789"/>
      <c r="D3" s="789"/>
      <c r="E3" s="789"/>
      <c r="F3" s="789"/>
      <c r="G3" s="789"/>
      <c r="H3" s="789"/>
      <c r="I3" s="834"/>
    </row>
    <row r="4" spans="1:9" s="835" customFormat="1">
      <c r="A4" s="788" t="str">
        <f>+'87'!A4</f>
        <v>2011  -  2020</v>
      </c>
      <c r="B4" s="789"/>
      <c r="C4" s="789"/>
      <c r="D4" s="789"/>
      <c r="E4" s="789"/>
      <c r="F4" s="789"/>
      <c r="G4" s="789"/>
      <c r="H4" s="789"/>
      <c r="I4" s="834"/>
    </row>
    <row r="5" spans="1:9">
      <c r="B5" s="792"/>
      <c r="C5" s="792"/>
      <c r="D5" s="792"/>
      <c r="E5" s="792"/>
      <c r="F5" s="792"/>
      <c r="G5" s="792"/>
      <c r="H5" s="792"/>
    </row>
    <row r="7" spans="1:9" ht="17.25" customHeight="1">
      <c r="B7" s="793"/>
      <c r="C7" s="794" t="s">
        <v>182</v>
      </c>
      <c r="D7" s="794" t="s">
        <v>183</v>
      </c>
      <c r="E7" s="795" t="s">
        <v>661</v>
      </c>
      <c r="F7" s="796" t="s">
        <v>184</v>
      </c>
      <c r="G7" s="797" t="s">
        <v>185</v>
      </c>
      <c r="H7" s="798"/>
      <c r="I7" s="824"/>
    </row>
    <row r="8" spans="1:9" ht="17.25" customHeight="1">
      <c r="B8" s="825" t="s">
        <v>640</v>
      </c>
      <c r="C8" s="800" t="s">
        <v>186</v>
      </c>
      <c r="D8" s="800" t="s">
        <v>186</v>
      </c>
      <c r="E8" s="801" t="s">
        <v>187</v>
      </c>
      <c r="F8" s="802" t="s">
        <v>188</v>
      </c>
      <c r="G8" s="803" t="s">
        <v>189</v>
      </c>
      <c r="H8" s="798"/>
      <c r="I8" s="824"/>
    </row>
    <row r="9" spans="1:9" ht="17.25" customHeight="1">
      <c r="B9" s="809">
        <v>2011</v>
      </c>
      <c r="C9" s="826">
        <v>354</v>
      </c>
      <c r="D9" s="827">
        <v>320</v>
      </c>
      <c r="E9" s="828">
        <v>931</v>
      </c>
      <c r="F9" s="807">
        <v>95.278808501906596</v>
      </c>
      <c r="G9" s="808">
        <v>136.72073039742213</v>
      </c>
      <c r="H9" s="798"/>
      <c r="I9" s="824"/>
    </row>
    <row r="10" spans="1:9" ht="17.25" customHeight="1">
      <c r="B10" s="809">
        <v>2012</v>
      </c>
      <c r="C10" s="804">
        <v>354</v>
      </c>
      <c r="D10" s="809">
        <v>329</v>
      </c>
      <c r="E10" s="810">
        <v>1001</v>
      </c>
      <c r="F10" s="807">
        <v>92.909454061251665</v>
      </c>
      <c r="G10" s="808">
        <v>117.18181818181819</v>
      </c>
      <c r="H10" s="798"/>
      <c r="I10" s="824"/>
    </row>
    <row r="11" spans="1:9" ht="17.25" customHeight="1">
      <c r="B11" s="809">
        <v>2013</v>
      </c>
      <c r="C11" s="804">
        <v>354</v>
      </c>
      <c r="D11" s="809">
        <v>321</v>
      </c>
      <c r="E11" s="810">
        <v>970</v>
      </c>
      <c r="F11" s="807">
        <v>94.783931363919919</v>
      </c>
      <c r="G11" s="808">
        <v>121.99072164948454</v>
      </c>
      <c r="H11" s="798"/>
      <c r="I11" s="824"/>
    </row>
    <row r="12" spans="1:9" ht="17.25" customHeight="1">
      <c r="B12" s="809">
        <v>2014</v>
      </c>
      <c r="C12" s="804">
        <v>354</v>
      </c>
      <c r="D12" s="809">
        <v>321</v>
      </c>
      <c r="E12" s="828">
        <v>919</v>
      </c>
      <c r="F12" s="807">
        <v>97.723320831912716</v>
      </c>
      <c r="G12" s="808">
        <v>127.86289445048966</v>
      </c>
      <c r="H12" s="798"/>
      <c r="I12" s="824"/>
    </row>
    <row r="13" spans="1:9" ht="15" customHeight="1">
      <c r="B13" s="809">
        <v>2015</v>
      </c>
      <c r="C13" s="804">
        <v>354</v>
      </c>
      <c r="D13" s="809">
        <v>321</v>
      </c>
      <c r="E13" s="828">
        <v>873</v>
      </c>
      <c r="F13" s="807">
        <v>94.702699930771004</v>
      </c>
      <c r="G13" s="808">
        <v>124.78006872852234</v>
      </c>
      <c r="H13" s="798"/>
      <c r="I13" s="824"/>
    </row>
    <row r="14" spans="1:9" ht="15" customHeight="1">
      <c r="B14" s="809">
        <v>2016</v>
      </c>
      <c r="C14" s="804">
        <v>354</v>
      </c>
      <c r="D14" s="809">
        <v>315</v>
      </c>
      <c r="E14" s="828">
        <v>816</v>
      </c>
      <c r="F14" s="807">
        <v>91.686256072715878</v>
      </c>
      <c r="G14" s="808">
        <v>239.3517156862745</v>
      </c>
      <c r="H14" s="798"/>
      <c r="I14" s="824"/>
    </row>
    <row r="15" spans="1:9" ht="15" customHeight="1">
      <c r="B15" s="809">
        <v>2017</v>
      </c>
      <c r="C15" s="804">
        <v>354</v>
      </c>
      <c r="D15" s="809">
        <v>305</v>
      </c>
      <c r="E15" s="828">
        <v>798</v>
      </c>
      <c r="F15" s="807">
        <v>92.121043215592493</v>
      </c>
      <c r="G15" s="808">
        <v>183.6015037593985</v>
      </c>
      <c r="H15" s="798"/>
      <c r="I15" s="824"/>
    </row>
    <row r="16" spans="1:9" ht="15" customHeight="1">
      <c r="B16" s="809">
        <v>2018</v>
      </c>
      <c r="C16" s="804">
        <v>354</v>
      </c>
      <c r="D16" s="953">
        <v>291.84109589041094</v>
      </c>
      <c r="E16" s="828">
        <v>803</v>
      </c>
      <c r="F16" s="807">
        <v>95.530500741630846</v>
      </c>
      <c r="G16" s="808">
        <v>136.93275217932751</v>
      </c>
      <c r="H16" s="798"/>
      <c r="I16" s="824"/>
    </row>
    <row r="17" spans="2:9" ht="15" customHeight="1">
      <c r="B17" s="809">
        <v>2019</v>
      </c>
      <c r="C17" s="804">
        <v>354</v>
      </c>
      <c r="D17" s="953">
        <v>281.75890410958903</v>
      </c>
      <c r="E17" s="828">
        <v>672</v>
      </c>
      <c r="F17" s="807">
        <v>96.811613932051117</v>
      </c>
      <c r="G17" s="808">
        <v>131.2202380952381</v>
      </c>
      <c r="H17" s="798"/>
      <c r="I17" s="824"/>
    </row>
    <row r="18" spans="2:9" ht="15" customHeight="1">
      <c r="B18" s="815">
        <f>+'83'!B18</f>
        <v>2020</v>
      </c>
      <c r="C18" s="831">
        <v>354</v>
      </c>
      <c r="D18" s="832">
        <f>+'82'!R12/365</f>
        <v>272.96712328767126</v>
      </c>
      <c r="E18" s="833">
        <f>+'82'!O12</f>
        <v>460</v>
      </c>
      <c r="F18" s="818">
        <f>+'82'!V12</f>
        <v>93.145845252075119</v>
      </c>
      <c r="G18" s="819">
        <f>+'82'!W12</f>
        <v>143.63043478260869</v>
      </c>
      <c r="H18" s="798"/>
      <c r="I18" s="824"/>
    </row>
    <row r="19" spans="2:9" ht="15" customHeight="1">
      <c r="B19" s="820"/>
      <c r="C19" s="820"/>
      <c r="D19" s="820"/>
      <c r="E19" s="806"/>
      <c r="F19" s="860"/>
      <c r="G19" s="821"/>
      <c r="H19" s="798"/>
      <c r="I19" s="824"/>
    </row>
    <row r="20" spans="2:9" ht="15" customHeight="1">
      <c r="B20" s="820"/>
      <c r="C20" s="820"/>
      <c r="D20" s="820"/>
      <c r="E20" s="806"/>
      <c r="F20" s="806"/>
      <c r="G20" s="821"/>
      <c r="H20" s="798"/>
      <c r="I20" s="824"/>
    </row>
    <row r="21" spans="2:9">
      <c r="B21" s="822"/>
      <c r="C21" s="822"/>
      <c r="D21" s="822"/>
      <c r="E21" s="798"/>
      <c r="F21" s="798"/>
      <c r="G21" s="798"/>
      <c r="H21" s="798"/>
      <c r="I21" s="824"/>
    </row>
    <row r="22" spans="2:9">
      <c r="B22" s="822"/>
      <c r="C22" s="822"/>
      <c r="D22" s="822"/>
      <c r="E22" s="798"/>
      <c r="F22" s="798"/>
      <c r="G22" s="798"/>
      <c r="H22" s="798"/>
      <c r="I22" s="824"/>
    </row>
    <row r="23" spans="2:9">
      <c r="B23" s="822"/>
      <c r="C23" s="822"/>
      <c r="D23" s="822"/>
      <c r="E23" s="822"/>
      <c r="F23" s="822"/>
      <c r="G23" s="822"/>
      <c r="H23" s="822"/>
      <c r="I23" s="824"/>
    </row>
    <row r="35" spans="2:7">
      <c r="B35" s="822"/>
      <c r="C35" s="822"/>
      <c r="D35" s="822"/>
      <c r="E35" s="798"/>
      <c r="F35" s="798"/>
      <c r="G35" s="798"/>
    </row>
    <row r="36" spans="2:7">
      <c r="B36" s="822"/>
      <c r="C36" s="822"/>
      <c r="D36" s="822"/>
      <c r="E36" s="798"/>
      <c r="F36" s="798"/>
      <c r="G36" s="798"/>
    </row>
    <row r="37" spans="2:7">
      <c r="B37" s="822"/>
      <c r="C37" s="822"/>
      <c r="D37" s="822"/>
      <c r="E37" s="798"/>
      <c r="F37" s="798"/>
      <c r="G37" s="798"/>
    </row>
    <row r="38" spans="2:7">
      <c r="B38" s="822"/>
      <c r="C38" s="822"/>
      <c r="D38" s="822"/>
      <c r="E38" s="822"/>
      <c r="F38" s="822"/>
      <c r="G38" s="822"/>
    </row>
    <row r="50" spans="2:7">
      <c r="B50" s="822"/>
      <c r="C50" s="822"/>
      <c r="D50" s="822"/>
      <c r="E50" s="798"/>
      <c r="F50" s="798"/>
      <c r="G50" s="798"/>
    </row>
    <row r="51" spans="2:7">
      <c r="B51" s="822"/>
      <c r="C51" s="822"/>
      <c r="D51" s="822"/>
      <c r="E51" s="798"/>
      <c r="F51" s="798"/>
      <c r="G51" s="798"/>
    </row>
    <row r="52" spans="2:7">
      <c r="B52" s="822"/>
      <c r="C52" s="822"/>
      <c r="D52" s="822"/>
      <c r="E52" s="798"/>
      <c r="F52" s="798"/>
      <c r="G52" s="798"/>
    </row>
    <row r="53" spans="2:7">
      <c r="B53" s="822"/>
      <c r="C53" s="822"/>
      <c r="D53" s="822"/>
      <c r="E53" s="822"/>
      <c r="F53" s="822"/>
      <c r="G53" s="822"/>
    </row>
  </sheetData>
  <phoneticPr fontId="55"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topLeftCell="R1" zoomScale="75" workbookViewId="0">
      <selection activeCell="Q63" sqref="Q63"/>
    </sheetView>
  </sheetViews>
  <sheetFormatPr baseColWidth="10" defaultColWidth="11.44140625" defaultRowHeight="13.2"/>
  <cols>
    <col min="1" max="1" width="9.44140625" style="864" customWidth="1"/>
    <col min="2" max="2" width="29.21875" style="864" customWidth="1"/>
    <col min="3" max="4" width="10.21875" style="864" customWidth="1"/>
    <col min="5" max="8" width="9.77734375" style="864" customWidth="1"/>
    <col min="9" max="10" width="9.21875" style="864" customWidth="1"/>
    <col min="11" max="12" width="10.21875" style="864" customWidth="1"/>
    <col min="13" max="14" width="9.5546875" style="864" customWidth="1"/>
    <col min="15" max="18" width="9.21875" style="864" customWidth="1"/>
    <col min="19" max="22" width="9.77734375" style="864" customWidth="1"/>
    <col min="23" max="24" width="10" style="864" customWidth="1"/>
    <col min="25" max="26" width="9" style="864" customWidth="1"/>
    <col min="27" max="30" width="8.5546875" style="864" customWidth="1"/>
    <col min="31" max="31" width="9.21875" style="866" customWidth="1"/>
    <col min="32" max="16384" width="11.44140625" style="864"/>
  </cols>
  <sheetData>
    <row r="1" spans="1:31">
      <c r="A1" s="861" t="s">
        <v>195</v>
      </c>
      <c r="B1" s="861"/>
      <c r="C1" s="862"/>
      <c r="D1" s="862"/>
      <c r="E1" s="862"/>
      <c r="F1" s="862"/>
      <c r="G1" s="862"/>
      <c r="H1" s="862"/>
      <c r="I1" s="862"/>
      <c r="J1" s="862"/>
      <c r="K1" s="862"/>
      <c r="L1" s="862"/>
      <c r="M1" s="862"/>
      <c r="N1" s="862"/>
      <c r="O1" s="862"/>
      <c r="P1" s="862"/>
      <c r="Q1" s="862"/>
      <c r="R1" s="862"/>
      <c r="S1" s="862"/>
      <c r="T1" s="862"/>
      <c r="U1" s="862"/>
      <c r="V1" s="862"/>
      <c r="W1" s="862"/>
      <c r="X1" s="862"/>
      <c r="Y1" s="862"/>
      <c r="Z1" s="862"/>
      <c r="AA1" s="862"/>
      <c r="AB1" s="862"/>
      <c r="AC1" s="862"/>
      <c r="AD1" s="862"/>
      <c r="AE1" s="863"/>
    </row>
    <row r="2" spans="1:31">
      <c r="A2" s="861"/>
      <c r="B2" s="861"/>
      <c r="C2" s="862"/>
      <c r="D2" s="862"/>
      <c r="E2" s="862"/>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3"/>
    </row>
    <row r="3" spans="1:31">
      <c r="A3" s="861" t="s">
        <v>1644</v>
      </c>
      <c r="B3" s="861"/>
      <c r="C3" s="862"/>
      <c r="D3" s="862"/>
      <c r="E3" s="862"/>
      <c r="F3" s="862"/>
      <c r="G3" s="862"/>
      <c r="H3" s="862"/>
      <c r="I3" s="862"/>
      <c r="J3" s="862"/>
      <c r="K3" s="862"/>
      <c r="L3" s="862"/>
      <c r="M3" s="862"/>
      <c r="N3" s="862"/>
      <c r="O3" s="862"/>
      <c r="P3" s="862"/>
      <c r="Q3" s="862"/>
      <c r="R3" s="862"/>
      <c r="S3" s="862"/>
      <c r="T3" s="862"/>
      <c r="U3" s="862"/>
      <c r="V3" s="862"/>
      <c r="W3" s="862"/>
      <c r="X3" s="862"/>
      <c r="Y3" s="862"/>
      <c r="Z3" s="862"/>
      <c r="AA3" s="862"/>
      <c r="AB3" s="862"/>
      <c r="AC3" s="862"/>
      <c r="AD3" s="862"/>
      <c r="AE3" s="863"/>
    </row>
    <row r="4" spans="1:31">
      <c r="A4" s="861" t="s">
        <v>679</v>
      </c>
      <c r="B4" s="861"/>
      <c r="C4" s="862"/>
      <c r="D4" s="862"/>
      <c r="E4" s="862"/>
      <c r="F4" s="862"/>
      <c r="G4" s="862"/>
      <c r="H4" s="862"/>
      <c r="I4" s="862"/>
      <c r="J4" s="862"/>
      <c r="K4" s="862"/>
      <c r="L4" s="862"/>
      <c r="M4" s="862"/>
      <c r="N4" s="862"/>
      <c r="O4" s="862"/>
      <c r="P4" s="862"/>
      <c r="Q4" s="862"/>
      <c r="R4" s="862"/>
      <c r="S4" s="862"/>
      <c r="T4" s="862"/>
      <c r="U4" s="862"/>
      <c r="V4" s="862"/>
      <c r="W4" s="862"/>
      <c r="X4" s="862"/>
      <c r="Y4" s="862"/>
      <c r="Z4" s="862"/>
      <c r="AA4" s="862"/>
      <c r="AB4" s="862"/>
      <c r="AC4" s="862"/>
      <c r="AD4" s="862"/>
      <c r="AE4" s="863"/>
    </row>
    <row r="5" spans="1:31">
      <c r="A5" s="865"/>
    </row>
    <row r="6" spans="1:31">
      <c r="A6" s="865"/>
    </row>
    <row r="7" spans="1:31" ht="18.75" customHeight="1">
      <c r="A7" s="1299" t="s">
        <v>680</v>
      </c>
      <c r="B7" s="868"/>
      <c r="C7" s="869"/>
      <c r="D7" s="869"/>
      <c r="E7" s="869"/>
      <c r="F7" s="870" t="s">
        <v>681</v>
      </c>
      <c r="G7" s="870"/>
      <c r="H7" s="870"/>
      <c r="I7" s="870"/>
      <c r="J7" s="870"/>
      <c r="K7" s="870"/>
      <c r="L7" s="870"/>
      <c r="M7" s="870"/>
      <c r="N7" s="870"/>
      <c r="O7" s="870"/>
      <c r="P7" s="870"/>
      <c r="Q7" s="870"/>
      <c r="R7" s="870"/>
      <c r="S7" s="870"/>
      <c r="T7" s="870"/>
      <c r="U7" s="870"/>
      <c r="V7" s="870"/>
      <c r="W7" s="870"/>
      <c r="X7" s="870"/>
      <c r="Y7" s="870"/>
      <c r="Z7" s="870"/>
      <c r="AA7" s="870"/>
      <c r="AB7" s="870"/>
      <c r="AC7" s="870"/>
      <c r="AD7" s="870"/>
      <c r="AE7" s="871"/>
    </row>
    <row r="8" spans="1:31" ht="23.25" customHeight="1">
      <c r="A8" s="1300" t="s">
        <v>682</v>
      </c>
      <c r="B8" s="1337" t="s">
        <v>683</v>
      </c>
      <c r="C8" s="1701" t="s">
        <v>684</v>
      </c>
      <c r="D8" s="1702"/>
      <c r="E8" s="1703" t="s">
        <v>630</v>
      </c>
      <c r="F8" s="1700"/>
      <c r="G8" s="1291" t="s">
        <v>685</v>
      </c>
      <c r="H8" s="1291"/>
      <c r="I8" s="1291" t="s">
        <v>686</v>
      </c>
      <c r="J8" s="1291"/>
      <c r="K8" s="1291" t="s">
        <v>429</v>
      </c>
      <c r="L8" s="1291"/>
      <c r="M8" s="1704" t="s">
        <v>687</v>
      </c>
      <c r="N8" s="1705"/>
      <c r="O8" s="1291" t="s">
        <v>688</v>
      </c>
      <c r="P8" s="1291"/>
      <c r="Q8" s="1291" t="s">
        <v>393</v>
      </c>
      <c r="R8" s="1291"/>
      <c r="S8" s="1291" t="s">
        <v>411</v>
      </c>
      <c r="T8" s="1291"/>
      <c r="U8" s="1291" t="s">
        <v>416</v>
      </c>
      <c r="V8" s="1291"/>
      <c r="W8" s="1291" t="s">
        <v>689</v>
      </c>
      <c r="X8" s="1291"/>
      <c r="Y8" s="1291" t="s">
        <v>418</v>
      </c>
      <c r="Z8" s="1291"/>
      <c r="AA8" s="1291" t="s">
        <v>690</v>
      </c>
      <c r="AB8" s="876"/>
      <c r="AC8" s="1706" t="s">
        <v>517</v>
      </c>
      <c r="AD8" s="1707"/>
      <c r="AE8" s="1703"/>
    </row>
    <row r="9" spans="1:31" ht="13.8" thickBot="1">
      <c r="A9" s="1302"/>
      <c r="B9" s="1338"/>
      <c r="C9" s="1351" t="s">
        <v>1461</v>
      </c>
      <c r="D9" s="871" t="s">
        <v>1462</v>
      </c>
      <c r="E9" s="1317" t="s">
        <v>1461</v>
      </c>
      <c r="F9" s="1318" t="s">
        <v>1462</v>
      </c>
      <c r="G9" s="1316" t="s">
        <v>1461</v>
      </c>
      <c r="H9" s="1318" t="s">
        <v>1462</v>
      </c>
      <c r="I9" s="1317" t="s">
        <v>1461</v>
      </c>
      <c r="J9" s="1318" t="s">
        <v>1462</v>
      </c>
      <c r="K9" s="1317" t="s">
        <v>1461</v>
      </c>
      <c r="L9" s="1318" t="s">
        <v>1462</v>
      </c>
      <c r="M9" s="1351" t="s">
        <v>1461</v>
      </c>
      <c r="N9" s="871" t="s">
        <v>1462</v>
      </c>
      <c r="O9" s="1316" t="s">
        <v>1461</v>
      </c>
      <c r="P9" s="1318" t="s">
        <v>1462</v>
      </c>
      <c r="Q9" s="1317" t="s">
        <v>1461</v>
      </c>
      <c r="R9" s="1317" t="s">
        <v>1462</v>
      </c>
      <c r="S9" s="1316" t="s">
        <v>1461</v>
      </c>
      <c r="T9" s="1318" t="s">
        <v>1462</v>
      </c>
      <c r="U9" s="1317" t="s">
        <v>1461</v>
      </c>
      <c r="V9" s="1318" t="s">
        <v>1462</v>
      </c>
      <c r="W9" s="1317" t="s">
        <v>1461</v>
      </c>
      <c r="X9" s="1317" t="s">
        <v>1462</v>
      </c>
      <c r="Y9" s="1316" t="s">
        <v>1461</v>
      </c>
      <c r="Z9" s="1318" t="s">
        <v>1462</v>
      </c>
      <c r="AA9" s="1317" t="s">
        <v>1461</v>
      </c>
      <c r="AB9" s="1318" t="s">
        <v>1462</v>
      </c>
      <c r="AC9" s="1351" t="s">
        <v>1461</v>
      </c>
      <c r="AD9" s="871" t="s">
        <v>1462</v>
      </c>
      <c r="AE9" s="899" t="s">
        <v>491</v>
      </c>
    </row>
    <row r="10" spans="1:31" ht="18" customHeight="1">
      <c r="A10" s="880" t="s">
        <v>716</v>
      </c>
      <c r="B10" s="881" t="s">
        <v>717</v>
      </c>
      <c r="C10" s="1330">
        <f t="shared" ref="C10:D13" si="0">+E10+G10+I10+K10</f>
        <v>68</v>
      </c>
      <c r="D10" s="1331">
        <f t="shared" si="0"/>
        <v>68</v>
      </c>
      <c r="E10" s="882">
        <f>+'91'!E10+'92'!E10+'93'!E10+'94'!E10+'95'!E10</f>
        <v>43</v>
      </c>
      <c r="F10" s="882">
        <f>+'91'!F10+'92'!F10+'93'!F10+'94'!F10+'95'!F10</f>
        <v>43</v>
      </c>
      <c r="G10" s="1352">
        <f>+'91'!G10+'92'!G10+'93'!G10+'94'!G10+'95'!G10</f>
        <v>12</v>
      </c>
      <c r="H10" s="1353">
        <f>+'91'!H10+'92'!H10+'93'!H10+'94'!H10+'95'!H10</f>
        <v>12</v>
      </c>
      <c r="I10" s="1352">
        <f>+'91'!I10+'92'!I10+'93'!I10+'94'!I10+'95'!I10</f>
        <v>8</v>
      </c>
      <c r="J10" s="1353">
        <f>+'91'!J10+'92'!J10+'93'!J10+'94'!J10+'95'!J10</f>
        <v>10</v>
      </c>
      <c r="K10" s="882">
        <f>+'91'!K10+'92'!K10+'93'!K10+'94'!K10+'95'!K10</f>
        <v>5</v>
      </c>
      <c r="L10" s="882">
        <f>+'91'!L10+'92'!L10+'93'!L10+'94'!L10+'95'!L10</f>
        <v>3</v>
      </c>
      <c r="M10" s="1322">
        <f>+O10+Q10+S10+U10+W10+Y10</f>
        <v>76</v>
      </c>
      <c r="N10" s="1323">
        <f>+P10+R10+T10+V10+X10+Z10</f>
        <v>79</v>
      </c>
      <c r="O10" s="882">
        <f>+'91'!O10+'92'!O10+'93'!O10+'94'!O10+'95'!O10</f>
        <v>34</v>
      </c>
      <c r="P10" s="882">
        <f>+'91'!P10+'92'!P10+'93'!P10+'94'!P10+'95'!P10</f>
        <v>32</v>
      </c>
      <c r="Q10" s="1352">
        <f>+'91'!Q10+'92'!Q10+'93'!Q10+'94'!Q10+'95'!Q10</f>
        <v>12</v>
      </c>
      <c r="R10" s="1353">
        <f>+'91'!R10+'92'!R10+'93'!R10+'94'!R10+'95'!R10</f>
        <v>3</v>
      </c>
      <c r="S10" s="882">
        <f>+'91'!S10+'92'!S10+'93'!S10+'94'!S10+'95'!S10</f>
        <v>9</v>
      </c>
      <c r="T10" s="882">
        <f>+'91'!T10+'92'!T10+'93'!T10+'94'!T10+'95'!T10</f>
        <v>7</v>
      </c>
      <c r="U10" s="1352">
        <f>+'91'!U10+'92'!U10+'93'!U10+'94'!U10+'95'!U10</f>
        <v>2</v>
      </c>
      <c r="V10" s="1353">
        <f>+'91'!V10+'92'!V10+'93'!V10+'94'!V10+'95'!V10</f>
        <v>3</v>
      </c>
      <c r="W10" s="882">
        <f>+'91'!W10+'92'!W10+'93'!W10+'94'!W10+'95'!W10</f>
        <v>10</v>
      </c>
      <c r="X10" s="882">
        <f>+'91'!X10+'92'!X10+'93'!X10+'94'!X10+'95'!X10</f>
        <v>24</v>
      </c>
      <c r="Y10" s="1352">
        <f>+'91'!Y10+'92'!Y10+'93'!Y10+'94'!Y10+'95'!Y10</f>
        <v>9</v>
      </c>
      <c r="Z10" s="1353">
        <f>+'91'!Z10+'92'!Z10+'93'!Z10+'94'!Z10+'95'!Z10</f>
        <v>10</v>
      </c>
      <c r="AA10" s="882">
        <f>+'91'!AA10+'92'!AA10+'93'!AA10+'94'!AA10+'95'!AA10</f>
        <v>26</v>
      </c>
      <c r="AB10" s="882">
        <f>+'91'!AB10+'92'!AB10+'93'!AB10+'94'!AB10+'95'!AB10</f>
        <v>28</v>
      </c>
      <c r="AC10" s="1363">
        <f t="shared" ref="AC10:AD13" si="1">+M10+C10+AA10</f>
        <v>170</v>
      </c>
      <c r="AD10" s="1364">
        <f t="shared" si="1"/>
        <v>175</v>
      </c>
      <c r="AE10" s="1365">
        <f t="shared" ref="AE10:AE13" si="2">SUM(AC10:AD10)</f>
        <v>345</v>
      </c>
    </row>
    <row r="11" spans="1:31" ht="20.25" customHeight="1">
      <c r="A11" s="880" t="s">
        <v>693</v>
      </c>
      <c r="B11" s="881" t="s">
        <v>694</v>
      </c>
      <c r="C11" s="1332">
        <f t="shared" si="0"/>
        <v>109</v>
      </c>
      <c r="D11" s="1333">
        <f t="shared" si="0"/>
        <v>179</v>
      </c>
      <c r="E11" s="882">
        <f>+'91'!E11+'92'!E11+'93'!E11+'94'!E11+'95'!E11</f>
        <v>68</v>
      </c>
      <c r="F11" s="882">
        <f>+'91'!F11+'92'!F11+'93'!F11+'94'!F11+'95'!F11</f>
        <v>128</v>
      </c>
      <c r="G11" s="1354">
        <f>+'91'!G11+'92'!G11+'93'!G11+'94'!G11+'95'!G11</f>
        <v>22</v>
      </c>
      <c r="H11" s="883">
        <f>+'91'!H11+'92'!H11+'93'!H11+'94'!H11+'95'!H11</f>
        <v>19</v>
      </c>
      <c r="I11" s="1354">
        <f>+'91'!I11+'92'!I11+'93'!I11+'94'!I11+'95'!I11</f>
        <v>12</v>
      </c>
      <c r="J11" s="883">
        <f>+'91'!J11+'92'!J11+'93'!J11+'94'!J11+'95'!J11</f>
        <v>17</v>
      </c>
      <c r="K11" s="882">
        <f>+'91'!K11+'92'!K11+'93'!K11+'94'!K11+'95'!K11</f>
        <v>7</v>
      </c>
      <c r="L11" s="882">
        <f>+'91'!L11+'92'!L11+'93'!L11+'94'!L11+'95'!L11</f>
        <v>15</v>
      </c>
      <c r="M11" s="1324">
        <f t="shared" ref="M11:N26" si="3">+O11+Q11+S11+U11+W11+Y11</f>
        <v>203</v>
      </c>
      <c r="N11" s="1325">
        <f t="shared" si="3"/>
        <v>340</v>
      </c>
      <c r="O11" s="882">
        <f>+'91'!O11+'92'!O11+'93'!O11+'94'!O11+'95'!O11</f>
        <v>99</v>
      </c>
      <c r="P11" s="882">
        <f>+'91'!P11+'92'!P11+'93'!P11+'94'!P11+'95'!P11</f>
        <v>168</v>
      </c>
      <c r="Q11" s="1354">
        <f>+'91'!Q11+'92'!Q11+'93'!Q11+'94'!Q11+'95'!Q11</f>
        <v>13</v>
      </c>
      <c r="R11" s="883">
        <f>+'91'!R11+'92'!R11+'93'!R11+'94'!R11+'95'!R11</f>
        <v>23</v>
      </c>
      <c r="S11" s="882">
        <f>+'91'!S11+'92'!S11+'93'!S11+'94'!S11+'95'!S11</f>
        <v>12</v>
      </c>
      <c r="T11" s="882">
        <f>+'91'!T11+'92'!T11+'93'!T11+'94'!T11+'95'!T11</f>
        <v>36</v>
      </c>
      <c r="U11" s="1354">
        <f>+'91'!U11+'92'!U11+'93'!U11+'94'!U11+'95'!U11</f>
        <v>10</v>
      </c>
      <c r="V11" s="883">
        <f>+'91'!V11+'92'!V11+'93'!V11+'94'!V11+'95'!V11</f>
        <v>27</v>
      </c>
      <c r="W11" s="882">
        <f>+'91'!W11+'92'!W11+'93'!W11+'94'!W11+'95'!W11</f>
        <v>37</v>
      </c>
      <c r="X11" s="882">
        <f>+'91'!X11+'92'!X11+'93'!X11+'94'!X11+'95'!X11</f>
        <v>58</v>
      </c>
      <c r="Y11" s="1354">
        <f>+'91'!Y11+'92'!Y11+'93'!Y11+'94'!Y11+'95'!Y11</f>
        <v>32</v>
      </c>
      <c r="Z11" s="883">
        <f>+'91'!Z11+'92'!Z11+'93'!Z11+'94'!Z11+'95'!Z11</f>
        <v>28</v>
      </c>
      <c r="AA11" s="882">
        <f>+'91'!AA11+'92'!AA11+'93'!AA11+'94'!AA11+'95'!AA11</f>
        <v>68</v>
      </c>
      <c r="AB11" s="882">
        <f>+'91'!AB11+'92'!AB11+'93'!AB11+'94'!AB11+'95'!AB11</f>
        <v>71</v>
      </c>
      <c r="AC11" s="1366">
        <f t="shared" si="1"/>
        <v>380</v>
      </c>
      <c r="AD11" s="1367">
        <f t="shared" si="1"/>
        <v>590</v>
      </c>
      <c r="AE11" s="1368">
        <f t="shared" si="2"/>
        <v>970</v>
      </c>
    </row>
    <row r="12" spans="1:31" ht="19.5" customHeight="1">
      <c r="A12" s="880" t="s">
        <v>196</v>
      </c>
      <c r="B12" s="881" t="s">
        <v>197</v>
      </c>
      <c r="C12" s="1332">
        <f t="shared" si="0"/>
        <v>11</v>
      </c>
      <c r="D12" s="1333">
        <f t="shared" si="0"/>
        <v>16</v>
      </c>
      <c r="E12" s="882">
        <f>+'91'!E12+'92'!E12+'93'!E12+'94'!E12+'95'!E12</f>
        <v>10</v>
      </c>
      <c r="F12" s="882">
        <f>+'91'!F12+'92'!F12+'93'!F12+'94'!F12+'95'!F12</f>
        <v>10</v>
      </c>
      <c r="G12" s="1354">
        <f>+'91'!G12+'92'!G12+'93'!G12+'94'!G12+'95'!G12</f>
        <v>0</v>
      </c>
      <c r="H12" s="883">
        <f>+'91'!H12+'92'!H12+'93'!H12+'94'!H12+'95'!H12</f>
        <v>4</v>
      </c>
      <c r="I12" s="1354">
        <f>+'91'!I12+'92'!I12+'93'!I12+'94'!I12+'95'!I12</f>
        <v>1</v>
      </c>
      <c r="J12" s="883">
        <f>+'91'!J12+'92'!J12+'93'!J12+'94'!J12+'95'!J12</f>
        <v>1</v>
      </c>
      <c r="K12" s="882">
        <f>+'91'!K12+'92'!K12+'93'!K12+'94'!K12+'95'!K12</f>
        <v>0</v>
      </c>
      <c r="L12" s="882">
        <f>+'91'!L12+'92'!L12+'93'!L12+'94'!L12+'95'!L12</f>
        <v>1</v>
      </c>
      <c r="M12" s="1324">
        <f t="shared" si="3"/>
        <v>34</v>
      </c>
      <c r="N12" s="1325">
        <f t="shared" si="3"/>
        <v>39</v>
      </c>
      <c r="O12" s="882">
        <f>+'91'!O12+'92'!O12+'93'!O12+'94'!O12+'95'!O12</f>
        <v>23</v>
      </c>
      <c r="P12" s="882">
        <f>+'91'!P12+'92'!P12+'93'!P12+'94'!P12+'95'!P12</f>
        <v>13</v>
      </c>
      <c r="Q12" s="1354">
        <f>+'91'!Q12+'92'!Q12+'93'!Q12+'94'!Q12+'95'!Q12</f>
        <v>4</v>
      </c>
      <c r="R12" s="883">
        <f>+'91'!R12+'92'!R12+'93'!R12+'94'!R12+'95'!R12</f>
        <v>3</v>
      </c>
      <c r="S12" s="882">
        <f>+'91'!S12+'92'!S12+'93'!S12+'94'!S12+'95'!S12</f>
        <v>0</v>
      </c>
      <c r="T12" s="882">
        <f>+'91'!T12+'92'!T12+'93'!T12+'94'!T12+'95'!T12</f>
        <v>2</v>
      </c>
      <c r="U12" s="1354">
        <f>+'91'!U12+'92'!U12+'93'!U12+'94'!U12+'95'!U12</f>
        <v>1</v>
      </c>
      <c r="V12" s="883">
        <f>+'91'!V12+'92'!V12+'93'!V12+'94'!V12+'95'!V12</f>
        <v>6</v>
      </c>
      <c r="W12" s="882">
        <f>+'91'!W12+'92'!W12+'93'!W12+'94'!W12+'95'!W12</f>
        <v>3</v>
      </c>
      <c r="X12" s="882">
        <f>+'91'!X12+'92'!X12+'93'!X12+'94'!X12+'95'!X12</f>
        <v>10</v>
      </c>
      <c r="Y12" s="1354">
        <f>+'91'!Y12+'92'!Y12+'93'!Y12+'94'!Y12+'95'!Y12</f>
        <v>3</v>
      </c>
      <c r="Z12" s="883">
        <f>+'91'!Z12+'92'!Z12+'93'!Z12+'94'!Z12+'95'!Z12</f>
        <v>5</v>
      </c>
      <c r="AA12" s="882">
        <f>+'91'!AA12+'92'!AA12+'93'!AA12+'94'!AA12+'95'!AA12</f>
        <v>10</v>
      </c>
      <c r="AB12" s="882">
        <f>+'91'!AB12+'92'!AB12+'93'!AB12+'94'!AB12+'95'!AB12</f>
        <v>6</v>
      </c>
      <c r="AC12" s="1366">
        <f t="shared" si="1"/>
        <v>55</v>
      </c>
      <c r="AD12" s="1367">
        <f t="shared" si="1"/>
        <v>61</v>
      </c>
      <c r="AE12" s="1368">
        <f t="shared" si="2"/>
        <v>116</v>
      </c>
    </row>
    <row r="13" spans="1:31" ht="20.25" customHeight="1">
      <c r="A13" s="880" t="s">
        <v>720</v>
      </c>
      <c r="B13" s="881" t="s">
        <v>721</v>
      </c>
      <c r="C13" s="1332">
        <f t="shared" si="0"/>
        <v>51</v>
      </c>
      <c r="D13" s="1333">
        <f t="shared" si="0"/>
        <v>60</v>
      </c>
      <c r="E13" s="882">
        <f>+'91'!E13+'92'!E13+'93'!E13+'94'!E13+'95'!E13</f>
        <v>36</v>
      </c>
      <c r="F13" s="882">
        <f>+'91'!F13+'92'!F13+'93'!F13+'94'!F13+'95'!F13</f>
        <v>43</v>
      </c>
      <c r="G13" s="1354">
        <f>+'91'!G13+'92'!G13+'93'!G13+'94'!G13+'95'!G13</f>
        <v>11</v>
      </c>
      <c r="H13" s="883">
        <f>+'91'!H13+'92'!H13+'93'!H13+'94'!H13+'95'!H13</f>
        <v>6</v>
      </c>
      <c r="I13" s="1354">
        <f>+'91'!I13+'92'!I13+'93'!I13+'94'!I13+'95'!I13</f>
        <v>2</v>
      </c>
      <c r="J13" s="883">
        <f>+'91'!J13+'92'!J13+'93'!J13+'94'!J13+'95'!J13</f>
        <v>5</v>
      </c>
      <c r="K13" s="882">
        <f>+'91'!K13+'92'!K13+'93'!K13+'94'!K13+'95'!K13</f>
        <v>2</v>
      </c>
      <c r="L13" s="882">
        <f>+'91'!L13+'92'!L13+'93'!L13+'94'!L13+'95'!L13</f>
        <v>6</v>
      </c>
      <c r="M13" s="1324">
        <f t="shared" si="3"/>
        <v>136</v>
      </c>
      <c r="N13" s="1325">
        <f t="shared" si="3"/>
        <v>119</v>
      </c>
      <c r="O13" s="882">
        <f>+'91'!O13+'92'!O13+'93'!O13+'94'!O13+'95'!O13</f>
        <v>60</v>
      </c>
      <c r="P13" s="882">
        <f>+'91'!P13+'92'!P13+'93'!P13+'94'!P13+'95'!P13</f>
        <v>47</v>
      </c>
      <c r="Q13" s="1354">
        <f>+'91'!Q13+'92'!Q13+'93'!Q13+'94'!Q13+'95'!Q13</f>
        <v>16</v>
      </c>
      <c r="R13" s="883">
        <f>+'91'!R13+'92'!R13+'93'!R13+'94'!R13+'95'!R13</f>
        <v>21</v>
      </c>
      <c r="S13" s="882">
        <f>+'91'!S13+'92'!S13+'93'!S13+'94'!S13+'95'!S13</f>
        <v>12</v>
      </c>
      <c r="T13" s="882">
        <f>+'91'!T13+'92'!T13+'93'!T13+'94'!T13+'95'!T13</f>
        <v>10</v>
      </c>
      <c r="U13" s="1354">
        <f>+'91'!U13+'92'!U13+'93'!U13+'94'!U13+'95'!U13</f>
        <v>4</v>
      </c>
      <c r="V13" s="883">
        <f>+'91'!V13+'92'!V13+'93'!V13+'94'!V13+'95'!V13</f>
        <v>4</v>
      </c>
      <c r="W13" s="882">
        <f>+'91'!W13+'92'!W13+'93'!W13+'94'!W13+'95'!W13</f>
        <v>25</v>
      </c>
      <c r="X13" s="882">
        <f>+'91'!X13+'92'!X13+'93'!X13+'94'!X13+'95'!X13</f>
        <v>23</v>
      </c>
      <c r="Y13" s="1354">
        <f>+'91'!Y13+'92'!Y13+'93'!Y13+'94'!Y13+'95'!Y13</f>
        <v>19</v>
      </c>
      <c r="Z13" s="883">
        <f>+'91'!Z13+'92'!Z13+'93'!Z13+'94'!Z13+'95'!Z13</f>
        <v>14</v>
      </c>
      <c r="AA13" s="882">
        <f>+'91'!AA13+'92'!AA13+'93'!AA13+'94'!AA13+'95'!AA13</f>
        <v>25</v>
      </c>
      <c r="AB13" s="882">
        <f>+'91'!AB13+'92'!AB13+'93'!AB13+'94'!AB13+'95'!AB13</f>
        <v>41</v>
      </c>
      <c r="AC13" s="1366">
        <f t="shared" si="1"/>
        <v>212</v>
      </c>
      <c r="AD13" s="1367">
        <f t="shared" si="1"/>
        <v>220</v>
      </c>
      <c r="AE13" s="1368">
        <f t="shared" si="2"/>
        <v>432</v>
      </c>
    </row>
    <row r="14" spans="1:31" ht="19.5" customHeight="1">
      <c r="A14" s="880" t="s">
        <v>198</v>
      </c>
      <c r="B14" s="881" t="s">
        <v>199</v>
      </c>
      <c r="C14" s="1332">
        <f>+E14+G14+I14+K14</f>
        <v>41</v>
      </c>
      <c r="D14" s="1333">
        <f>+F14+H14+J14+L14</f>
        <v>59</v>
      </c>
      <c r="E14" s="882">
        <f>+'91'!E14+'92'!E14+'93'!E14+'94'!E14+'95'!E14</f>
        <v>26</v>
      </c>
      <c r="F14" s="882">
        <f>+'91'!F14+'92'!F14+'93'!F14+'94'!F14+'95'!F14</f>
        <v>50</v>
      </c>
      <c r="G14" s="1354">
        <f>+'91'!G14+'92'!G14+'93'!G14+'94'!G14+'95'!G14</f>
        <v>5</v>
      </c>
      <c r="H14" s="883">
        <f>+'91'!H14+'92'!H14+'93'!H14+'94'!H14+'95'!H14</f>
        <v>3</v>
      </c>
      <c r="I14" s="1354">
        <f>+'91'!I14+'92'!I14+'93'!I14+'94'!I14+'95'!I14</f>
        <v>6</v>
      </c>
      <c r="J14" s="883">
        <f>+'91'!J14+'92'!J14+'93'!J14+'94'!J14+'95'!J14</f>
        <v>3</v>
      </c>
      <c r="K14" s="882">
        <f>+'91'!K14+'92'!K14+'93'!K14+'94'!K14+'95'!K14</f>
        <v>4</v>
      </c>
      <c r="L14" s="882">
        <f>+'91'!L14+'92'!L14+'93'!L14+'94'!L14+'95'!L14</f>
        <v>3</v>
      </c>
      <c r="M14" s="1324">
        <f t="shared" si="3"/>
        <v>165</v>
      </c>
      <c r="N14" s="1325">
        <f t="shared" si="3"/>
        <v>162</v>
      </c>
      <c r="O14" s="882">
        <f>+'91'!O14+'92'!O14+'93'!O14+'94'!O14+'95'!O14</f>
        <v>69</v>
      </c>
      <c r="P14" s="882">
        <f>+'91'!P14+'92'!P14+'93'!P14+'94'!P14+'95'!P14</f>
        <v>70</v>
      </c>
      <c r="Q14" s="1354">
        <f>+'91'!Q14+'92'!Q14+'93'!Q14+'94'!Q14+'95'!Q14</f>
        <v>50</v>
      </c>
      <c r="R14" s="883">
        <f>+'91'!R14+'92'!R14+'93'!R14+'94'!R14+'95'!R14</f>
        <v>47</v>
      </c>
      <c r="S14" s="882">
        <f>+'91'!S14+'92'!S14+'93'!S14+'94'!S14+'95'!S14</f>
        <v>7</v>
      </c>
      <c r="T14" s="882">
        <f>+'91'!T14+'92'!T14+'93'!T14+'94'!T14+'95'!T14</f>
        <v>12</v>
      </c>
      <c r="U14" s="1354">
        <f>+'91'!U14+'92'!U14+'93'!U14+'94'!U14+'95'!U14</f>
        <v>7</v>
      </c>
      <c r="V14" s="883">
        <f>+'91'!V14+'92'!V14+'93'!V14+'94'!V14+'95'!V14</f>
        <v>1</v>
      </c>
      <c r="W14" s="882">
        <f>+'91'!W14+'92'!W14+'93'!W14+'94'!W14+'95'!W14</f>
        <v>23</v>
      </c>
      <c r="X14" s="882">
        <f>+'91'!X14+'92'!X14+'93'!X14+'94'!X14+'95'!X14</f>
        <v>26</v>
      </c>
      <c r="Y14" s="1354">
        <f>+'91'!Y14+'92'!Y14+'93'!Y14+'94'!Y14+'95'!Y14</f>
        <v>9</v>
      </c>
      <c r="Z14" s="883">
        <f>+'91'!Z14+'92'!Z14+'93'!Z14+'94'!Z14+'95'!Z14</f>
        <v>6</v>
      </c>
      <c r="AA14" s="882">
        <f>+'91'!AA14+'92'!AA14+'93'!AA14+'94'!AA14+'95'!AA14</f>
        <v>136</v>
      </c>
      <c r="AB14" s="882">
        <f>+'91'!AB14+'92'!AB14+'93'!AB14+'94'!AB14+'95'!AB14</f>
        <v>53</v>
      </c>
      <c r="AC14" s="1366">
        <f>+M14+C14+AA14</f>
        <v>342</v>
      </c>
      <c r="AD14" s="1367">
        <f>+N14+D14+AB14</f>
        <v>274</v>
      </c>
      <c r="AE14" s="1368">
        <f>SUM(AC14:AD14)</f>
        <v>616</v>
      </c>
    </row>
    <row r="15" spans="1:31" ht="19.5" customHeight="1">
      <c r="A15" s="880" t="s">
        <v>200</v>
      </c>
      <c r="B15" s="881" t="s">
        <v>201</v>
      </c>
      <c r="C15" s="1332">
        <f t="shared" ref="C15:D29" si="4">+E15+G15+I15+K15</f>
        <v>28</v>
      </c>
      <c r="D15" s="1333">
        <f t="shared" si="4"/>
        <v>21</v>
      </c>
      <c r="E15" s="882">
        <f>+'91'!E15+'92'!E15+'93'!E15+'94'!E15+'95'!E15</f>
        <v>17</v>
      </c>
      <c r="F15" s="882">
        <f>+'91'!F15+'92'!F15+'93'!F15+'94'!F15+'95'!F15</f>
        <v>15</v>
      </c>
      <c r="G15" s="1354">
        <f>+'91'!G15+'92'!G15+'93'!G15+'94'!G15+'95'!G15</f>
        <v>4</v>
      </c>
      <c r="H15" s="883">
        <f>+'91'!H15+'92'!H15+'93'!H15+'94'!H15+'95'!H15</f>
        <v>2</v>
      </c>
      <c r="I15" s="1354">
        <f>+'91'!I15+'92'!I15+'93'!I15+'94'!I15+'95'!I15</f>
        <v>6</v>
      </c>
      <c r="J15" s="883">
        <f>+'91'!J15+'92'!J15+'93'!J15+'94'!J15+'95'!J15</f>
        <v>1</v>
      </c>
      <c r="K15" s="882">
        <f>+'91'!K15+'92'!K15+'93'!K15+'94'!K15+'95'!K15</f>
        <v>1</v>
      </c>
      <c r="L15" s="882">
        <f>+'91'!L15+'92'!L15+'93'!L15+'94'!L15+'95'!L15</f>
        <v>3</v>
      </c>
      <c r="M15" s="1324">
        <f t="shared" si="3"/>
        <v>98</v>
      </c>
      <c r="N15" s="1325">
        <f t="shared" si="3"/>
        <v>85</v>
      </c>
      <c r="O15" s="882">
        <f>+'91'!O15+'92'!O15+'93'!O15+'94'!O15+'95'!O15</f>
        <v>52</v>
      </c>
      <c r="P15" s="882">
        <f>+'91'!P15+'92'!P15+'93'!P15+'94'!P15+'95'!P15</f>
        <v>55</v>
      </c>
      <c r="Q15" s="1354">
        <f>+'91'!Q15+'92'!Q15+'93'!Q15+'94'!Q15+'95'!Q15</f>
        <v>9</v>
      </c>
      <c r="R15" s="883">
        <f>+'91'!R15+'92'!R15+'93'!R15+'94'!R15+'95'!R15</f>
        <v>6</v>
      </c>
      <c r="S15" s="882">
        <f>+'91'!S15+'92'!S15+'93'!S15+'94'!S15+'95'!S15</f>
        <v>8</v>
      </c>
      <c r="T15" s="882">
        <f>+'91'!T15+'92'!T15+'93'!T15+'94'!T15+'95'!T15</f>
        <v>5</v>
      </c>
      <c r="U15" s="1354">
        <f>+'91'!U15+'92'!U15+'93'!U15+'94'!U15+'95'!U15</f>
        <v>6</v>
      </c>
      <c r="V15" s="883">
        <f>+'91'!V15+'92'!V15+'93'!V15+'94'!V15+'95'!V15</f>
        <v>3</v>
      </c>
      <c r="W15" s="882">
        <f>+'91'!W15+'92'!W15+'93'!W15+'94'!W15+'95'!W15</f>
        <v>20</v>
      </c>
      <c r="X15" s="882">
        <f>+'91'!X15+'92'!X15+'93'!X15+'94'!X15+'95'!X15</f>
        <v>11</v>
      </c>
      <c r="Y15" s="1354">
        <f>+'91'!Y15+'92'!Y15+'93'!Y15+'94'!Y15+'95'!Y15</f>
        <v>3</v>
      </c>
      <c r="Z15" s="883">
        <f>+'91'!Z15+'92'!Z15+'93'!Z15+'94'!Z15+'95'!Z15</f>
        <v>5</v>
      </c>
      <c r="AA15" s="882">
        <f>+'91'!AA15+'92'!AA15+'93'!AA15+'94'!AA15+'95'!AA15</f>
        <v>30</v>
      </c>
      <c r="AB15" s="882">
        <f>+'91'!AB15+'92'!AB15+'93'!AB15+'94'!AB15+'95'!AB15</f>
        <v>12</v>
      </c>
      <c r="AC15" s="1366">
        <f t="shared" ref="AC15:AD29" si="5">+M15+C15+AA15</f>
        <v>156</v>
      </c>
      <c r="AD15" s="1367">
        <f t="shared" si="5"/>
        <v>118</v>
      </c>
      <c r="AE15" s="1368">
        <f t="shared" ref="AE15:AE25" si="6">SUM(AC15:AD15)</f>
        <v>274</v>
      </c>
    </row>
    <row r="16" spans="1:31" ht="19.5" customHeight="1">
      <c r="A16" s="880" t="s">
        <v>202</v>
      </c>
      <c r="B16" s="881" t="s">
        <v>203</v>
      </c>
      <c r="C16" s="1332">
        <f t="shared" si="4"/>
        <v>3</v>
      </c>
      <c r="D16" s="1333">
        <f t="shared" si="4"/>
        <v>11</v>
      </c>
      <c r="E16" s="882">
        <f>+'91'!E16+'92'!E16+'93'!E16+'94'!E16+'95'!E16</f>
        <v>1</v>
      </c>
      <c r="F16" s="882">
        <f>+'91'!F16+'92'!F16+'93'!F16+'94'!F16+'95'!F16</f>
        <v>6</v>
      </c>
      <c r="G16" s="1354">
        <f>+'91'!G16+'92'!G16+'93'!G16+'94'!G16+'95'!G16</f>
        <v>0</v>
      </c>
      <c r="H16" s="883">
        <f>+'91'!H16+'92'!H16+'93'!H16+'94'!H16+'95'!H16</f>
        <v>1</v>
      </c>
      <c r="I16" s="1354">
        <f>+'91'!I16+'92'!I16+'93'!I16+'94'!I16+'95'!I16</f>
        <v>2</v>
      </c>
      <c r="J16" s="883">
        <f>+'91'!J16+'92'!J16+'93'!J16+'94'!J16+'95'!J16</f>
        <v>4</v>
      </c>
      <c r="K16" s="882">
        <f>+'91'!K16+'92'!K16+'93'!K16+'94'!K16+'95'!K16</f>
        <v>0</v>
      </c>
      <c r="L16" s="882">
        <f>+'91'!L16+'92'!L16+'93'!L16+'94'!L16+'95'!L16</f>
        <v>0</v>
      </c>
      <c r="M16" s="1324">
        <f t="shared" si="3"/>
        <v>12</v>
      </c>
      <c r="N16" s="1325">
        <f t="shared" si="3"/>
        <v>10</v>
      </c>
      <c r="O16" s="882">
        <f>+'91'!O16+'92'!O16+'93'!O16+'94'!O16+'95'!O16</f>
        <v>7</v>
      </c>
      <c r="P16" s="882">
        <f>+'91'!P16+'92'!P16+'93'!P16+'94'!P16+'95'!P16</f>
        <v>5</v>
      </c>
      <c r="Q16" s="1354">
        <f>+'91'!Q16+'92'!Q16+'93'!Q16+'94'!Q16+'95'!Q16</f>
        <v>1</v>
      </c>
      <c r="R16" s="883">
        <f>+'91'!R16+'92'!R16+'93'!R16+'94'!R16+'95'!R16</f>
        <v>1</v>
      </c>
      <c r="S16" s="882">
        <f>+'91'!S16+'92'!S16+'93'!S16+'94'!S16+'95'!S16</f>
        <v>2</v>
      </c>
      <c r="T16" s="882">
        <f>+'91'!T16+'92'!T16+'93'!T16+'94'!T16+'95'!T16</f>
        <v>0</v>
      </c>
      <c r="U16" s="1354">
        <f>+'91'!U16+'92'!U16+'93'!U16+'94'!U16+'95'!U16</f>
        <v>0</v>
      </c>
      <c r="V16" s="883">
        <f>+'91'!V16+'92'!V16+'93'!V16+'94'!V16+'95'!V16</f>
        <v>0</v>
      </c>
      <c r="W16" s="882">
        <f>+'91'!W16+'92'!W16+'93'!W16+'94'!W16+'95'!W16</f>
        <v>2</v>
      </c>
      <c r="X16" s="882">
        <f>+'91'!X16+'92'!X16+'93'!X16+'94'!X16+'95'!X16</f>
        <v>4</v>
      </c>
      <c r="Y16" s="1354">
        <f>+'91'!Y16+'92'!Y16+'93'!Y16+'94'!Y16+'95'!Y16</f>
        <v>0</v>
      </c>
      <c r="Z16" s="883">
        <f>+'91'!Z16+'92'!Z16+'93'!Z16+'94'!Z16+'95'!Z16</f>
        <v>0</v>
      </c>
      <c r="AA16" s="882">
        <f>+'91'!AA16+'92'!AA16+'93'!AA16+'94'!AA16+'95'!AA16</f>
        <v>3</v>
      </c>
      <c r="AB16" s="882">
        <f>+'91'!AB16+'92'!AB16+'93'!AB16+'94'!AB16+'95'!AB16</f>
        <v>7</v>
      </c>
      <c r="AC16" s="1366">
        <f t="shared" si="5"/>
        <v>18</v>
      </c>
      <c r="AD16" s="1367">
        <f t="shared" si="5"/>
        <v>28</v>
      </c>
      <c r="AE16" s="1368">
        <f t="shared" si="6"/>
        <v>46</v>
      </c>
    </row>
    <row r="17" spans="1:31" ht="20.25" customHeight="1">
      <c r="A17" s="880" t="s">
        <v>691</v>
      </c>
      <c r="B17" s="881" t="s">
        <v>692</v>
      </c>
      <c r="C17" s="1332">
        <f t="shared" si="4"/>
        <v>280</v>
      </c>
      <c r="D17" s="1333">
        <f t="shared" si="4"/>
        <v>233</v>
      </c>
      <c r="E17" s="882">
        <f>+'91'!E17+'92'!E17+'93'!E17+'94'!E17+'95'!E17</f>
        <v>177</v>
      </c>
      <c r="F17" s="882">
        <f>+'91'!F17+'92'!F17+'93'!F17+'94'!F17+'95'!F17</f>
        <v>161</v>
      </c>
      <c r="G17" s="1354">
        <f>+'91'!G17+'92'!G17+'93'!G17+'94'!G17+'95'!G17</f>
        <v>36</v>
      </c>
      <c r="H17" s="883">
        <f>+'91'!H17+'92'!H17+'93'!H17+'94'!H17+'95'!H17</f>
        <v>28</v>
      </c>
      <c r="I17" s="1354">
        <f>+'91'!I17+'92'!I17+'93'!I17+'94'!I17+'95'!I17</f>
        <v>42</v>
      </c>
      <c r="J17" s="883">
        <f>+'91'!J17+'92'!J17+'93'!J17+'94'!J17+'95'!J17</f>
        <v>34</v>
      </c>
      <c r="K17" s="882">
        <f>+'91'!K17+'92'!K17+'93'!K17+'94'!K17+'95'!K17</f>
        <v>25</v>
      </c>
      <c r="L17" s="882">
        <f>+'91'!L17+'92'!L17+'93'!L17+'94'!L17+'95'!L17</f>
        <v>10</v>
      </c>
      <c r="M17" s="1324">
        <f t="shared" si="3"/>
        <v>555</v>
      </c>
      <c r="N17" s="1325">
        <f t="shared" si="3"/>
        <v>437</v>
      </c>
      <c r="O17" s="882">
        <f>+'91'!O17+'92'!O17+'93'!O17+'94'!O17+'95'!O17</f>
        <v>266</v>
      </c>
      <c r="P17" s="882">
        <f>+'91'!P17+'92'!P17+'93'!P17+'94'!P17+'95'!P17</f>
        <v>188</v>
      </c>
      <c r="Q17" s="1354">
        <f>+'91'!Q17+'92'!Q17+'93'!Q17+'94'!Q17+'95'!Q17</f>
        <v>65</v>
      </c>
      <c r="R17" s="883">
        <f>+'91'!R17+'92'!R17+'93'!R17+'94'!R17+'95'!R17</f>
        <v>77</v>
      </c>
      <c r="S17" s="882">
        <f>+'91'!S17+'92'!S17+'93'!S17+'94'!S17+'95'!S17</f>
        <v>47</v>
      </c>
      <c r="T17" s="882">
        <f>+'91'!T17+'92'!T17+'93'!T17+'94'!T17+'95'!T17</f>
        <v>39</v>
      </c>
      <c r="U17" s="1354">
        <f>+'91'!U17+'92'!U17+'93'!U17+'94'!U17+'95'!U17</f>
        <v>19</v>
      </c>
      <c r="V17" s="883">
        <f>+'91'!V17+'92'!V17+'93'!V17+'94'!V17+'95'!V17</f>
        <v>13</v>
      </c>
      <c r="W17" s="882">
        <f>+'91'!W17+'92'!W17+'93'!W17+'94'!W17+'95'!W17</f>
        <v>115</v>
      </c>
      <c r="X17" s="882">
        <f>+'91'!X17+'92'!X17+'93'!X17+'94'!X17+'95'!X17</f>
        <v>73</v>
      </c>
      <c r="Y17" s="1354">
        <f>+'91'!Y17+'92'!Y17+'93'!Y17+'94'!Y17+'95'!Y17</f>
        <v>43</v>
      </c>
      <c r="Z17" s="883">
        <f>+'91'!Z17+'92'!Z17+'93'!Z17+'94'!Z17+'95'!Z17</f>
        <v>47</v>
      </c>
      <c r="AA17" s="882">
        <f>+'91'!AA17+'92'!AA17+'93'!AA17+'94'!AA17+'95'!AA17</f>
        <v>134</v>
      </c>
      <c r="AB17" s="882">
        <f>+'91'!AB17+'92'!AB17+'93'!AB17+'94'!AB17+'95'!AB17</f>
        <v>89</v>
      </c>
      <c r="AC17" s="1366">
        <f t="shared" si="5"/>
        <v>969</v>
      </c>
      <c r="AD17" s="1367">
        <f t="shared" si="5"/>
        <v>759</v>
      </c>
      <c r="AE17" s="1368">
        <f t="shared" si="6"/>
        <v>1728</v>
      </c>
    </row>
    <row r="18" spans="1:31" ht="19.5" customHeight="1">
      <c r="A18" s="880" t="s">
        <v>695</v>
      </c>
      <c r="B18" s="881" t="s">
        <v>696</v>
      </c>
      <c r="C18" s="1332">
        <f t="shared" si="4"/>
        <v>176</v>
      </c>
      <c r="D18" s="1333">
        <f t="shared" si="4"/>
        <v>138</v>
      </c>
      <c r="E18" s="882">
        <f>+'91'!E18+'92'!E18+'93'!E18+'94'!E18+'95'!E18</f>
        <v>124</v>
      </c>
      <c r="F18" s="882">
        <f>+'91'!F18+'92'!F18+'93'!F18+'94'!F18+'95'!F18</f>
        <v>97</v>
      </c>
      <c r="G18" s="1354">
        <f>+'91'!G18+'92'!G18+'93'!G18+'94'!G18+'95'!G18</f>
        <v>23</v>
      </c>
      <c r="H18" s="883">
        <f>+'91'!H18+'92'!H18+'93'!H18+'94'!H18+'95'!H18</f>
        <v>19</v>
      </c>
      <c r="I18" s="1354">
        <f>+'91'!I18+'92'!I18+'93'!I18+'94'!I18+'95'!I18</f>
        <v>13</v>
      </c>
      <c r="J18" s="883">
        <f>+'91'!J18+'92'!J18+'93'!J18+'94'!J18+'95'!J18</f>
        <v>12</v>
      </c>
      <c r="K18" s="882">
        <f>+'91'!K18+'92'!K18+'93'!K18+'94'!K18+'95'!K18</f>
        <v>16</v>
      </c>
      <c r="L18" s="882">
        <f>+'91'!L18+'92'!L18+'93'!L18+'94'!L18+'95'!L18</f>
        <v>10</v>
      </c>
      <c r="M18" s="1324">
        <f t="shared" si="3"/>
        <v>384</v>
      </c>
      <c r="N18" s="1325">
        <f t="shared" si="3"/>
        <v>344</v>
      </c>
      <c r="O18" s="882">
        <f>+'91'!O18+'92'!O18+'93'!O18+'94'!O18+'95'!O18</f>
        <v>126</v>
      </c>
      <c r="P18" s="882">
        <f>+'91'!P18+'92'!P18+'93'!P18+'94'!P18+'95'!P18</f>
        <v>107</v>
      </c>
      <c r="Q18" s="1354">
        <f>+'91'!Q18+'92'!Q18+'93'!Q18+'94'!Q18+'95'!Q18</f>
        <v>74</v>
      </c>
      <c r="R18" s="883">
        <f>+'91'!R18+'92'!R18+'93'!R18+'94'!R18+'95'!R18</f>
        <v>63</v>
      </c>
      <c r="S18" s="882">
        <f>+'91'!S18+'92'!S18+'93'!S18+'94'!S18+'95'!S18</f>
        <v>25</v>
      </c>
      <c r="T18" s="882">
        <f>+'91'!T18+'92'!T18+'93'!T18+'94'!T18+'95'!T18</f>
        <v>19</v>
      </c>
      <c r="U18" s="1354">
        <f>+'91'!U18+'92'!U18+'93'!U18+'94'!U18+'95'!U18</f>
        <v>13</v>
      </c>
      <c r="V18" s="883">
        <f>+'91'!V18+'92'!V18+'93'!V18+'94'!V18+'95'!V18</f>
        <v>7</v>
      </c>
      <c r="W18" s="882">
        <f>+'91'!W18+'92'!W18+'93'!W18+'94'!W18+'95'!W18</f>
        <v>100</v>
      </c>
      <c r="X18" s="882">
        <f>+'91'!X18+'92'!X18+'93'!X18+'94'!X18+'95'!X18</f>
        <v>96</v>
      </c>
      <c r="Y18" s="1354">
        <f>+'91'!Y18+'92'!Y18+'93'!Y18+'94'!Y18+'95'!Y18</f>
        <v>46</v>
      </c>
      <c r="Z18" s="883">
        <f>+'91'!Z18+'92'!Z18+'93'!Z18+'94'!Z18+'95'!Z18</f>
        <v>52</v>
      </c>
      <c r="AA18" s="882">
        <f>+'91'!AA18+'92'!AA18+'93'!AA18+'94'!AA18+'95'!AA18</f>
        <v>78</v>
      </c>
      <c r="AB18" s="882">
        <f>+'91'!AB18+'92'!AB18+'93'!AB18+'94'!AB18+'95'!AB18</f>
        <v>89</v>
      </c>
      <c r="AC18" s="1366">
        <f t="shared" si="5"/>
        <v>638</v>
      </c>
      <c r="AD18" s="1367">
        <f t="shared" si="5"/>
        <v>571</v>
      </c>
      <c r="AE18" s="1368">
        <f t="shared" si="6"/>
        <v>1209</v>
      </c>
    </row>
    <row r="19" spans="1:31" ht="19.5" customHeight="1">
      <c r="A19" s="880" t="s">
        <v>712</v>
      </c>
      <c r="B19" s="881" t="s">
        <v>713</v>
      </c>
      <c r="C19" s="1332">
        <f t="shared" si="4"/>
        <v>415</v>
      </c>
      <c r="D19" s="1333">
        <f t="shared" si="4"/>
        <v>469</v>
      </c>
      <c r="E19" s="882">
        <f>+'91'!E19+'92'!E19+'93'!E19+'94'!E19+'95'!E19</f>
        <v>254</v>
      </c>
      <c r="F19" s="882">
        <f>+'91'!F19+'92'!F19+'93'!F19+'94'!F19+'95'!F19</f>
        <v>283</v>
      </c>
      <c r="G19" s="1354">
        <f>+'91'!G19+'92'!G19+'93'!G19+'94'!G19+'95'!G19</f>
        <v>72</v>
      </c>
      <c r="H19" s="883">
        <f>+'91'!H19+'92'!H19+'93'!H19+'94'!H19+'95'!H19</f>
        <v>86</v>
      </c>
      <c r="I19" s="1354">
        <f>+'91'!I19+'92'!I19+'93'!I19+'94'!I19+'95'!I19</f>
        <v>58</v>
      </c>
      <c r="J19" s="883">
        <f>+'91'!J19+'92'!J19+'93'!J19+'94'!J19+'95'!J19</f>
        <v>51</v>
      </c>
      <c r="K19" s="882">
        <f>+'91'!K19+'92'!K19+'93'!K19+'94'!K19+'95'!K19</f>
        <v>31</v>
      </c>
      <c r="L19" s="882">
        <f>+'91'!L19+'92'!L19+'93'!L19+'94'!L19+'95'!L19</f>
        <v>49</v>
      </c>
      <c r="M19" s="1324">
        <f t="shared" si="3"/>
        <v>680</v>
      </c>
      <c r="N19" s="1325">
        <f t="shared" si="3"/>
        <v>655</v>
      </c>
      <c r="O19" s="882">
        <f>+'91'!O19+'92'!O19+'93'!O19+'94'!O19+'95'!O19</f>
        <v>335</v>
      </c>
      <c r="P19" s="882">
        <f>+'91'!P19+'92'!P19+'93'!P19+'94'!P19+'95'!P19</f>
        <v>333</v>
      </c>
      <c r="Q19" s="1354">
        <f>+'91'!Q19+'92'!Q19+'93'!Q19+'94'!Q19+'95'!Q19</f>
        <v>78</v>
      </c>
      <c r="R19" s="883">
        <f>+'91'!R19+'92'!R19+'93'!R19+'94'!R19+'95'!R19</f>
        <v>81</v>
      </c>
      <c r="S19" s="882">
        <f>+'91'!S19+'92'!S19+'93'!S19+'94'!S19+'95'!S19</f>
        <v>75</v>
      </c>
      <c r="T19" s="882">
        <f>+'91'!T19+'92'!T19+'93'!T19+'94'!T19+'95'!T19</f>
        <v>52</v>
      </c>
      <c r="U19" s="1354">
        <f>+'91'!U19+'92'!U19+'93'!U19+'94'!U19+'95'!U19</f>
        <v>32</v>
      </c>
      <c r="V19" s="883">
        <f>+'91'!V19+'92'!V19+'93'!V19+'94'!V19+'95'!V19</f>
        <v>29</v>
      </c>
      <c r="W19" s="882">
        <f>+'91'!W19+'92'!W19+'93'!W19+'94'!W19+'95'!W19</f>
        <v>108</v>
      </c>
      <c r="X19" s="882">
        <f>+'91'!X19+'92'!X19+'93'!X19+'94'!X19+'95'!X19</f>
        <v>100</v>
      </c>
      <c r="Y19" s="1354">
        <f>+'91'!Y19+'92'!Y19+'93'!Y19+'94'!Y19+'95'!Y19</f>
        <v>52</v>
      </c>
      <c r="Z19" s="883">
        <f>+'91'!Z19+'92'!Z19+'93'!Z19+'94'!Z19+'95'!Z19</f>
        <v>60</v>
      </c>
      <c r="AA19" s="882">
        <f>+'91'!AA19+'92'!AA19+'93'!AA19+'94'!AA19+'95'!AA19</f>
        <v>147</v>
      </c>
      <c r="AB19" s="882">
        <f>+'91'!AB19+'92'!AB19+'93'!AB19+'94'!AB19+'95'!AB19</f>
        <v>165</v>
      </c>
      <c r="AC19" s="1366">
        <f t="shared" si="5"/>
        <v>1242</v>
      </c>
      <c r="AD19" s="1367">
        <f t="shared" si="5"/>
        <v>1289</v>
      </c>
      <c r="AE19" s="1368">
        <f t="shared" si="6"/>
        <v>2531</v>
      </c>
    </row>
    <row r="20" spans="1:31" ht="18.75" customHeight="1">
      <c r="A20" s="880" t="s">
        <v>204</v>
      </c>
      <c r="B20" s="881" t="s">
        <v>205</v>
      </c>
      <c r="C20" s="1332">
        <f t="shared" si="4"/>
        <v>41</v>
      </c>
      <c r="D20" s="1333">
        <f t="shared" si="4"/>
        <v>24</v>
      </c>
      <c r="E20" s="882">
        <f>+'91'!E20+'92'!E20+'93'!E20+'94'!E20+'95'!E20</f>
        <v>29</v>
      </c>
      <c r="F20" s="882">
        <f>+'91'!F20+'92'!F20+'93'!F20+'94'!F20+'95'!F20</f>
        <v>16</v>
      </c>
      <c r="G20" s="1354">
        <f>+'91'!G20+'92'!G20+'93'!G20+'94'!G20+'95'!G20</f>
        <v>5</v>
      </c>
      <c r="H20" s="883">
        <f>+'91'!H20+'92'!H20+'93'!H20+'94'!H20+'95'!H20</f>
        <v>3</v>
      </c>
      <c r="I20" s="1354">
        <f>+'91'!I20+'92'!I20+'93'!I20+'94'!I20+'95'!I20</f>
        <v>2</v>
      </c>
      <c r="J20" s="883">
        <f>+'91'!J20+'92'!J20+'93'!J20+'94'!J20+'95'!J20</f>
        <v>3</v>
      </c>
      <c r="K20" s="882">
        <f>+'91'!K20+'92'!K20+'93'!K20+'94'!K20+'95'!K20</f>
        <v>5</v>
      </c>
      <c r="L20" s="882">
        <f>+'91'!L20+'92'!L20+'93'!L20+'94'!L20+'95'!L20</f>
        <v>2</v>
      </c>
      <c r="M20" s="1324">
        <f t="shared" si="3"/>
        <v>71</v>
      </c>
      <c r="N20" s="1325">
        <f t="shared" si="3"/>
        <v>89</v>
      </c>
      <c r="O20" s="882">
        <f>+'91'!O20+'92'!O20+'93'!O20+'94'!O20+'95'!O20</f>
        <v>32</v>
      </c>
      <c r="P20" s="882">
        <f>+'91'!P20+'92'!P20+'93'!P20+'94'!P20+'95'!P20</f>
        <v>37</v>
      </c>
      <c r="Q20" s="1354">
        <f>+'91'!Q20+'92'!Q20+'93'!Q20+'94'!Q20+'95'!Q20</f>
        <v>6</v>
      </c>
      <c r="R20" s="883">
        <f>+'91'!R20+'92'!R20+'93'!R20+'94'!R20+'95'!R20</f>
        <v>11</v>
      </c>
      <c r="S20" s="882">
        <f>+'91'!S20+'92'!S20+'93'!S20+'94'!S20+'95'!S20</f>
        <v>7</v>
      </c>
      <c r="T20" s="882">
        <f>+'91'!T20+'92'!T20+'93'!T20+'94'!T20+'95'!T20</f>
        <v>17</v>
      </c>
      <c r="U20" s="1354">
        <f>+'91'!U20+'92'!U20+'93'!U20+'94'!U20+'95'!U20</f>
        <v>4</v>
      </c>
      <c r="V20" s="883">
        <f>+'91'!V20+'92'!V20+'93'!V20+'94'!V20+'95'!V20</f>
        <v>2</v>
      </c>
      <c r="W20" s="882">
        <f>+'91'!W20+'92'!W20+'93'!W20+'94'!W20+'95'!W20</f>
        <v>12</v>
      </c>
      <c r="X20" s="882">
        <f>+'91'!X20+'92'!X20+'93'!X20+'94'!X20+'95'!X20</f>
        <v>13</v>
      </c>
      <c r="Y20" s="1354">
        <f>+'91'!Y20+'92'!Y20+'93'!Y20+'94'!Y20+'95'!Y20</f>
        <v>10</v>
      </c>
      <c r="Z20" s="883">
        <f>+'91'!Z20+'92'!Z20+'93'!Z20+'94'!Z20+'95'!Z20</f>
        <v>9</v>
      </c>
      <c r="AA20" s="882">
        <f>+'91'!AA20+'92'!AA20+'93'!AA20+'94'!AA20+'95'!AA20</f>
        <v>15</v>
      </c>
      <c r="AB20" s="882">
        <f>+'91'!AB20+'92'!AB20+'93'!AB20+'94'!AB20+'95'!AB20</f>
        <v>11</v>
      </c>
      <c r="AC20" s="1366">
        <f t="shared" si="5"/>
        <v>127</v>
      </c>
      <c r="AD20" s="1367">
        <f t="shared" si="5"/>
        <v>124</v>
      </c>
      <c r="AE20" s="1368">
        <f t="shared" si="6"/>
        <v>251</v>
      </c>
    </row>
    <row r="21" spans="1:31" ht="19.5" customHeight="1">
      <c r="A21" s="880" t="s">
        <v>206</v>
      </c>
      <c r="B21" s="881" t="s">
        <v>207</v>
      </c>
      <c r="C21" s="1332">
        <f t="shared" si="4"/>
        <v>60</v>
      </c>
      <c r="D21" s="1333">
        <f t="shared" si="4"/>
        <v>101</v>
      </c>
      <c r="E21" s="882">
        <f>+'91'!E21+'92'!E21+'93'!E21+'94'!E21+'95'!E21</f>
        <v>39</v>
      </c>
      <c r="F21" s="882">
        <f>+'91'!F21+'92'!F21+'93'!F21+'94'!F21+'95'!F21</f>
        <v>56</v>
      </c>
      <c r="G21" s="1354">
        <f>+'91'!G21+'92'!G21+'93'!G21+'94'!G21+'95'!G21</f>
        <v>4</v>
      </c>
      <c r="H21" s="883">
        <f>+'91'!H21+'92'!H21+'93'!H21+'94'!H21+'95'!H21</f>
        <v>21</v>
      </c>
      <c r="I21" s="1354">
        <f>+'91'!I21+'92'!I21+'93'!I21+'94'!I21+'95'!I21</f>
        <v>10</v>
      </c>
      <c r="J21" s="883">
        <f>+'91'!J21+'92'!J21+'93'!J21+'94'!J21+'95'!J21</f>
        <v>19</v>
      </c>
      <c r="K21" s="882">
        <f>+'91'!K21+'92'!K21+'93'!K21+'94'!K21+'95'!K21</f>
        <v>7</v>
      </c>
      <c r="L21" s="882">
        <f>+'91'!L21+'92'!L21+'93'!L21+'94'!L21+'95'!L21</f>
        <v>5</v>
      </c>
      <c r="M21" s="1324">
        <f t="shared" si="3"/>
        <v>86</v>
      </c>
      <c r="N21" s="1325">
        <f t="shared" si="3"/>
        <v>119</v>
      </c>
      <c r="O21" s="882">
        <f>+'91'!O21+'92'!O21+'93'!O21+'94'!O21+'95'!O21</f>
        <v>36</v>
      </c>
      <c r="P21" s="882">
        <f>+'91'!P21+'92'!P21+'93'!P21+'94'!P21+'95'!P21</f>
        <v>49</v>
      </c>
      <c r="Q21" s="1354">
        <f>+'91'!Q21+'92'!Q21+'93'!Q21+'94'!Q21+'95'!Q21</f>
        <v>10</v>
      </c>
      <c r="R21" s="883">
        <f>+'91'!R21+'92'!R21+'93'!R21+'94'!R21+'95'!R21</f>
        <v>20</v>
      </c>
      <c r="S21" s="882">
        <f>+'91'!S21+'92'!S21+'93'!S21+'94'!S21+'95'!S21</f>
        <v>9</v>
      </c>
      <c r="T21" s="882">
        <f>+'91'!T21+'92'!T21+'93'!T21+'94'!T21+'95'!T21</f>
        <v>8</v>
      </c>
      <c r="U21" s="1354">
        <f>+'91'!U21+'92'!U21+'93'!U21+'94'!U21+'95'!U21</f>
        <v>5</v>
      </c>
      <c r="V21" s="883">
        <f>+'91'!V21+'92'!V21+'93'!V21+'94'!V21+'95'!V21</f>
        <v>7</v>
      </c>
      <c r="W21" s="882">
        <f>+'91'!W21+'92'!W21+'93'!W21+'94'!W21+'95'!W21</f>
        <v>18</v>
      </c>
      <c r="X21" s="882">
        <f>+'91'!X21+'92'!X21+'93'!X21+'94'!X21+'95'!X21</f>
        <v>22</v>
      </c>
      <c r="Y21" s="1354">
        <f>+'91'!Y21+'92'!Y21+'93'!Y21+'94'!Y21+'95'!Y21</f>
        <v>8</v>
      </c>
      <c r="Z21" s="883">
        <f>+'91'!Z21+'92'!Z21+'93'!Z21+'94'!Z21+'95'!Z21</f>
        <v>13</v>
      </c>
      <c r="AA21" s="882">
        <f>+'91'!AA21+'92'!AA21+'93'!AA21+'94'!AA21+'95'!AA21</f>
        <v>40</v>
      </c>
      <c r="AB21" s="882">
        <f>+'91'!AB21+'92'!AB21+'93'!AB21+'94'!AB21+'95'!AB21</f>
        <v>80</v>
      </c>
      <c r="AC21" s="1366">
        <f t="shared" si="5"/>
        <v>186</v>
      </c>
      <c r="AD21" s="1367">
        <f t="shared" si="5"/>
        <v>300</v>
      </c>
      <c r="AE21" s="1368">
        <f t="shared" si="6"/>
        <v>486</v>
      </c>
    </row>
    <row r="22" spans="1:31" ht="19.5" customHeight="1">
      <c r="A22" s="880" t="s">
        <v>714</v>
      </c>
      <c r="B22" s="881" t="s">
        <v>715</v>
      </c>
      <c r="C22" s="1332">
        <f t="shared" si="4"/>
        <v>235</v>
      </c>
      <c r="D22" s="1333">
        <f t="shared" si="4"/>
        <v>280</v>
      </c>
      <c r="E22" s="882">
        <f>+'91'!E22+'92'!E22+'93'!E22+'94'!E22+'95'!E22</f>
        <v>158</v>
      </c>
      <c r="F22" s="882">
        <f>+'91'!F22+'92'!F22+'93'!F22+'94'!F22+'95'!F22</f>
        <v>162</v>
      </c>
      <c r="G22" s="1354">
        <f>+'91'!G22+'92'!G22+'93'!G22+'94'!G22+'95'!G22</f>
        <v>44</v>
      </c>
      <c r="H22" s="883">
        <f>+'91'!H22+'92'!H22+'93'!H22+'94'!H22+'95'!H22</f>
        <v>49</v>
      </c>
      <c r="I22" s="1354">
        <f>+'91'!I22+'92'!I22+'93'!I22+'94'!I22+'95'!I22</f>
        <v>22</v>
      </c>
      <c r="J22" s="883">
        <f>+'91'!J22+'92'!J22+'93'!J22+'94'!J22+'95'!J22</f>
        <v>38</v>
      </c>
      <c r="K22" s="882">
        <f>+'91'!K22+'92'!K22+'93'!K22+'94'!K22+'95'!K22</f>
        <v>11</v>
      </c>
      <c r="L22" s="882">
        <f>+'91'!L22+'92'!L22+'93'!L22+'94'!L22+'95'!L22</f>
        <v>31</v>
      </c>
      <c r="M22" s="1324">
        <f t="shared" si="3"/>
        <v>348</v>
      </c>
      <c r="N22" s="1325">
        <f t="shared" si="3"/>
        <v>433</v>
      </c>
      <c r="O22" s="882">
        <f>+'91'!O22+'92'!O22+'93'!O22+'94'!O22+'95'!O22</f>
        <v>175</v>
      </c>
      <c r="P22" s="882">
        <f>+'91'!P22+'92'!P22+'93'!P22+'94'!P22+'95'!P22</f>
        <v>219</v>
      </c>
      <c r="Q22" s="1354">
        <f>+'91'!Q22+'92'!Q22+'93'!Q22+'94'!Q22+'95'!Q22</f>
        <v>42</v>
      </c>
      <c r="R22" s="883">
        <f>+'91'!R22+'92'!R22+'93'!R22+'94'!R22+'95'!R22</f>
        <v>57</v>
      </c>
      <c r="S22" s="882">
        <f>+'91'!S22+'92'!S22+'93'!S22+'94'!S22+'95'!S22</f>
        <v>35</v>
      </c>
      <c r="T22" s="882">
        <f>+'91'!T22+'92'!T22+'93'!T22+'94'!T22+'95'!T22</f>
        <v>37</v>
      </c>
      <c r="U22" s="1354">
        <f>+'91'!U22+'92'!U22+'93'!U22+'94'!U22+'95'!U22</f>
        <v>16</v>
      </c>
      <c r="V22" s="883">
        <f>+'91'!V22+'92'!V22+'93'!V22+'94'!V22+'95'!V22</f>
        <v>11</v>
      </c>
      <c r="W22" s="882">
        <f>+'91'!W22+'92'!W22+'93'!W22+'94'!W22+'95'!W22</f>
        <v>53</v>
      </c>
      <c r="X22" s="882">
        <f>+'91'!X22+'92'!X22+'93'!X22+'94'!X22+'95'!X22</f>
        <v>73</v>
      </c>
      <c r="Y22" s="1354">
        <f>+'91'!Y22+'92'!Y22+'93'!Y22+'94'!Y22+'95'!Y22</f>
        <v>27</v>
      </c>
      <c r="Z22" s="883">
        <f>+'91'!Z22+'92'!Z22+'93'!Z22+'94'!Z22+'95'!Z22</f>
        <v>36</v>
      </c>
      <c r="AA22" s="882">
        <f>+'91'!AA22+'92'!AA22+'93'!AA22+'94'!AA22+'95'!AA22</f>
        <v>119</v>
      </c>
      <c r="AB22" s="882">
        <f>+'91'!AB22+'92'!AB22+'93'!AB22+'94'!AB22+'95'!AB22</f>
        <v>131</v>
      </c>
      <c r="AC22" s="1366">
        <f t="shared" si="5"/>
        <v>702</v>
      </c>
      <c r="AD22" s="1367">
        <f t="shared" si="5"/>
        <v>844</v>
      </c>
      <c r="AE22" s="1368">
        <f t="shared" si="6"/>
        <v>1546</v>
      </c>
    </row>
    <row r="23" spans="1:31" ht="18.75" customHeight="1">
      <c r="A23" s="880" t="s">
        <v>208</v>
      </c>
      <c r="B23" s="881" t="s">
        <v>209</v>
      </c>
      <c r="C23" s="1332">
        <f t="shared" si="4"/>
        <v>0</v>
      </c>
      <c r="D23" s="1333">
        <f t="shared" si="4"/>
        <v>986</v>
      </c>
      <c r="E23" s="882">
        <f>+'91'!E23+'92'!E23+'93'!E23+'94'!E23+'95'!E23</f>
        <v>0</v>
      </c>
      <c r="F23" s="882">
        <f>+'91'!F23+'92'!F23+'93'!F23+'94'!F23+'95'!F23</f>
        <v>625</v>
      </c>
      <c r="G23" s="1354">
        <f>+'91'!G23+'92'!G23+'93'!G23+'94'!G23+'95'!G23</f>
        <v>0</v>
      </c>
      <c r="H23" s="883">
        <f>+'91'!H23+'92'!H23+'93'!H23+'94'!H23+'95'!H23</f>
        <v>139</v>
      </c>
      <c r="I23" s="1354">
        <f>+'91'!I23+'92'!I23+'93'!I23+'94'!I23+'95'!I23</f>
        <v>0</v>
      </c>
      <c r="J23" s="883">
        <f>+'91'!J23+'92'!J23+'93'!J23+'94'!J23+'95'!J23</f>
        <v>114</v>
      </c>
      <c r="K23" s="882">
        <f>+'91'!K23+'92'!K23+'93'!K23+'94'!K23+'95'!K23</f>
        <v>0</v>
      </c>
      <c r="L23" s="882">
        <f>+'91'!L23+'92'!L23+'93'!L23+'94'!L23+'95'!L23</f>
        <v>108</v>
      </c>
      <c r="M23" s="1324">
        <f t="shared" si="3"/>
        <v>0</v>
      </c>
      <c r="N23" s="1325">
        <f t="shared" si="3"/>
        <v>1750</v>
      </c>
      <c r="O23" s="882">
        <f>+'91'!O23+'92'!O23+'93'!O23+'94'!O23+'95'!O23</f>
        <v>0</v>
      </c>
      <c r="P23" s="882">
        <f>+'91'!P23+'92'!P23+'93'!P23+'94'!P23+'95'!P23</f>
        <v>894</v>
      </c>
      <c r="Q23" s="1354">
        <f>+'91'!Q23+'92'!Q23+'93'!Q23+'94'!Q23+'95'!Q23</f>
        <v>0</v>
      </c>
      <c r="R23" s="883">
        <f>+'91'!R23+'92'!R23+'93'!R23+'94'!R23+'95'!R23</f>
        <v>175</v>
      </c>
      <c r="S23" s="882">
        <f>+'91'!S23+'92'!S23+'93'!S23+'94'!S23+'95'!S23</f>
        <v>0</v>
      </c>
      <c r="T23" s="882">
        <f>+'91'!T23+'92'!T23+'93'!T23+'94'!T23+'95'!T23</f>
        <v>166</v>
      </c>
      <c r="U23" s="1354">
        <f>+'91'!U23+'92'!U23+'93'!U23+'94'!U23+'95'!U23</f>
        <v>0</v>
      </c>
      <c r="V23" s="883">
        <f>+'91'!V23+'92'!V23+'93'!V23+'94'!V23+'95'!V23</f>
        <v>74</v>
      </c>
      <c r="W23" s="882">
        <f>+'91'!W23+'92'!W23+'93'!W23+'94'!W23+'95'!W23</f>
        <v>0</v>
      </c>
      <c r="X23" s="882">
        <f>+'91'!X23+'92'!X23+'93'!X23+'94'!X23+'95'!X23</f>
        <v>297</v>
      </c>
      <c r="Y23" s="1354">
        <f>+'91'!Y23+'92'!Y23+'93'!Y23+'94'!Y23+'95'!Y23</f>
        <v>0</v>
      </c>
      <c r="Z23" s="883">
        <f>+'91'!Z23+'92'!Z23+'93'!Z23+'94'!Z23+'95'!Z23</f>
        <v>144</v>
      </c>
      <c r="AA23" s="882">
        <f>+'91'!AA23+'92'!AA23+'93'!AA23+'94'!AA23+'95'!AA23</f>
        <v>2</v>
      </c>
      <c r="AB23" s="882">
        <f>+'91'!AB23+'92'!AB23+'93'!AB23+'94'!AB23+'95'!AB23</f>
        <v>661</v>
      </c>
      <c r="AC23" s="1366">
        <f t="shared" si="5"/>
        <v>2</v>
      </c>
      <c r="AD23" s="1367">
        <f t="shared" si="5"/>
        <v>3397</v>
      </c>
      <c r="AE23" s="1368">
        <f t="shared" si="6"/>
        <v>3399</v>
      </c>
    </row>
    <row r="24" spans="1:31" ht="19.5" customHeight="1">
      <c r="A24" s="880" t="s">
        <v>722</v>
      </c>
      <c r="B24" s="881" t="s">
        <v>723</v>
      </c>
      <c r="C24" s="1332">
        <f t="shared" si="4"/>
        <v>114</v>
      </c>
      <c r="D24" s="1333">
        <f t="shared" si="4"/>
        <v>76</v>
      </c>
      <c r="E24" s="882">
        <f>+'91'!E24+'92'!E24+'93'!E24+'94'!E24+'95'!E24</f>
        <v>70</v>
      </c>
      <c r="F24" s="882">
        <f>+'91'!F24+'92'!F24+'93'!F24+'94'!F24+'95'!F24</f>
        <v>46</v>
      </c>
      <c r="G24" s="1354">
        <f>+'91'!G24+'92'!G24+'93'!G24+'94'!G24+'95'!G24</f>
        <v>20</v>
      </c>
      <c r="H24" s="883">
        <f>+'91'!H24+'92'!H24+'93'!H24+'94'!H24+'95'!H24</f>
        <v>14</v>
      </c>
      <c r="I24" s="1354">
        <f>+'91'!I24+'92'!I24+'93'!I24+'94'!I24+'95'!I24</f>
        <v>15</v>
      </c>
      <c r="J24" s="883">
        <f>+'91'!J24+'92'!J24+'93'!J24+'94'!J24+'95'!J24</f>
        <v>9</v>
      </c>
      <c r="K24" s="882">
        <f>+'91'!K24+'92'!K24+'93'!K24+'94'!K24+'95'!K24</f>
        <v>9</v>
      </c>
      <c r="L24" s="882">
        <f>+'91'!L24+'92'!L24+'93'!L24+'94'!L24+'95'!L24</f>
        <v>7</v>
      </c>
      <c r="M24" s="1324">
        <f t="shared" si="3"/>
        <v>115</v>
      </c>
      <c r="N24" s="1325">
        <f t="shared" si="3"/>
        <v>99</v>
      </c>
      <c r="O24" s="882">
        <f>+'91'!O24+'92'!O24+'93'!O24+'94'!O24+'95'!O24</f>
        <v>60</v>
      </c>
      <c r="P24" s="882">
        <f>+'91'!P24+'92'!P24+'93'!P24+'94'!P24+'95'!P24</f>
        <v>50</v>
      </c>
      <c r="Q24" s="1354">
        <f>+'91'!Q24+'92'!Q24+'93'!Q24+'94'!Q24+'95'!Q24</f>
        <v>16</v>
      </c>
      <c r="R24" s="883">
        <f>+'91'!R24+'92'!R24+'93'!R24+'94'!R24+'95'!R24</f>
        <v>12</v>
      </c>
      <c r="S24" s="882">
        <f>+'91'!S24+'92'!S24+'93'!S24+'94'!S24+'95'!S24</f>
        <v>12</v>
      </c>
      <c r="T24" s="882">
        <f>+'91'!T24+'92'!T24+'93'!T24+'94'!T24+'95'!T24</f>
        <v>7</v>
      </c>
      <c r="U24" s="1354">
        <f>+'91'!U24+'92'!U24+'93'!U24+'94'!U24+'95'!U24</f>
        <v>3</v>
      </c>
      <c r="V24" s="883">
        <f>+'91'!V24+'92'!V24+'93'!V24+'94'!V24+'95'!V24</f>
        <v>8</v>
      </c>
      <c r="W24" s="882">
        <f>+'91'!W24+'92'!W24+'93'!W24+'94'!W24+'95'!W24</f>
        <v>12</v>
      </c>
      <c r="X24" s="882">
        <f>+'91'!X24+'92'!X24+'93'!X24+'94'!X24+'95'!X24</f>
        <v>14</v>
      </c>
      <c r="Y24" s="1354">
        <f>+'91'!Y24+'92'!Y24+'93'!Y24+'94'!Y24+'95'!Y24</f>
        <v>12</v>
      </c>
      <c r="Z24" s="883">
        <f>+'91'!Z24+'92'!Z24+'93'!Z24+'94'!Z24+'95'!Z24</f>
        <v>8</v>
      </c>
      <c r="AA24" s="882">
        <f>+'91'!AA24+'92'!AA24+'93'!AA24+'94'!AA24+'95'!AA24</f>
        <v>34</v>
      </c>
      <c r="AB24" s="882">
        <f>+'91'!AB24+'92'!AB24+'93'!AB24+'94'!AB24+'95'!AB24</f>
        <v>35</v>
      </c>
      <c r="AC24" s="1366">
        <f t="shared" si="5"/>
        <v>263</v>
      </c>
      <c r="AD24" s="1367">
        <f t="shared" si="5"/>
        <v>210</v>
      </c>
      <c r="AE24" s="1368">
        <f t="shared" si="6"/>
        <v>473</v>
      </c>
    </row>
    <row r="25" spans="1:31" ht="20.25" customHeight="1">
      <c r="A25" s="880" t="s">
        <v>724</v>
      </c>
      <c r="B25" s="881" t="s">
        <v>725</v>
      </c>
      <c r="C25" s="1332">
        <f t="shared" si="4"/>
        <v>16</v>
      </c>
      <c r="D25" s="1333">
        <f t="shared" si="4"/>
        <v>17</v>
      </c>
      <c r="E25" s="882">
        <f>+'91'!E25+'92'!E25+'93'!E25+'94'!E25+'95'!E25</f>
        <v>8</v>
      </c>
      <c r="F25" s="882">
        <f>+'91'!F25+'92'!F25+'93'!F25+'94'!F25+'95'!F25</f>
        <v>10</v>
      </c>
      <c r="G25" s="1354">
        <f>+'91'!G25+'92'!G25+'93'!G25+'94'!G25+'95'!G25</f>
        <v>2</v>
      </c>
      <c r="H25" s="883">
        <f>+'91'!H25+'92'!H25+'93'!H25+'94'!H25+'95'!H25</f>
        <v>3</v>
      </c>
      <c r="I25" s="1354">
        <f>+'91'!I25+'92'!I25+'93'!I25+'94'!I25+'95'!I25</f>
        <v>2</v>
      </c>
      <c r="J25" s="883">
        <f>+'91'!J25+'92'!J25+'93'!J25+'94'!J25+'95'!J25</f>
        <v>2</v>
      </c>
      <c r="K25" s="882">
        <f>+'91'!K25+'92'!K25+'93'!K25+'94'!K25+'95'!K25</f>
        <v>4</v>
      </c>
      <c r="L25" s="882">
        <f>+'91'!L25+'92'!L25+'93'!L25+'94'!L25+'95'!L25</f>
        <v>2</v>
      </c>
      <c r="M25" s="1324">
        <f t="shared" si="3"/>
        <v>34</v>
      </c>
      <c r="N25" s="1325">
        <f t="shared" si="3"/>
        <v>25</v>
      </c>
      <c r="O25" s="882">
        <f>+'91'!O25+'92'!O25+'93'!O25+'94'!O25+'95'!O25</f>
        <v>24</v>
      </c>
      <c r="P25" s="882">
        <f>+'91'!P25+'92'!P25+'93'!P25+'94'!P25+'95'!P25</f>
        <v>15</v>
      </c>
      <c r="Q25" s="1354">
        <f>+'91'!Q25+'92'!Q25+'93'!Q25+'94'!Q25+'95'!Q25</f>
        <v>0</v>
      </c>
      <c r="R25" s="883">
        <f>+'91'!R25+'92'!R25+'93'!R25+'94'!R25+'95'!R25</f>
        <v>3</v>
      </c>
      <c r="S25" s="882">
        <f>+'91'!S25+'92'!S25+'93'!S25+'94'!S25+'95'!S25</f>
        <v>3</v>
      </c>
      <c r="T25" s="882">
        <f>+'91'!T25+'92'!T25+'93'!T25+'94'!T25+'95'!T25</f>
        <v>0</v>
      </c>
      <c r="U25" s="1354">
        <f>+'91'!U25+'92'!U25+'93'!U25+'94'!U25+'95'!U25</f>
        <v>0</v>
      </c>
      <c r="V25" s="883">
        <f>+'91'!V25+'92'!V25+'93'!V25+'94'!V25+'95'!V25</f>
        <v>0</v>
      </c>
      <c r="W25" s="882">
        <f>+'91'!W25+'92'!W25+'93'!W25+'94'!W25+'95'!W25</f>
        <v>5</v>
      </c>
      <c r="X25" s="882">
        <f>+'91'!X25+'92'!X25+'93'!X25+'94'!X25+'95'!X25</f>
        <v>4</v>
      </c>
      <c r="Y25" s="1354">
        <f>+'91'!Y25+'92'!Y25+'93'!Y25+'94'!Y25+'95'!Y25</f>
        <v>2</v>
      </c>
      <c r="Z25" s="883">
        <f>+'91'!Z25+'92'!Z25+'93'!Z25+'94'!Z25+'95'!Z25</f>
        <v>3</v>
      </c>
      <c r="AA25" s="882">
        <f>+'91'!AA25+'92'!AA25+'93'!AA25+'94'!AA25+'95'!AA25</f>
        <v>17</v>
      </c>
      <c r="AB25" s="882">
        <f>+'91'!AB25+'92'!AB25+'93'!AB25+'94'!AB25+'95'!AB25</f>
        <v>8</v>
      </c>
      <c r="AC25" s="1366">
        <f t="shared" si="5"/>
        <v>67</v>
      </c>
      <c r="AD25" s="1367">
        <f t="shared" si="5"/>
        <v>50</v>
      </c>
      <c r="AE25" s="1368">
        <f t="shared" si="6"/>
        <v>117</v>
      </c>
    </row>
    <row r="26" spans="1:31" ht="21.75" customHeight="1">
      <c r="A26" s="880" t="s">
        <v>718</v>
      </c>
      <c r="B26" s="881" t="s">
        <v>738</v>
      </c>
      <c r="C26" s="1332">
        <f t="shared" si="4"/>
        <v>25</v>
      </c>
      <c r="D26" s="1333">
        <f t="shared" si="4"/>
        <v>34</v>
      </c>
      <c r="E26" s="882">
        <f>+'91'!E26+'92'!E26+'93'!E26+'94'!E26+'95'!E26</f>
        <v>12</v>
      </c>
      <c r="F26" s="882">
        <f>+'91'!F26+'92'!F26+'93'!F26+'94'!F26+'95'!F26</f>
        <v>24</v>
      </c>
      <c r="G26" s="1354">
        <f>+'91'!G26+'92'!G26+'93'!G26+'94'!G26+'95'!G26</f>
        <v>1</v>
      </c>
      <c r="H26" s="883">
        <f>+'91'!H26+'92'!H26+'93'!H26+'94'!H26+'95'!H26</f>
        <v>4</v>
      </c>
      <c r="I26" s="1354">
        <f>+'91'!I26+'92'!I26+'93'!I26+'94'!I26+'95'!I26</f>
        <v>6</v>
      </c>
      <c r="J26" s="883">
        <f>+'91'!J26+'92'!J26+'93'!J26+'94'!J26+'95'!J26</f>
        <v>6</v>
      </c>
      <c r="K26" s="882">
        <f>+'91'!K26+'92'!K26+'93'!K26+'94'!K26+'95'!K26</f>
        <v>6</v>
      </c>
      <c r="L26" s="882">
        <f>+'91'!L26+'92'!L26+'93'!L26+'94'!L26+'95'!L26</f>
        <v>0</v>
      </c>
      <c r="M26" s="1324">
        <f t="shared" si="3"/>
        <v>37</v>
      </c>
      <c r="N26" s="1325">
        <f t="shared" si="3"/>
        <v>30</v>
      </c>
      <c r="O26" s="882">
        <f>+'91'!O26+'92'!O26+'93'!O26+'94'!O26+'95'!O26</f>
        <v>7</v>
      </c>
      <c r="P26" s="882">
        <f>+'91'!P26+'92'!P26+'93'!P26+'94'!P26+'95'!P26</f>
        <v>4</v>
      </c>
      <c r="Q26" s="1354">
        <f>+'91'!Q26+'92'!Q26+'93'!Q26+'94'!Q26+'95'!Q26</f>
        <v>8</v>
      </c>
      <c r="R26" s="883">
        <f>+'91'!R26+'92'!R26+'93'!R26+'94'!R26+'95'!R26</f>
        <v>9</v>
      </c>
      <c r="S26" s="882">
        <f>+'91'!S26+'92'!S26+'93'!S26+'94'!S26+'95'!S26</f>
        <v>1</v>
      </c>
      <c r="T26" s="882">
        <f>+'91'!T26+'92'!T26+'93'!T26+'94'!T26+'95'!T26</f>
        <v>2</v>
      </c>
      <c r="U26" s="1354">
        <f>+'91'!U26+'92'!U26+'93'!U26+'94'!U26+'95'!U26</f>
        <v>0</v>
      </c>
      <c r="V26" s="883">
        <f>+'91'!V26+'92'!V26+'93'!V26+'94'!V26+'95'!V26</f>
        <v>0</v>
      </c>
      <c r="W26" s="882">
        <f>+'91'!W26+'92'!W26+'93'!W26+'94'!W26+'95'!W26</f>
        <v>14</v>
      </c>
      <c r="X26" s="882">
        <f>+'91'!X26+'92'!X26+'93'!X26+'94'!X26+'95'!X26</f>
        <v>10</v>
      </c>
      <c r="Y26" s="1354">
        <f>+'91'!Y26+'92'!Y26+'93'!Y26+'94'!Y26+'95'!Y26</f>
        <v>7</v>
      </c>
      <c r="Z26" s="883">
        <f>+'91'!Z26+'92'!Z26+'93'!Z26+'94'!Z26+'95'!Z26</f>
        <v>5</v>
      </c>
      <c r="AA26" s="882">
        <f>+'91'!AA26+'92'!AA26+'93'!AA26+'94'!AA26+'95'!AA26</f>
        <v>5</v>
      </c>
      <c r="AB26" s="882">
        <f>+'91'!AB26+'92'!AB26+'93'!AB26+'94'!AB26+'95'!AB26</f>
        <v>9</v>
      </c>
      <c r="AC26" s="1366">
        <f t="shared" si="5"/>
        <v>67</v>
      </c>
      <c r="AD26" s="1367">
        <f t="shared" si="5"/>
        <v>73</v>
      </c>
      <c r="AE26" s="1368">
        <f t="shared" ref="AE26:AE29" si="7">SUM(AC26:AD26)</f>
        <v>140</v>
      </c>
    </row>
    <row r="27" spans="1:31" ht="21.75" customHeight="1">
      <c r="A27" s="880" t="s">
        <v>710</v>
      </c>
      <c r="B27" s="884" t="s">
        <v>210</v>
      </c>
      <c r="C27" s="1332">
        <f t="shared" ref="C27:C28" si="8">+E27+G27+I27+K27</f>
        <v>357</v>
      </c>
      <c r="D27" s="1333">
        <f t="shared" ref="D27:D28" si="9">+F27+H27+J27+L27</f>
        <v>291</v>
      </c>
      <c r="E27" s="882">
        <f>+'91'!E27+'92'!E27+'93'!E27+'94'!E27+'95'!E27</f>
        <v>222</v>
      </c>
      <c r="F27" s="882">
        <f>+'91'!F27+'92'!F27+'93'!F27+'94'!F27+'95'!F27</f>
        <v>185</v>
      </c>
      <c r="G27" s="1354">
        <f>+'91'!G27+'92'!G27+'93'!G27+'94'!G27+'95'!G27</f>
        <v>51</v>
      </c>
      <c r="H27" s="883">
        <f>+'91'!H27+'92'!H27+'93'!H27+'94'!H27+'95'!H27</f>
        <v>44</v>
      </c>
      <c r="I27" s="1354">
        <f>+'91'!I27+'92'!I27+'93'!I27+'94'!I27+'95'!I27</f>
        <v>49</v>
      </c>
      <c r="J27" s="883">
        <f>+'91'!J27+'92'!J27+'93'!J27+'94'!J27+'95'!J27</f>
        <v>26</v>
      </c>
      <c r="K27" s="882">
        <f>+'91'!K27+'92'!K27+'93'!K27+'94'!K27+'95'!K27</f>
        <v>35</v>
      </c>
      <c r="L27" s="882">
        <f>+'91'!L27+'92'!L27+'93'!L27+'94'!L27+'95'!L27</f>
        <v>36</v>
      </c>
      <c r="M27" s="1324">
        <f t="shared" ref="M27:M28" si="10">+O27+Q27+S27+U27+W27+Y27</f>
        <v>597</v>
      </c>
      <c r="N27" s="1325">
        <f t="shared" ref="N27:N28" si="11">+P27+R27+T27+V27+X27+Z27</f>
        <v>442</v>
      </c>
      <c r="O27" s="882">
        <f>+'91'!O27+'92'!O27+'93'!O27+'94'!O27+'95'!O27</f>
        <v>293</v>
      </c>
      <c r="P27" s="882">
        <f>+'91'!P27+'92'!P27+'93'!P27+'94'!P27+'95'!P27</f>
        <v>213</v>
      </c>
      <c r="Q27" s="1354">
        <f>+'91'!Q27+'92'!Q27+'93'!Q27+'94'!Q27+'95'!Q27</f>
        <v>65</v>
      </c>
      <c r="R27" s="883">
        <f>+'91'!R27+'92'!R27+'93'!R27+'94'!R27+'95'!R27</f>
        <v>59</v>
      </c>
      <c r="S27" s="882">
        <f>+'91'!S27+'92'!S27+'93'!S27+'94'!S27+'95'!S27</f>
        <v>48</v>
      </c>
      <c r="T27" s="882">
        <f>+'91'!T27+'92'!T27+'93'!T27+'94'!T27+'95'!T27</f>
        <v>42</v>
      </c>
      <c r="U27" s="1354">
        <f>+'91'!U27+'92'!U27+'93'!U27+'94'!U27+'95'!U27</f>
        <v>24</v>
      </c>
      <c r="V27" s="883">
        <f>+'91'!V27+'92'!V27+'93'!V27+'94'!V27+'95'!V27</f>
        <v>15</v>
      </c>
      <c r="W27" s="882">
        <f>+'91'!W27+'92'!W27+'93'!W27+'94'!W27+'95'!W27</f>
        <v>120</v>
      </c>
      <c r="X27" s="882">
        <f>+'91'!X27+'92'!X27+'93'!X27+'94'!X27+'95'!X27</f>
        <v>77</v>
      </c>
      <c r="Y27" s="1354">
        <f>+'91'!Y27+'92'!Y27+'93'!Y27+'94'!Y27+'95'!Y27</f>
        <v>47</v>
      </c>
      <c r="Z27" s="883">
        <f>+'91'!Z27+'92'!Z27+'93'!Z27+'94'!Z27+'95'!Z27</f>
        <v>36</v>
      </c>
      <c r="AA27" s="882">
        <f>+'91'!AA27+'92'!AA27+'93'!AA27+'94'!AA27+'95'!AA27</f>
        <v>171</v>
      </c>
      <c r="AB27" s="882">
        <f>+'91'!AB27+'92'!AB27+'93'!AB27+'94'!AB27+'95'!AB27</f>
        <v>121</v>
      </c>
      <c r="AC27" s="1366">
        <f t="shared" ref="AC27:AC28" si="12">+M27+C27+AA27</f>
        <v>1125</v>
      </c>
      <c r="AD27" s="1367">
        <f t="shared" ref="AD27:AD28" si="13">+N27+D27+AB27</f>
        <v>854</v>
      </c>
      <c r="AE27" s="1368">
        <f t="shared" ref="AE27:AE28" si="14">SUM(AC27:AD27)</f>
        <v>1979</v>
      </c>
    </row>
    <row r="28" spans="1:31" ht="21.75" customHeight="1">
      <c r="A28" s="245" t="s">
        <v>1660</v>
      </c>
      <c r="B28" s="293" t="s">
        <v>1662</v>
      </c>
      <c r="C28" s="1332">
        <f t="shared" si="8"/>
        <v>114</v>
      </c>
      <c r="D28" s="1333">
        <f t="shared" si="9"/>
        <v>83</v>
      </c>
      <c r="E28" s="882">
        <f>+'91'!E28+'92'!E28+'93'!E28+'94'!E28+'95'!E28</f>
        <v>90</v>
      </c>
      <c r="F28" s="882">
        <f>+'91'!F28+'92'!F28+'93'!F28+'94'!F28+'95'!F28</f>
        <v>58</v>
      </c>
      <c r="G28" s="1354">
        <f>+'91'!G28+'92'!G28+'93'!G28+'94'!G28+'95'!G28</f>
        <v>10</v>
      </c>
      <c r="H28" s="883">
        <f>+'91'!H28+'92'!H28+'93'!H28+'94'!H28+'95'!H28</f>
        <v>7</v>
      </c>
      <c r="I28" s="1354">
        <f>+'91'!I28+'92'!I28+'93'!I28+'94'!I28+'95'!I28</f>
        <v>10</v>
      </c>
      <c r="J28" s="883">
        <f>+'91'!J28+'92'!J28+'93'!J28+'94'!J28+'95'!J28</f>
        <v>13</v>
      </c>
      <c r="K28" s="882">
        <f>+'91'!K28+'92'!K28+'93'!K28+'94'!K28+'95'!K28</f>
        <v>4</v>
      </c>
      <c r="L28" s="882">
        <f>+'91'!L28+'92'!L28+'93'!L28+'94'!L28+'95'!L28</f>
        <v>5</v>
      </c>
      <c r="M28" s="1324">
        <f t="shared" si="10"/>
        <v>190</v>
      </c>
      <c r="N28" s="1325">
        <f t="shared" si="11"/>
        <v>130</v>
      </c>
      <c r="O28" s="882">
        <f>+'91'!O28+'92'!O28+'93'!O28+'94'!O28+'95'!O28</f>
        <v>100</v>
      </c>
      <c r="P28" s="882">
        <f>+'91'!P28+'92'!P28+'93'!P28+'94'!P28+'95'!P28</f>
        <v>61</v>
      </c>
      <c r="Q28" s="1354">
        <f>+'91'!Q28+'92'!Q28+'93'!Q28+'94'!Q28+'95'!Q28</f>
        <v>42</v>
      </c>
      <c r="R28" s="883">
        <f>+'91'!R28+'92'!R28+'93'!R28+'94'!R28+'95'!R28</f>
        <v>33</v>
      </c>
      <c r="S28" s="882">
        <f>+'91'!S28+'92'!S28+'93'!S28+'94'!S28+'95'!S28</f>
        <v>6</v>
      </c>
      <c r="T28" s="882">
        <f>+'91'!T28+'92'!T28+'93'!T28+'94'!T28+'95'!T28</f>
        <v>7</v>
      </c>
      <c r="U28" s="1354">
        <f>+'91'!U28+'92'!U28+'93'!U28+'94'!U28+'95'!U28</f>
        <v>3</v>
      </c>
      <c r="V28" s="883">
        <f>+'91'!V28+'92'!V28+'93'!V28+'94'!V28+'95'!V28</f>
        <v>2</v>
      </c>
      <c r="W28" s="882">
        <f>+'91'!W28+'92'!W28+'93'!W28+'94'!W28+'95'!W28</f>
        <v>24</v>
      </c>
      <c r="X28" s="882">
        <f>+'91'!X28+'92'!X28+'93'!X28+'94'!X28+'95'!X28</f>
        <v>21</v>
      </c>
      <c r="Y28" s="1354">
        <f>+'91'!Y28+'92'!Y28+'93'!Y28+'94'!Y28+'95'!Y28</f>
        <v>15</v>
      </c>
      <c r="Z28" s="883">
        <f>+'91'!Z28+'92'!Z28+'93'!Z28+'94'!Z28+'95'!Z28</f>
        <v>6</v>
      </c>
      <c r="AA28" s="882">
        <f>+'91'!AA28+'92'!AA28+'93'!AA28+'94'!AA28+'95'!AA28</f>
        <v>56</v>
      </c>
      <c r="AB28" s="882">
        <f>+'91'!AB28+'92'!AB28+'93'!AB28+'94'!AB28+'95'!AB28</f>
        <v>52</v>
      </c>
      <c r="AC28" s="1366">
        <f t="shared" si="12"/>
        <v>360</v>
      </c>
      <c r="AD28" s="1367">
        <f t="shared" si="13"/>
        <v>265</v>
      </c>
      <c r="AE28" s="1368">
        <f t="shared" si="14"/>
        <v>625</v>
      </c>
    </row>
    <row r="29" spans="1:31" ht="27.75" customHeight="1">
      <c r="A29" s="245" t="s">
        <v>1661</v>
      </c>
      <c r="B29" s="293" t="s">
        <v>1663</v>
      </c>
      <c r="C29" s="1332">
        <f t="shared" si="4"/>
        <v>5</v>
      </c>
      <c r="D29" s="1333">
        <f t="shared" si="4"/>
        <v>5</v>
      </c>
      <c r="E29" s="882">
        <f>+'91'!E29+'92'!E29+'93'!E29+'94'!E29+'95'!E29</f>
        <v>5</v>
      </c>
      <c r="F29" s="882">
        <f>+'91'!F29+'92'!F29+'93'!F29+'94'!F29+'95'!F29</f>
        <v>3</v>
      </c>
      <c r="G29" s="1354">
        <f>+'91'!G29+'92'!G29+'93'!G29+'94'!G29+'95'!G29</f>
        <v>0</v>
      </c>
      <c r="H29" s="883">
        <f>+'91'!H29+'92'!H29+'93'!H29+'94'!H29+'95'!H29</f>
        <v>1</v>
      </c>
      <c r="I29" s="1354">
        <f>+'91'!I29+'92'!I29+'93'!I29+'94'!I29+'95'!I29</f>
        <v>0</v>
      </c>
      <c r="J29" s="883">
        <f>+'91'!J29+'92'!J29+'93'!J29+'94'!J29+'95'!J29</f>
        <v>1</v>
      </c>
      <c r="K29" s="882">
        <f>+'91'!K29+'92'!K29+'93'!K29+'94'!K29+'95'!K29</f>
        <v>0</v>
      </c>
      <c r="L29" s="882">
        <f>+'91'!L29+'92'!L29+'93'!L29+'94'!L29+'95'!L29</f>
        <v>0</v>
      </c>
      <c r="M29" s="1324">
        <f t="shared" ref="M29:N29" si="15">+O29+Q29+S29+U29+W29+Y29</f>
        <v>18</v>
      </c>
      <c r="N29" s="1325">
        <f t="shared" si="15"/>
        <v>12</v>
      </c>
      <c r="O29" s="882">
        <f>+'91'!O29+'92'!O29+'93'!O29+'94'!O29+'95'!O29</f>
        <v>3</v>
      </c>
      <c r="P29" s="882">
        <f>+'91'!P29+'92'!P29+'93'!P29+'94'!P29+'95'!P29</f>
        <v>1</v>
      </c>
      <c r="Q29" s="1354">
        <f>+'91'!Q29+'92'!Q29+'93'!Q29+'94'!Q29+'95'!Q29</f>
        <v>7</v>
      </c>
      <c r="R29" s="883">
        <f>+'91'!R29+'92'!R29+'93'!R29+'94'!R29+'95'!R29</f>
        <v>7</v>
      </c>
      <c r="S29" s="882">
        <f>+'91'!S29+'92'!S29+'93'!S29+'94'!S29+'95'!S29</f>
        <v>0</v>
      </c>
      <c r="T29" s="882">
        <f>+'91'!T29+'92'!T29+'93'!T29+'94'!T29+'95'!T29</f>
        <v>0</v>
      </c>
      <c r="U29" s="1354">
        <f>+'91'!U29+'92'!U29+'93'!U29+'94'!U29+'95'!U29</f>
        <v>0</v>
      </c>
      <c r="V29" s="883">
        <f>+'91'!V29+'92'!V29+'93'!V29+'94'!V29+'95'!V29</f>
        <v>0</v>
      </c>
      <c r="W29" s="882">
        <f>+'91'!W29+'92'!W29+'93'!W29+'94'!W29+'95'!W29</f>
        <v>5</v>
      </c>
      <c r="X29" s="882">
        <f>+'91'!X29+'92'!X29+'93'!X29+'94'!X29+'95'!X29</f>
        <v>3</v>
      </c>
      <c r="Y29" s="1354">
        <f>+'91'!Y29+'92'!Y29+'93'!Y29+'94'!Y29+'95'!Y29</f>
        <v>3</v>
      </c>
      <c r="Z29" s="883">
        <f>+'91'!Z29+'92'!Z29+'93'!Z29+'94'!Z29+'95'!Z29</f>
        <v>1</v>
      </c>
      <c r="AA29" s="882">
        <f>+'91'!AA29+'92'!AA29+'93'!AA29+'94'!AA29+'95'!AA29</f>
        <v>4</v>
      </c>
      <c r="AB29" s="882">
        <f>+'91'!AB29+'92'!AB29+'93'!AB29+'94'!AB29+'95'!AB29</f>
        <v>3</v>
      </c>
      <c r="AC29" s="1366">
        <f t="shared" si="5"/>
        <v>27</v>
      </c>
      <c r="AD29" s="1367">
        <f t="shared" si="5"/>
        <v>20</v>
      </c>
      <c r="AE29" s="1368">
        <f t="shared" si="7"/>
        <v>47</v>
      </c>
    </row>
    <row r="30" spans="1:31" ht="21.75" customHeight="1" thickBot="1">
      <c r="A30" s="885"/>
      <c r="B30" s="885" t="s">
        <v>832</v>
      </c>
      <c r="C30" s="1326">
        <f>SUM(C10:C29)</f>
        <v>2149</v>
      </c>
      <c r="D30" s="1327">
        <f>SUM(D10:D29)</f>
        <v>3151</v>
      </c>
      <c r="E30" s="924">
        <f>SUM(E10:E29)</f>
        <v>1389</v>
      </c>
      <c r="F30" s="924">
        <f t="shared" ref="F30:AE30" si="16">SUM(F10:F29)</f>
        <v>2021</v>
      </c>
      <c r="G30" s="1295">
        <f t="shared" si="16"/>
        <v>322</v>
      </c>
      <c r="H30" s="1296">
        <f t="shared" si="16"/>
        <v>465</v>
      </c>
      <c r="I30" s="1295">
        <f t="shared" si="16"/>
        <v>266</v>
      </c>
      <c r="J30" s="1296">
        <f t="shared" si="16"/>
        <v>369</v>
      </c>
      <c r="K30" s="924">
        <f t="shared" si="16"/>
        <v>172</v>
      </c>
      <c r="L30" s="924">
        <f t="shared" si="16"/>
        <v>296</v>
      </c>
      <c r="M30" s="1326">
        <f t="shared" si="16"/>
        <v>3839</v>
      </c>
      <c r="N30" s="1327">
        <f t="shared" si="16"/>
        <v>5399</v>
      </c>
      <c r="O30" s="924">
        <f t="shared" si="16"/>
        <v>1801</v>
      </c>
      <c r="P30" s="924">
        <f t="shared" si="16"/>
        <v>2561</v>
      </c>
      <c r="Q30" s="1295">
        <f t="shared" si="16"/>
        <v>518</v>
      </c>
      <c r="R30" s="1296">
        <f t="shared" si="16"/>
        <v>711</v>
      </c>
      <c r="S30" s="924">
        <f t="shared" si="16"/>
        <v>318</v>
      </c>
      <c r="T30" s="924">
        <f t="shared" si="16"/>
        <v>468</v>
      </c>
      <c r="U30" s="1295">
        <f t="shared" si="16"/>
        <v>149</v>
      </c>
      <c r="V30" s="1296">
        <f t="shared" si="16"/>
        <v>212</v>
      </c>
      <c r="W30" s="924">
        <f t="shared" si="16"/>
        <v>706</v>
      </c>
      <c r="X30" s="924">
        <f t="shared" si="16"/>
        <v>959</v>
      </c>
      <c r="Y30" s="1295">
        <f t="shared" si="16"/>
        <v>347</v>
      </c>
      <c r="Z30" s="1296">
        <f t="shared" si="16"/>
        <v>488</v>
      </c>
      <c r="AA30" s="924">
        <f t="shared" si="16"/>
        <v>1120</v>
      </c>
      <c r="AB30" s="924">
        <f t="shared" si="16"/>
        <v>1672</v>
      </c>
      <c r="AC30" s="1369">
        <f t="shared" si="16"/>
        <v>7108</v>
      </c>
      <c r="AD30" s="1370">
        <f t="shared" si="16"/>
        <v>10222</v>
      </c>
      <c r="AE30" s="1336">
        <f t="shared" si="16"/>
        <v>17330</v>
      </c>
    </row>
    <row r="31" spans="1:31" ht="21.75" customHeight="1">
      <c r="A31" s="888"/>
      <c r="B31" s="888"/>
      <c r="C31" s="888"/>
      <c r="D31" s="888"/>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90"/>
    </row>
    <row r="32" spans="1:31" ht="21.75" customHeight="1">
      <c r="A32" s="888"/>
      <c r="B32" s="888"/>
      <c r="C32" s="888"/>
      <c r="D32" s="888"/>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90"/>
    </row>
    <row r="33" spans="1:31" ht="21.75" customHeight="1">
      <c r="A33" s="888"/>
      <c r="B33" s="888"/>
      <c r="C33" s="888"/>
      <c r="D33" s="888"/>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90"/>
    </row>
    <row r="34" spans="1:31" ht="15.75" customHeight="1">
      <c r="A34" s="888"/>
      <c r="B34" s="888"/>
      <c r="C34" s="888"/>
      <c r="D34" s="888"/>
      <c r="E34" s="889"/>
      <c r="F34" s="889"/>
      <c r="G34" s="889"/>
      <c r="H34" s="889"/>
      <c r="I34" s="889"/>
      <c r="J34" s="889"/>
      <c r="K34" s="889"/>
      <c r="L34" s="889"/>
      <c r="M34" s="889"/>
      <c r="N34" s="889"/>
      <c r="O34" s="889"/>
      <c r="P34" s="889"/>
      <c r="Q34" s="889"/>
      <c r="R34" s="889"/>
      <c r="S34" s="889"/>
      <c r="T34" s="889"/>
      <c r="U34" s="889"/>
      <c r="V34" s="889"/>
      <c r="W34" s="889"/>
      <c r="X34" s="889"/>
      <c r="Y34" s="889"/>
      <c r="Z34" s="889"/>
      <c r="AA34" s="889"/>
      <c r="AB34" s="889"/>
      <c r="AC34" s="889"/>
      <c r="AD34" s="889"/>
      <c r="AE34" s="890"/>
    </row>
    <row r="35" spans="1:31" ht="18.75" customHeight="1">
      <c r="A35" s="861" t="s">
        <v>211</v>
      </c>
      <c r="B35" s="891"/>
      <c r="C35" s="892"/>
      <c r="D35" s="892"/>
      <c r="E35" s="892"/>
      <c r="F35" s="892"/>
      <c r="G35" s="892"/>
      <c r="H35" s="892"/>
      <c r="I35" s="892"/>
      <c r="J35" s="892"/>
      <c r="K35" s="892"/>
      <c r="L35" s="892"/>
      <c r="M35" s="892"/>
      <c r="N35" s="892"/>
      <c r="O35" s="892"/>
      <c r="P35" s="892"/>
      <c r="Q35" s="892"/>
      <c r="R35" s="892"/>
      <c r="S35" s="892"/>
      <c r="T35" s="892"/>
      <c r="U35" s="892"/>
      <c r="V35" s="892"/>
      <c r="W35" s="892"/>
      <c r="X35" s="892"/>
      <c r="Y35" s="892"/>
      <c r="Z35" s="892"/>
      <c r="AA35" s="892"/>
      <c r="AB35" s="892"/>
      <c r="AC35" s="892"/>
      <c r="AD35" s="892"/>
      <c r="AE35" s="893"/>
    </row>
    <row r="36" spans="1:31">
      <c r="A36" s="861"/>
      <c r="B36" s="894"/>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c r="AE36" s="896"/>
    </row>
    <row r="37" spans="1:31">
      <c r="A37" s="861" t="str">
        <f>+A3</f>
        <v>SERVICIO DE SALUD   ACONCAGUA   2020</v>
      </c>
      <c r="B37" s="894"/>
      <c r="C37" s="895"/>
      <c r="D37" s="895"/>
      <c r="E37" s="895"/>
      <c r="F37" s="895"/>
      <c r="G37" s="895"/>
      <c r="H37" s="895"/>
      <c r="I37" s="895"/>
      <c r="J37" s="895"/>
      <c r="K37" s="895"/>
      <c r="L37" s="895"/>
      <c r="M37" s="895"/>
      <c r="N37" s="895"/>
      <c r="O37" s="895"/>
      <c r="P37" s="895"/>
      <c r="Q37" s="895"/>
      <c r="R37" s="895"/>
      <c r="S37" s="895"/>
      <c r="T37" s="895"/>
      <c r="U37" s="895"/>
      <c r="V37" s="895"/>
      <c r="W37" s="895"/>
      <c r="X37" s="895"/>
      <c r="Y37" s="895"/>
      <c r="Z37" s="895"/>
      <c r="AA37" s="895"/>
      <c r="AB37" s="895"/>
      <c r="AC37" s="895"/>
      <c r="AD37" s="895"/>
      <c r="AE37" s="896"/>
    </row>
    <row r="38" spans="1:31">
      <c r="A38" s="861" t="s">
        <v>679</v>
      </c>
      <c r="B38" s="894"/>
      <c r="C38" s="895"/>
      <c r="D38" s="895"/>
      <c r="E38" s="895"/>
      <c r="F38" s="895"/>
      <c r="G38" s="895"/>
      <c r="H38" s="895"/>
      <c r="I38" s="895"/>
      <c r="J38" s="895"/>
      <c r="K38" s="895"/>
      <c r="L38" s="895"/>
      <c r="M38" s="895"/>
      <c r="N38" s="895"/>
      <c r="O38" s="895"/>
      <c r="P38" s="895"/>
      <c r="Q38" s="895"/>
      <c r="R38" s="895"/>
      <c r="S38" s="895"/>
      <c r="T38" s="895"/>
      <c r="U38" s="895"/>
      <c r="V38" s="895"/>
      <c r="W38" s="895"/>
      <c r="X38" s="895"/>
      <c r="Y38" s="895"/>
      <c r="Z38" s="895"/>
      <c r="AA38" s="895"/>
      <c r="AB38" s="895"/>
      <c r="AC38" s="895"/>
      <c r="AD38" s="895"/>
      <c r="AE38" s="896"/>
    </row>
    <row r="39" spans="1:31">
      <c r="A39" s="895"/>
      <c r="B39" s="895"/>
      <c r="C39" s="895"/>
      <c r="D39" s="895"/>
      <c r="E39" s="895"/>
      <c r="F39" s="895"/>
      <c r="G39" s="895"/>
      <c r="H39" s="895"/>
      <c r="I39" s="895"/>
      <c r="J39" s="895"/>
      <c r="K39" s="895"/>
      <c r="L39" s="895"/>
      <c r="M39" s="895"/>
      <c r="N39" s="895"/>
      <c r="O39" s="895"/>
      <c r="P39" s="895"/>
      <c r="Q39" s="895"/>
      <c r="R39" s="895"/>
      <c r="S39" s="895"/>
      <c r="T39" s="895"/>
      <c r="U39" s="895"/>
      <c r="V39" s="895"/>
      <c r="W39" s="895"/>
      <c r="X39" s="895"/>
      <c r="Y39" s="895"/>
      <c r="Z39" s="895"/>
      <c r="AA39" s="895"/>
      <c r="AB39" s="895"/>
      <c r="AC39" s="895"/>
      <c r="AD39" s="895"/>
      <c r="AE39" s="896"/>
    </row>
    <row r="40" spans="1:31">
      <c r="A40" s="897"/>
      <c r="B40" s="897"/>
      <c r="C40" s="897"/>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6"/>
    </row>
    <row r="41" spans="1:31" ht="21.75" customHeight="1">
      <c r="A41" s="1299" t="s">
        <v>680</v>
      </c>
      <c r="B41" s="868"/>
      <c r="C41" s="1708" t="s">
        <v>726</v>
      </c>
      <c r="D41" s="1709"/>
      <c r="E41" s="1709"/>
      <c r="F41" s="1709"/>
      <c r="G41" s="1709"/>
      <c r="H41" s="1709"/>
      <c r="I41" s="1709"/>
      <c r="J41" s="1709"/>
      <c r="K41" s="1709"/>
      <c r="L41" s="1709"/>
      <c r="M41" s="1709"/>
      <c r="N41" s="1709"/>
      <c r="O41" s="1709"/>
      <c r="P41" s="1709"/>
      <c r="Q41" s="1709"/>
      <c r="R41" s="1709"/>
      <c r="S41" s="1709"/>
      <c r="T41" s="1709"/>
      <c r="U41" s="1709"/>
      <c r="V41" s="1709"/>
      <c r="W41" s="1307"/>
      <c r="X41" s="1307"/>
      <c r="Y41" s="898"/>
      <c r="AE41" s="864"/>
    </row>
    <row r="42" spans="1:31" ht="23.25" customHeight="1">
      <c r="A42" s="1300" t="s">
        <v>682</v>
      </c>
      <c r="B42" s="1337" t="s">
        <v>683</v>
      </c>
      <c r="C42" s="1700" t="s">
        <v>728</v>
      </c>
      <c r="D42" s="1700"/>
      <c r="E42" s="1700" t="s">
        <v>729</v>
      </c>
      <c r="F42" s="1700"/>
      <c r="G42" s="1700" t="s">
        <v>730</v>
      </c>
      <c r="H42" s="1700"/>
      <c r="I42" s="1700" t="s">
        <v>731</v>
      </c>
      <c r="J42" s="1700"/>
      <c r="K42" s="1700" t="s">
        <v>732</v>
      </c>
      <c r="L42" s="1700"/>
      <c r="M42" s="1700" t="s">
        <v>733</v>
      </c>
      <c r="N42" s="1700"/>
      <c r="O42" s="1700" t="s">
        <v>734</v>
      </c>
      <c r="P42" s="1700"/>
      <c r="Q42" s="1700" t="s">
        <v>735</v>
      </c>
      <c r="R42" s="1700"/>
      <c r="S42" s="1700" t="s">
        <v>736</v>
      </c>
      <c r="T42" s="1700"/>
      <c r="U42" s="1700" t="s">
        <v>737</v>
      </c>
      <c r="V42" s="1700"/>
      <c r="W42" s="1700" t="s">
        <v>517</v>
      </c>
      <c r="X42" s="1700"/>
      <c r="Y42" s="1700"/>
    </row>
    <row r="43" spans="1:31">
      <c r="A43" s="1302"/>
      <c r="B43" s="1338"/>
      <c r="C43" s="1316" t="s">
        <v>1461</v>
      </c>
      <c r="D43" s="1318" t="s">
        <v>1462</v>
      </c>
      <c r="E43" s="1317" t="s">
        <v>1461</v>
      </c>
      <c r="F43" s="1318" t="s">
        <v>1462</v>
      </c>
      <c r="G43" s="1317" t="s">
        <v>1461</v>
      </c>
      <c r="H43" s="1318" t="s">
        <v>1462</v>
      </c>
      <c r="I43" s="1317" t="s">
        <v>1461</v>
      </c>
      <c r="J43" s="1318" t="s">
        <v>1462</v>
      </c>
      <c r="K43" s="1317" t="s">
        <v>1461</v>
      </c>
      <c r="L43" s="1318" t="s">
        <v>1462</v>
      </c>
      <c r="M43" s="1317" t="s">
        <v>1461</v>
      </c>
      <c r="N43" s="1318" t="s">
        <v>1462</v>
      </c>
      <c r="O43" s="1317" t="s">
        <v>1461</v>
      </c>
      <c r="P43" s="1318" t="s">
        <v>1462</v>
      </c>
      <c r="Q43" s="1317" t="s">
        <v>1461</v>
      </c>
      <c r="R43" s="1318" t="s">
        <v>1462</v>
      </c>
      <c r="S43" s="1317" t="s">
        <v>1461</v>
      </c>
      <c r="T43" s="1318" t="s">
        <v>1462</v>
      </c>
      <c r="U43" s="1317" t="s">
        <v>1461</v>
      </c>
      <c r="V43" s="1318" t="s">
        <v>1462</v>
      </c>
      <c r="W43" s="1317" t="s">
        <v>1461</v>
      </c>
      <c r="X43" s="1318" t="s">
        <v>1462</v>
      </c>
      <c r="Y43" s="1304" t="s">
        <v>491</v>
      </c>
      <c r="AE43" s="896"/>
    </row>
    <row r="44" spans="1:31" ht="20.25" customHeight="1">
      <c r="A44" s="880" t="s">
        <v>716</v>
      </c>
      <c r="B44" s="881" t="s">
        <v>717</v>
      </c>
      <c r="C44" s="882">
        <f>+'91'!C41+'92'!C41+'93'!C41+'94'!C41+'95'!C41</f>
        <v>0</v>
      </c>
      <c r="D44" s="882">
        <f>+'91'!D41+'92'!D41+'93'!D41+'94'!D41+'95'!D41</f>
        <v>0</v>
      </c>
      <c r="E44" s="1352">
        <f>+'91'!E41+'92'!E41+'93'!E41+'94'!E41+'95'!E41</f>
        <v>0</v>
      </c>
      <c r="F44" s="1353">
        <f>+'91'!F41+'92'!F41+'93'!F41+'94'!F41+'95'!F41</f>
        <v>0</v>
      </c>
      <c r="G44" s="882">
        <f>+'91'!G41+'92'!G41+'93'!G41+'94'!G41+'95'!G41</f>
        <v>12</v>
      </c>
      <c r="H44" s="882">
        <f>+'91'!H41+'92'!H41+'93'!H41+'94'!H41+'95'!H41</f>
        <v>8</v>
      </c>
      <c r="I44" s="1352">
        <f>+'91'!I41+'92'!I41+'93'!I41+'94'!I41+'95'!I41</f>
        <v>20</v>
      </c>
      <c r="J44" s="1353">
        <f>+'91'!J41+'92'!J41+'93'!J41+'94'!J41+'95'!J41</f>
        <v>14</v>
      </c>
      <c r="K44" s="882">
        <f>+'91'!K41+'92'!K41+'93'!K41+'94'!K41+'95'!K41</f>
        <v>2</v>
      </c>
      <c r="L44" s="882">
        <f>+'91'!L41+'92'!L41+'93'!L41+'94'!L41+'95'!L41</f>
        <v>2</v>
      </c>
      <c r="M44" s="1352">
        <f>+'91'!M41+'92'!M41+'93'!M41+'94'!M41+'95'!M41</f>
        <v>6</v>
      </c>
      <c r="N44" s="1353">
        <f>+'91'!N41+'92'!N41+'93'!N41+'94'!N41+'95'!N41</f>
        <v>4</v>
      </c>
      <c r="O44" s="882">
        <f>+'91'!O41+'92'!O41+'93'!O41+'94'!O41+'95'!O41</f>
        <v>3</v>
      </c>
      <c r="P44" s="882">
        <f>+'91'!P41+'92'!P41+'93'!P41+'94'!P41+'95'!P41</f>
        <v>5</v>
      </c>
      <c r="Q44" s="1352">
        <f>+'91'!Q41+'92'!Q41+'93'!Q41+'94'!Q41+'95'!Q41</f>
        <v>38</v>
      </c>
      <c r="R44" s="1353">
        <f>+'91'!R41+'92'!R41+'93'!R41+'94'!R41+'95'!R41</f>
        <v>23</v>
      </c>
      <c r="S44" s="882">
        <f>+'91'!S41+'92'!S41+'93'!S41+'94'!S41+'95'!S41</f>
        <v>37</v>
      </c>
      <c r="T44" s="882">
        <f>+'91'!T41+'92'!T41+'93'!T41+'94'!T41+'95'!T41</f>
        <v>32</v>
      </c>
      <c r="U44" s="1352">
        <f>+'91'!U41+'92'!U41+'93'!U41+'94'!U41+'95'!U41</f>
        <v>52</v>
      </c>
      <c r="V44" s="1353">
        <f>+'91'!V41+'92'!V41+'93'!V41+'94'!V41+'95'!V41</f>
        <v>87</v>
      </c>
      <c r="W44" s="1359">
        <f>+C44+E44+G44+I44+K44+M44+O44+Q44+S44+U44</f>
        <v>170</v>
      </c>
      <c r="X44" s="1360">
        <f>+D44+F44+H44+J44+L44+N44+P44+R44+T44+V44</f>
        <v>175</v>
      </c>
      <c r="Y44" s="1361">
        <f t="shared" ref="Y44:Y47" si="17">SUM(W44:X44)</f>
        <v>345</v>
      </c>
    </row>
    <row r="45" spans="1:31" ht="19.5" customHeight="1">
      <c r="A45" s="880" t="s">
        <v>693</v>
      </c>
      <c r="B45" s="881" t="s">
        <v>694</v>
      </c>
      <c r="C45" s="882">
        <f>+'91'!C42+'92'!C42+'93'!C42+'94'!C42+'95'!C42</f>
        <v>0</v>
      </c>
      <c r="D45" s="882">
        <f>+'91'!D42+'92'!D42+'93'!D42+'94'!D42+'95'!D42</f>
        <v>0</v>
      </c>
      <c r="E45" s="1354">
        <f>+'91'!E42+'92'!E42+'93'!E42+'94'!E42+'95'!E42</f>
        <v>0</v>
      </c>
      <c r="F45" s="883">
        <f>+'91'!F42+'92'!F42+'93'!F42+'94'!F42+'95'!F42</f>
        <v>0</v>
      </c>
      <c r="G45" s="882">
        <f>+'91'!G42+'92'!G42+'93'!G42+'94'!G42+'95'!G42</f>
        <v>0</v>
      </c>
      <c r="H45" s="882">
        <f>+'91'!H42+'92'!H42+'93'!H42+'94'!H42+'95'!H42</f>
        <v>0</v>
      </c>
      <c r="I45" s="1354">
        <f>+'91'!I42+'92'!I42+'93'!I42+'94'!I42+'95'!I42</f>
        <v>0</v>
      </c>
      <c r="J45" s="883">
        <f>+'91'!J42+'92'!J42+'93'!J42+'94'!J42+'95'!J42</f>
        <v>0</v>
      </c>
      <c r="K45" s="882">
        <f>+'91'!K42+'92'!K42+'93'!K42+'94'!K42+'95'!K42</f>
        <v>1</v>
      </c>
      <c r="L45" s="882">
        <f>+'91'!L42+'92'!L42+'93'!L42+'94'!L42+'95'!L42</f>
        <v>3</v>
      </c>
      <c r="M45" s="1354">
        <f>+'91'!M42+'92'!M42+'93'!M42+'94'!M42+'95'!M42</f>
        <v>2</v>
      </c>
      <c r="N45" s="883">
        <f>+'91'!N42+'92'!N42+'93'!N42+'94'!N42+'95'!N42</f>
        <v>3</v>
      </c>
      <c r="O45" s="882">
        <f>+'91'!O42+'92'!O42+'93'!O42+'94'!O42+'95'!O42</f>
        <v>0</v>
      </c>
      <c r="P45" s="882">
        <f>+'91'!P42+'92'!P42+'93'!P42+'94'!P42+'95'!P42</f>
        <v>3</v>
      </c>
      <c r="Q45" s="1354">
        <f>+'91'!Q42+'92'!Q42+'93'!Q42+'94'!Q42+'95'!Q42</f>
        <v>35</v>
      </c>
      <c r="R45" s="883">
        <f>+'91'!R42+'92'!R42+'93'!R42+'94'!R42+'95'!R42</f>
        <v>141</v>
      </c>
      <c r="S45" s="882">
        <f>+'91'!S42+'92'!S42+'93'!S42+'94'!S42+'95'!S42</f>
        <v>139</v>
      </c>
      <c r="T45" s="882">
        <f>+'91'!T42+'92'!T42+'93'!T42+'94'!T42+'95'!T42</f>
        <v>248</v>
      </c>
      <c r="U45" s="1354">
        <f>+'91'!U42+'92'!U42+'93'!U42+'94'!U42+'95'!U42</f>
        <v>203</v>
      </c>
      <c r="V45" s="883">
        <f>+'91'!V42+'92'!V42+'93'!V42+'94'!V42+'95'!V42</f>
        <v>192</v>
      </c>
      <c r="W45" s="1362">
        <f>+C45+E45+G45+I45+K45+M45+O45+Q45+S45+U45</f>
        <v>380</v>
      </c>
      <c r="X45" s="1361">
        <f>+D45+F45+H45+J45+L45+N45+P45+R45+T45+V45</f>
        <v>590</v>
      </c>
      <c r="Y45" s="1361">
        <f t="shared" si="17"/>
        <v>970</v>
      </c>
    </row>
    <row r="46" spans="1:31" ht="18" customHeight="1">
      <c r="A46" s="880" t="s">
        <v>196</v>
      </c>
      <c r="B46" s="881" t="s">
        <v>197</v>
      </c>
      <c r="C46" s="882">
        <f>+'91'!C43+'92'!C43+'93'!C43+'94'!C43+'95'!C43</f>
        <v>0</v>
      </c>
      <c r="D46" s="882">
        <f>+'91'!D43+'92'!D43+'93'!D43+'94'!D43+'95'!D43</f>
        <v>0</v>
      </c>
      <c r="E46" s="1354">
        <f>+'91'!E43+'92'!E43+'93'!E43+'94'!E43+'95'!E43</f>
        <v>0</v>
      </c>
      <c r="F46" s="883">
        <f>+'91'!F43+'92'!F43+'93'!F43+'94'!F43+'95'!F43</f>
        <v>0</v>
      </c>
      <c r="G46" s="882">
        <f>+'91'!G43+'92'!G43+'93'!G43+'94'!G43+'95'!G43</f>
        <v>0</v>
      </c>
      <c r="H46" s="882">
        <f>+'91'!H43+'92'!H43+'93'!H43+'94'!H43+'95'!H43</f>
        <v>4</v>
      </c>
      <c r="I46" s="1354">
        <f>+'91'!I43+'92'!I43+'93'!I43+'94'!I43+'95'!I43</f>
        <v>1</v>
      </c>
      <c r="J46" s="883">
        <f>+'91'!J43+'92'!J43+'93'!J43+'94'!J43+'95'!J43</f>
        <v>1</v>
      </c>
      <c r="K46" s="882">
        <f>+'91'!K43+'92'!K43+'93'!K43+'94'!K43+'95'!K43</f>
        <v>0</v>
      </c>
      <c r="L46" s="882">
        <f>+'91'!L43+'92'!L43+'93'!L43+'94'!L43+'95'!L43</f>
        <v>6</v>
      </c>
      <c r="M46" s="1354">
        <f>+'91'!M43+'92'!M43+'93'!M43+'94'!M43+'95'!M43</f>
        <v>2</v>
      </c>
      <c r="N46" s="883">
        <f>+'91'!N43+'92'!N43+'93'!N43+'94'!N43+'95'!N43</f>
        <v>2</v>
      </c>
      <c r="O46" s="882">
        <f>+'91'!O43+'92'!O43+'93'!O43+'94'!O43+'95'!O43</f>
        <v>2</v>
      </c>
      <c r="P46" s="882">
        <f>+'91'!P43+'92'!P43+'93'!P43+'94'!P43+'95'!P43</f>
        <v>0</v>
      </c>
      <c r="Q46" s="1354">
        <f>+'91'!Q43+'92'!Q43+'93'!Q43+'94'!Q43+'95'!Q43</f>
        <v>13</v>
      </c>
      <c r="R46" s="883">
        <f>+'91'!R43+'92'!R43+'93'!R43+'94'!R43+'95'!R43</f>
        <v>12</v>
      </c>
      <c r="S46" s="882">
        <f>+'91'!S43+'92'!S43+'93'!S43+'94'!S43+'95'!S43</f>
        <v>9</v>
      </c>
      <c r="T46" s="882">
        <f>+'91'!T43+'92'!T43+'93'!T43+'94'!T43+'95'!T43</f>
        <v>14</v>
      </c>
      <c r="U46" s="1354">
        <f>+'91'!U43+'92'!U43+'93'!U43+'94'!U43+'95'!U43</f>
        <v>28</v>
      </c>
      <c r="V46" s="883">
        <f>+'91'!V43+'92'!V43+'93'!V43+'94'!V43+'95'!V43</f>
        <v>22</v>
      </c>
      <c r="W46" s="1362">
        <f t="shared" ref="W46:X63" si="18">+C46+E46+G46+I46+K46+M46+O46+Q46+S46+U46</f>
        <v>55</v>
      </c>
      <c r="X46" s="1361">
        <f t="shared" si="18"/>
        <v>61</v>
      </c>
      <c r="Y46" s="1361">
        <f t="shared" si="17"/>
        <v>116</v>
      </c>
    </row>
    <row r="47" spans="1:31" ht="19.5" customHeight="1">
      <c r="A47" s="880" t="s">
        <v>720</v>
      </c>
      <c r="B47" s="881" t="s">
        <v>721</v>
      </c>
      <c r="C47" s="882">
        <f>+'91'!C44+'92'!C44+'93'!C44+'94'!C44+'95'!C44</f>
        <v>0</v>
      </c>
      <c r="D47" s="882">
        <f>+'91'!D44+'92'!D44+'93'!D44+'94'!D44+'95'!D44</f>
        <v>0</v>
      </c>
      <c r="E47" s="1354">
        <f>+'91'!E44+'92'!E44+'93'!E44+'94'!E44+'95'!E44</f>
        <v>0</v>
      </c>
      <c r="F47" s="883">
        <f>+'91'!F44+'92'!F44+'93'!F44+'94'!F44+'95'!F44</f>
        <v>0</v>
      </c>
      <c r="G47" s="882">
        <f>+'91'!G44+'92'!G44+'93'!G44+'94'!G44+'95'!G44</f>
        <v>1</v>
      </c>
      <c r="H47" s="882">
        <f>+'91'!H44+'92'!H44+'93'!H44+'94'!H44+'95'!H44</f>
        <v>0</v>
      </c>
      <c r="I47" s="1354">
        <f>+'91'!I44+'92'!I44+'93'!I44+'94'!I44+'95'!I44</f>
        <v>1</v>
      </c>
      <c r="J47" s="883">
        <f>+'91'!J44+'92'!J44+'93'!J44+'94'!J44+'95'!J44</f>
        <v>5</v>
      </c>
      <c r="K47" s="882">
        <f>+'91'!K44+'92'!K44+'93'!K44+'94'!K44+'95'!K44</f>
        <v>2</v>
      </c>
      <c r="L47" s="882">
        <f>+'91'!L44+'92'!L44+'93'!L44+'94'!L44+'95'!L44</f>
        <v>2</v>
      </c>
      <c r="M47" s="1354">
        <f>+'91'!M44+'92'!M44+'93'!M44+'94'!M44+'95'!M44</f>
        <v>3</v>
      </c>
      <c r="N47" s="883">
        <f>+'91'!N44+'92'!N44+'93'!N44+'94'!N44+'95'!N44</f>
        <v>11</v>
      </c>
      <c r="O47" s="882">
        <f>+'91'!O44+'92'!O44+'93'!O44+'94'!O44+'95'!O44</f>
        <v>2</v>
      </c>
      <c r="P47" s="882">
        <f>+'91'!P44+'92'!P44+'93'!P44+'94'!P44+'95'!P44</f>
        <v>3</v>
      </c>
      <c r="Q47" s="1354">
        <f>+'91'!Q44+'92'!Q44+'93'!Q44+'94'!Q44+'95'!Q44</f>
        <v>38</v>
      </c>
      <c r="R47" s="883">
        <f>+'91'!R44+'92'!R44+'93'!R44+'94'!R44+'95'!R44</f>
        <v>41</v>
      </c>
      <c r="S47" s="882">
        <f>+'91'!S44+'92'!S44+'93'!S44+'94'!S44+'95'!S44</f>
        <v>84</v>
      </c>
      <c r="T47" s="882">
        <f>+'91'!T44+'92'!T44+'93'!T44+'94'!T44+'95'!T44</f>
        <v>73</v>
      </c>
      <c r="U47" s="1354">
        <f>+'91'!U44+'92'!U44+'93'!U44+'94'!U44+'95'!U44</f>
        <v>81</v>
      </c>
      <c r="V47" s="883">
        <f>+'91'!V44+'92'!V44+'93'!V44+'94'!V44+'95'!V44</f>
        <v>85</v>
      </c>
      <c r="W47" s="1362">
        <f t="shared" si="18"/>
        <v>212</v>
      </c>
      <c r="X47" s="1361">
        <f t="shared" si="18"/>
        <v>220</v>
      </c>
      <c r="Y47" s="1361">
        <f t="shared" si="17"/>
        <v>432</v>
      </c>
    </row>
    <row r="48" spans="1:31" ht="19.5" customHeight="1">
      <c r="A48" s="880" t="s">
        <v>198</v>
      </c>
      <c r="B48" s="881" t="s">
        <v>199</v>
      </c>
      <c r="C48" s="882">
        <f>+'91'!C45+'92'!C45+'93'!C45+'94'!C45+'95'!C45</f>
        <v>0</v>
      </c>
      <c r="D48" s="882">
        <f>+'91'!D45+'92'!D45+'93'!D45+'94'!D45+'95'!D45</f>
        <v>0</v>
      </c>
      <c r="E48" s="1354">
        <f>+'91'!E45+'92'!E45+'93'!E45+'94'!E45+'95'!E45</f>
        <v>0</v>
      </c>
      <c r="F48" s="883">
        <f>+'91'!F45+'92'!F45+'93'!F45+'94'!F45+'95'!F45</f>
        <v>0</v>
      </c>
      <c r="G48" s="882">
        <f>+'91'!G45+'92'!G45+'93'!G45+'94'!G45+'95'!G45</f>
        <v>0</v>
      </c>
      <c r="H48" s="882">
        <f>+'91'!H45+'92'!H45+'93'!H45+'94'!H45+'95'!H45</f>
        <v>0</v>
      </c>
      <c r="I48" s="1354">
        <f>+'91'!I45+'92'!I45+'93'!I45+'94'!I45+'95'!I45</f>
        <v>1</v>
      </c>
      <c r="J48" s="883">
        <f>+'91'!J45+'92'!J45+'93'!J45+'94'!J45+'95'!J45</f>
        <v>3</v>
      </c>
      <c r="K48" s="882">
        <f>+'91'!K45+'92'!K45+'93'!K45+'94'!K45+'95'!K45</f>
        <v>6</v>
      </c>
      <c r="L48" s="882">
        <f>+'91'!L45+'92'!L45+'93'!L45+'94'!L45+'95'!L45</f>
        <v>0</v>
      </c>
      <c r="M48" s="1354">
        <f>+'91'!M45+'92'!M45+'93'!M45+'94'!M45+'95'!M45</f>
        <v>3</v>
      </c>
      <c r="N48" s="883">
        <f>+'91'!N45+'92'!N45+'93'!N45+'94'!N45+'95'!N45</f>
        <v>14</v>
      </c>
      <c r="O48" s="882">
        <f>+'91'!O45+'92'!O45+'93'!O45+'94'!O45+'95'!O45</f>
        <v>17</v>
      </c>
      <c r="P48" s="882">
        <f>+'91'!P45+'92'!P45+'93'!P45+'94'!P45+'95'!P45</f>
        <v>35</v>
      </c>
      <c r="Q48" s="1354">
        <f>+'91'!Q45+'92'!Q45+'93'!Q45+'94'!Q45+'95'!Q45</f>
        <v>207</v>
      </c>
      <c r="R48" s="883">
        <f>+'91'!R45+'92'!R45+'93'!R45+'94'!R45+'95'!R45</f>
        <v>128</v>
      </c>
      <c r="S48" s="882">
        <f>+'91'!S45+'92'!S45+'93'!S45+'94'!S45+'95'!S45</f>
        <v>78</v>
      </c>
      <c r="T48" s="882">
        <f>+'91'!T45+'92'!T45+'93'!T45+'94'!T45+'95'!T45</f>
        <v>75</v>
      </c>
      <c r="U48" s="1354">
        <f>+'91'!U45+'92'!U45+'93'!U45+'94'!U45+'95'!U45</f>
        <v>30</v>
      </c>
      <c r="V48" s="883">
        <f>+'91'!V45+'92'!V45+'93'!V45+'94'!V45+'95'!V45</f>
        <v>19</v>
      </c>
      <c r="W48" s="1362">
        <f t="shared" si="18"/>
        <v>342</v>
      </c>
      <c r="X48" s="1361">
        <f t="shared" si="18"/>
        <v>274</v>
      </c>
      <c r="Y48" s="1361">
        <f>SUM(W48:X48)</f>
        <v>616</v>
      </c>
    </row>
    <row r="49" spans="1:25" ht="19.5" customHeight="1">
      <c r="A49" s="880" t="s">
        <v>200</v>
      </c>
      <c r="B49" s="881" t="s">
        <v>201</v>
      </c>
      <c r="C49" s="882">
        <f>+'91'!C46+'92'!C46+'93'!C46+'94'!C46+'95'!C46</f>
        <v>0</v>
      </c>
      <c r="D49" s="882">
        <f>+'91'!D46+'92'!D46+'93'!D46+'94'!D46+'95'!D46</f>
        <v>1</v>
      </c>
      <c r="E49" s="1354">
        <f>+'91'!E46+'92'!E46+'93'!E46+'94'!E46+'95'!E46</f>
        <v>0</v>
      </c>
      <c r="F49" s="883">
        <f>+'91'!F46+'92'!F46+'93'!F46+'94'!F46+'95'!F46</f>
        <v>0</v>
      </c>
      <c r="G49" s="882">
        <f>+'91'!G46+'92'!G46+'93'!G46+'94'!G46+'95'!G46</f>
        <v>9</v>
      </c>
      <c r="H49" s="882">
        <f>+'91'!H46+'92'!H46+'93'!H46+'94'!H46+'95'!H46</f>
        <v>3</v>
      </c>
      <c r="I49" s="1354">
        <f>+'91'!I46+'92'!I46+'93'!I46+'94'!I46+'95'!I46</f>
        <v>13</v>
      </c>
      <c r="J49" s="883">
        <f>+'91'!J46+'92'!J46+'93'!J46+'94'!J46+'95'!J46</f>
        <v>7</v>
      </c>
      <c r="K49" s="882">
        <f>+'91'!K46+'92'!K46+'93'!K46+'94'!K46+'95'!K46</f>
        <v>15</v>
      </c>
      <c r="L49" s="882">
        <f>+'91'!L46+'92'!L46+'93'!L46+'94'!L46+'95'!L46</f>
        <v>4</v>
      </c>
      <c r="M49" s="1354">
        <f>+'91'!M46+'92'!M46+'93'!M46+'94'!M46+'95'!M46</f>
        <v>5</v>
      </c>
      <c r="N49" s="883">
        <f>+'91'!N46+'92'!N46+'93'!N46+'94'!N46+'95'!N46</f>
        <v>11</v>
      </c>
      <c r="O49" s="882">
        <f>+'91'!O46+'92'!O46+'93'!O46+'94'!O46+'95'!O46</f>
        <v>4</v>
      </c>
      <c r="P49" s="882">
        <f>+'91'!P46+'92'!P46+'93'!P46+'94'!P46+'95'!P46</f>
        <v>1</v>
      </c>
      <c r="Q49" s="1354">
        <f>+'91'!Q46+'92'!Q46+'93'!Q46+'94'!Q46+'95'!Q46</f>
        <v>28</v>
      </c>
      <c r="R49" s="883">
        <f>+'91'!R46+'92'!R46+'93'!R46+'94'!R46+'95'!R46</f>
        <v>20</v>
      </c>
      <c r="S49" s="882">
        <f>+'91'!S46+'92'!S46+'93'!S46+'94'!S46+'95'!S46</f>
        <v>25</v>
      </c>
      <c r="T49" s="882">
        <f>+'91'!T46+'92'!T46+'93'!T46+'94'!T46+'95'!T46</f>
        <v>30</v>
      </c>
      <c r="U49" s="1354">
        <f>+'91'!U46+'92'!U46+'93'!U46+'94'!U46+'95'!U46</f>
        <v>57</v>
      </c>
      <c r="V49" s="883">
        <f>+'91'!V46+'92'!V46+'93'!V46+'94'!V46+'95'!V46</f>
        <v>41</v>
      </c>
      <c r="W49" s="1362">
        <f t="shared" si="18"/>
        <v>156</v>
      </c>
      <c r="X49" s="1361">
        <f t="shared" si="18"/>
        <v>118</v>
      </c>
      <c r="Y49" s="1361">
        <f t="shared" ref="Y49:Y63" si="19">SUM(W49:X49)</f>
        <v>274</v>
      </c>
    </row>
    <row r="50" spans="1:25" ht="19.5" customHeight="1">
      <c r="A50" s="880" t="s">
        <v>202</v>
      </c>
      <c r="B50" s="881" t="s">
        <v>203</v>
      </c>
      <c r="C50" s="882">
        <f>+'91'!C47+'92'!C47+'93'!C47+'94'!C47+'95'!C47</f>
        <v>0</v>
      </c>
      <c r="D50" s="882">
        <f>+'91'!D47+'92'!D47+'93'!D47+'94'!D47+'95'!D47</f>
        <v>0</v>
      </c>
      <c r="E50" s="1354">
        <f>+'91'!E47+'92'!E47+'93'!E47+'94'!E47+'95'!E47</f>
        <v>0</v>
      </c>
      <c r="F50" s="883">
        <f>+'91'!F47+'92'!F47+'93'!F47+'94'!F47+'95'!F47</f>
        <v>0</v>
      </c>
      <c r="G50" s="882">
        <f>+'91'!G47+'92'!G47+'93'!G47+'94'!G47+'95'!G47</f>
        <v>0</v>
      </c>
      <c r="H50" s="882">
        <f>+'91'!H47+'92'!H47+'93'!H47+'94'!H47+'95'!H47</f>
        <v>0</v>
      </c>
      <c r="I50" s="1354">
        <f>+'91'!I47+'92'!I47+'93'!I47+'94'!I47+'95'!I47</f>
        <v>1</v>
      </c>
      <c r="J50" s="883">
        <f>+'91'!J47+'92'!J47+'93'!J47+'94'!J47+'95'!J47</f>
        <v>2</v>
      </c>
      <c r="K50" s="882">
        <f>+'91'!K47+'92'!K47+'93'!K47+'94'!K47+'95'!K47</f>
        <v>1</v>
      </c>
      <c r="L50" s="882">
        <f>+'91'!L47+'92'!L47+'93'!L47+'94'!L47+'95'!L47</f>
        <v>2</v>
      </c>
      <c r="M50" s="1354">
        <f>+'91'!M47+'92'!M47+'93'!M47+'94'!M47+'95'!M47</f>
        <v>1</v>
      </c>
      <c r="N50" s="883">
        <f>+'91'!N47+'92'!N47+'93'!N47+'94'!N47+'95'!N47</f>
        <v>0</v>
      </c>
      <c r="O50" s="882">
        <f>+'91'!O47+'92'!O47+'93'!O47+'94'!O47+'95'!O47</f>
        <v>1</v>
      </c>
      <c r="P50" s="882">
        <f>+'91'!P47+'92'!P47+'93'!P47+'94'!P47+'95'!P47</f>
        <v>0</v>
      </c>
      <c r="Q50" s="1354">
        <f>+'91'!Q47+'92'!Q47+'93'!Q47+'94'!Q47+'95'!Q47</f>
        <v>4</v>
      </c>
      <c r="R50" s="883">
        <f>+'91'!R47+'92'!R47+'93'!R47+'94'!R47+'95'!R47</f>
        <v>9</v>
      </c>
      <c r="S50" s="882">
        <f>+'91'!S47+'92'!S47+'93'!S47+'94'!S47+'95'!S47</f>
        <v>5</v>
      </c>
      <c r="T50" s="882">
        <f>+'91'!T47+'92'!T47+'93'!T47+'94'!T47+'95'!T47</f>
        <v>4</v>
      </c>
      <c r="U50" s="1354">
        <f>+'91'!U47+'92'!U47+'93'!U47+'94'!U47+'95'!U47</f>
        <v>5</v>
      </c>
      <c r="V50" s="883">
        <f>+'91'!V47+'92'!V47+'93'!V47+'94'!V47+'95'!V47</f>
        <v>11</v>
      </c>
      <c r="W50" s="1362">
        <f t="shared" si="18"/>
        <v>18</v>
      </c>
      <c r="X50" s="1361">
        <f t="shared" si="18"/>
        <v>28</v>
      </c>
      <c r="Y50" s="1361">
        <f t="shared" si="19"/>
        <v>46</v>
      </c>
    </row>
    <row r="51" spans="1:25" ht="18" customHeight="1">
      <c r="A51" s="880" t="s">
        <v>691</v>
      </c>
      <c r="B51" s="881" t="s">
        <v>692</v>
      </c>
      <c r="C51" s="882">
        <f>+'91'!C48+'92'!C48+'93'!C48+'94'!C48+'95'!C48</f>
        <v>0</v>
      </c>
      <c r="D51" s="882">
        <f>+'91'!D48+'92'!D48+'93'!D48+'94'!D48+'95'!D48</f>
        <v>0</v>
      </c>
      <c r="E51" s="1354">
        <f>+'91'!E48+'92'!E48+'93'!E48+'94'!E48+'95'!E48</f>
        <v>0</v>
      </c>
      <c r="F51" s="883">
        <f>+'91'!F48+'92'!F48+'93'!F48+'94'!F48+'95'!F48</f>
        <v>0</v>
      </c>
      <c r="G51" s="882">
        <f>+'91'!G48+'92'!G48+'93'!G48+'94'!G48+'95'!G48</f>
        <v>1</v>
      </c>
      <c r="H51" s="882">
        <f>+'91'!H48+'92'!H48+'93'!H48+'94'!H48+'95'!H48</f>
        <v>3</v>
      </c>
      <c r="I51" s="1354">
        <f>+'91'!I48+'92'!I48+'93'!I48+'94'!I48+'95'!I48</f>
        <v>1</v>
      </c>
      <c r="J51" s="883">
        <f>+'91'!J48+'92'!J48+'93'!J48+'94'!J48+'95'!J48</f>
        <v>0</v>
      </c>
      <c r="K51" s="882">
        <f>+'91'!K48+'92'!K48+'93'!K48+'94'!K48+'95'!K48</f>
        <v>1</v>
      </c>
      <c r="L51" s="882">
        <f>+'91'!L48+'92'!L48+'93'!L48+'94'!L48+'95'!L48</f>
        <v>1</v>
      </c>
      <c r="M51" s="1354">
        <f>+'91'!M48+'92'!M48+'93'!M48+'94'!M48+'95'!M48</f>
        <v>2</v>
      </c>
      <c r="N51" s="883">
        <f>+'91'!N48+'92'!N48+'93'!N48+'94'!N48+'95'!N48</f>
        <v>2</v>
      </c>
      <c r="O51" s="882">
        <f>+'91'!O48+'92'!O48+'93'!O48+'94'!O48+'95'!O48</f>
        <v>3</v>
      </c>
      <c r="P51" s="882">
        <f>+'91'!P48+'92'!P48+'93'!P48+'94'!P48+'95'!P48</f>
        <v>4</v>
      </c>
      <c r="Q51" s="1354">
        <f>+'91'!Q48+'92'!Q48+'93'!Q48+'94'!Q48+'95'!Q48</f>
        <v>61</v>
      </c>
      <c r="R51" s="883">
        <f>+'91'!R48+'92'!R48+'93'!R48+'94'!R48+'95'!R48</f>
        <v>66</v>
      </c>
      <c r="S51" s="882">
        <f>+'91'!S48+'92'!S48+'93'!S48+'94'!S48+'95'!S48</f>
        <v>318</v>
      </c>
      <c r="T51" s="882">
        <f>+'91'!T48+'92'!T48+'93'!T48+'94'!T48+'95'!T48</f>
        <v>192</v>
      </c>
      <c r="U51" s="1354">
        <f>+'91'!U48+'92'!U48+'93'!U48+'94'!U48+'95'!U48</f>
        <v>582</v>
      </c>
      <c r="V51" s="883">
        <f>+'91'!V48+'92'!V48+'93'!V48+'94'!V48+'95'!V48</f>
        <v>491</v>
      </c>
      <c r="W51" s="1362">
        <f t="shared" si="18"/>
        <v>969</v>
      </c>
      <c r="X51" s="1361">
        <f t="shared" si="18"/>
        <v>759</v>
      </c>
      <c r="Y51" s="1361">
        <f t="shared" si="19"/>
        <v>1728</v>
      </c>
    </row>
    <row r="52" spans="1:25" ht="18.75" customHeight="1">
      <c r="A52" s="880" t="s">
        <v>695</v>
      </c>
      <c r="B52" s="881" t="s">
        <v>696</v>
      </c>
      <c r="C52" s="882">
        <f>+'91'!C49+'92'!C49+'93'!C49+'94'!C49+'95'!C49</f>
        <v>0</v>
      </c>
      <c r="D52" s="882">
        <f>+'91'!D49+'92'!D49+'93'!D49+'94'!D49+'95'!D49</f>
        <v>0</v>
      </c>
      <c r="E52" s="1354">
        <f>+'91'!E49+'92'!E49+'93'!E49+'94'!E49+'95'!E49</f>
        <v>0</v>
      </c>
      <c r="F52" s="883">
        <f>+'91'!F49+'92'!F49+'93'!F49+'94'!F49+'95'!F49</f>
        <v>0</v>
      </c>
      <c r="G52" s="882">
        <f>+'91'!G49+'92'!G49+'93'!G49+'94'!G49+'95'!G49</f>
        <v>18</v>
      </c>
      <c r="H52" s="882">
        <f>+'91'!H49+'92'!H49+'93'!H49+'94'!H49+'95'!H49</f>
        <v>12</v>
      </c>
      <c r="I52" s="1354">
        <f>+'91'!I49+'92'!I49+'93'!I49+'94'!I49+'95'!I49</f>
        <v>31</v>
      </c>
      <c r="J52" s="883">
        <f>+'91'!J49+'92'!J49+'93'!J49+'94'!J49+'95'!J49</f>
        <v>18</v>
      </c>
      <c r="K52" s="882">
        <f>+'91'!K49+'92'!K49+'93'!K49+'94'!K49+'95'!K49</f>
        <v>20</v>
      </c>
      <c r="L52" s="882">
        <f>+'91'!L49+'92'!L49+'93'!L49+'94'!L49+'95'!L49</f>
        <v>20</v>
      </c>
      <c r="M52" s="1354">
        <f>+'91'!M49+'92'!M49+'93'!M49+'94'!M49+'95'!M49</f>
        <v>9</v>
      </c>
      <c r="N52" s="883">
        <f>+'91'!N49+'92'!N49+'93'!N49+'94'!N49+'95'!N49</f>
        <v>7</v>
      </c>
      <c r="O52" s="882">
        <f>+'91'!O49+'92'!O49+'93'!O49+'94'!O49+'95'!O49</f>
        <v>11</v>
      </c>
      <c r="P52" s="882">
        <f>+'91'!P49+'92'!P49+'93'!P49+'94'!P49+'95'!P49</f>
        <v>4</v>
      </c>
      <c r="Q52" s="1354">
        <f>+'91'!Q49+'92'!Q49+'93'!Q49+'94'!Q49+'95'!Q49</f>
        <v>69</v>
      </c>
      <c r="R52" s="883">
        <f>+'91'!R49+'92'!R49+'93'!R49+'94'!R49+'95'!R49</f>
        <v>50</v>
      </c>
      <c r="S52" s="882">
        <f>+'91'!S49+'92'!S49+'93'!S49+'94'!S49+'95'!S49</f>
        <v>122</v>
      </c>
      <c r="T52" s="882">
        <f>+'91'!T49+'92'!T49+'93'!T49+'94'!T49+'95'!T49</f>
        <v>91</v>
      </c>
      <c r="U52" s="1354">
        <f>+'91'!U49+'92'!U49+'93'!U49+'94'!U49+'95'!U49</f>
        <v>358</v>
      </c>
      <c r="V52" s="883">
        <f>+'91'!V49+'92'!V49+'93'!V49+'94'!V49+'95'!V49</f>
        <v>369</v>
      </c>
      <c r="W52" s="1362">
        <f t="shared" si="18"/>
        <v>638</v>
      </c>
      <c r="X52" s="1361">
        <f t="shared" si="18"/>
        <v>571</v>
      </c>
      <c r="Y52" s="1361">
        <f t="shared" si="19"/>
        <v>1209</v>
      </c>
    </row>
    <row r="53" spans="1:25" ht="19.5" customHeight="1">
      <c r="A53" s="880" t="s">
        <v>712</v>
      </c>
      <c r="B53" s="881" t="s">
        <v>713</v>
      </c>
      <c r="C53" s="882">
        <f>+'91'!C50+'92'!C50+'93'!C50+'94'!C50+'95'!C50</f>
        <v>0</v>
      </c>
      <c r="D53" s="882">
        <f>+'91'!D50+'92'!D50+'93'!D50+'94'!D50+'95'!D50</f>
        <v>0</v>
      </c>
      <c r="E53" s="1354">
        <f>+'91'!E50+'92'!E50+'93'!E50+'94'!E50+'95'!E50</f>
        <v>0</v>
      </c>
      <c r="F53" s="883">
        <f>+'91'!F50+'92'!F50+'93'!F50+'94'!F50+'95'!F50</f>
        <v>0</v>
      </c>
      <c r="G53" s="882">
        <f>+'91'!G50+'92'!G50+'93'!G50+'94'!G50+'95'!G50</f>
        <v>6</v>
      </c>
      <c r="H53" s="882">
        <f>+'91'!H50+'92'!H50+'93'!H50+'94'!H50+'95'!H50</f>
        <v>4</v>
      </c>
      <c r="I53" s="1354">
        <f>+'91'!I50+'92'!I50+'93'!I50+'94'!I50+'95'!I50</f>
        <v>16</v>
      </c>
      <c r="J53" s="883">
        <f>+'91'!J50+'92'!J50+'93'!J50+'94'!J50+'95'!J50</f>
        <v>16</v>
      </c>
      <c r="K53" s="882">
        <f>+'91'!K50+'92'!K50+'93'!K50+'94'!K50+'95'!K50</f>
        <v>57</v>
      </c>
      <c r="L53" s="882">
        <f>+'91'!L50+'92'!L50+'93'!L50+'94'!L50+'95'!L50</f>
        <v>48</v>
      </c>
      <c r="M53" s="1354">
        <f>+'91'!M50+'92'!M50+'93'!M50+'94'!M50+'95'!M50</f>
        <v>70</v>
      </c>
      <c r="N53" s="883">
        <f>+'91'!N50+'92'!N50+'93'!N50+'94'!N50+'95'!N50</f>
        <v>56</v>
      </c>
      <c r="O53" s="882">
        <f>+'91'!O50+'92'!O50+'93'!O50+'94'!O50+'95'!O50</f>
        <v>40</v>
      </c>
      <c r="P53" s="882">
        <f>+'91'!P50+'92'!P50+'93'!P50+'94'!P50+'95'!P50</f>
        <v>60</v>
      </c>
      <c r="Q53" s="1354">
        <f>+'91'!Q50+'92'!Q50+'93'!Q50+'94'!Q50+'95'!Q50</f>
        <v>352</v>
      </c>
      <c r="R53" s="883">
        <f>+'91'!R50+'92'!R50+'93'!R50+'94'!R50+'95'!R50</f>
        <v>459</v>
      </c>
      <c r="S53" s="882">
        <f>+'91'!S50+'92'!S50+'93'!S50+'94'!S50+'95'!S50</f>
        <v>351</v>
      </c>
      <c r="T53" s="882">
        <f>+'91'!T50+'92'!T50+'93'!T50+'94'!T50+'95'!T50</f>
        <v>349</v>
      </c>
      <c r="U53" s="1354">
        <f>+'91'!U50+'92'!U50+'93'!U50+'94'!U50+'95'!U50</f>
        <v>350</v>
      </c>
      <c r="V53" s="883">
        <f>+'91'!V50+'92'!V50+'93'!V50+'94'!V50+'95'!V50</f>
        <v>297</v>
      </c>
      <c r="W53" s="1362">
        <f t="shared" si="18"/>
        <v>1242</v>
      </c>
      <c r="X53" s="1361">
        <f t="shared" si="18"/>
        <v>1289</v>
      </c>
      <c r="Y53" s="1361">
        <f t="shared" si="19"/>
        <v>2531</v>
      </c>
    </row>
    <row r="54" spans="1:25" ht="18" customHeight="1">
      <c r="A54" s="880" t="s">
        <v>204</v>
      </c>
      <c r="B54" s="881" t="s">
        <v>205</v>
      </c>
      <c r="C54" s="882">
        <f>+'91'!C51+'92'!C51+'93'!C51+'94'!C51+'95'!C51</f>
        <v>1</v>
      </c>
      <c r="D54" s="882">
        <f>+'91'!D51+'92'!D51+'93'!D51+'94'!D51+'95'!D51</f>
        <v>0</v>
      </c>
      <c r="E54" s="1354">
        <f>+'91'!E51+'92'!E51+'93'!E51+'94'!E51+'95'!E51</f>
        <v>0</v>
      </c>
      <c r="F54" s="883">
        <f>+'91'!F51+'92'!F51+'93'!F51+'94'!F51+'95'!F51</f>
        <v>1</v>
      </c>
      <c r="G54" s="882">
        <f>+'91'!G51+'92'!G51+'93'!G51+'94'!G51+'95'!G51</f>
        <v>2</v>
      </c>
      <c r="H54" s="882">
        <f>+'91'!H51+'92'!H51+'93'!H51+'94'!H51+'95'!H51</f>
        <v>1</v>
      </c>
      <c r="I54" s="1354">
        <f>+'91'!I51+'92'!I51+'93'!I51+'94'!I51+'95'!I51</f>
        <v>6</v>
      </c>
      <c r="J54" s="883">
        <f>+'91'!J51+'92'!J51+'93'!J51+'94'!J51+'95'!J51</f>
        <v>2</v>
      </c>
      <c r="K54" s="882">
        <f>+'91'!K51+'92'!K51+'93'!K51+'94'!K51+'95'!K51</f>
        <v>4</v>
      </c>
      <c r="L54" s="882">
        <f>+'91'!L51+'92'!L51+'93'!L51+'94'!L51+'95'!L51</f>
        <v>5</v>
      </c>
      <c r="M54" s="1354">
        <f>+'91'!M51+'92'!M51+'93'!M51+'94'!M51+'95'!M51</f>
        <v>8</v>
      </c>
      <c r="N54" s="883">
        <f>+'91'!N51+'92'!N51+'93'!N51+'94'!N51+'95'!N51</f>
        <v>3</v>
      </c>
      <c r="O54" s="882">
        <f>+'91'!O51+'92'!O51+'93'!O51+'94'!O51+'95'!O51</f>
        <v>3</v>
      </c>
      <c r="P54" s="882">
        <f>+'91'!P51+'92'!P51+'93'!P51+'94'!P51+'95'!P51</f>
        <v>3</v>
      </c>
      <c r="Q54" s="1354">
        <f>+'91'!Q51+'92'!Q51+'93'!Q51+'94'!Q51+'95'!Q51</f>
        <v>40</v>
      </c>
      <c r="R54" s="883">
        <f>+'91'!R51+'92'!R51+'93'!R51+'94'!R51+'95'!R51</f>
        <v>22</v>
      </c>
      <c r="S54" s="882">
        <f>+'91'!S51+'92'!S51+'93'!S51+'94'!S51+'95'!S51</f>
        <v>33</v>
      </c>
      <c r="T54" s="882">
        <f>+'91'!T51+'92'!T51+'93'!T51+'94'!T51+'95'!T51</f>
        <v>38</v>
      </c>
      <c r="U54" s="1354">
        <f>+'91'!U51+'92'!U51+'93'!U51+'94'!U51+'95'!U51</f>
        <v>30</v>
      </c>
      <c r="V54" s="883">
        <f>+'91'!V51+'92'!V51+'93'!V51+'94'!V51+'95'!V51</f>
        <v>49</v>
      </c>
      <c r="W54" s="1362">
        <f t="shared" si="18"/>
        <v>127</v>
      </c>
      <c r="X54" s="1361">
        <f t="shared" si="18"/>
        <v>124</v>
      </c>
      <c r="Y54" s="1361">
        <f t="shared" si="19"/>
        <v>251</v>
      </c>
    </row>
    <row r="55" spans="1:25" ht="19.5" customHeight="1">
      <c r="A55" s="880" t="s">
        <v>206</v>
      </c>
      <c r="B55" s="881" t="s">
        <v>207</v>
      </c>
      <c r="C55" s="882">
        <f>+'91'!C52+'92'!C52+'93'!C52+'94'!C52+'95'!C52</f>
        <v>0</v>
      </c>
      <c r="D55" s="882">
        <f>+'91'!D52+'92'!D52+'93'!D52+'94'!D52+'95'!D52</f>
        <v>0</v>
      </c>
      <c r="E55" s="1354">
        <f>+'91'!E52+'92'!E52+'93'!E52+'94'!E52+'95'!E52</f>
        <v>0</v>
      </c>
      <c r="F55" s="883">
        <f>+'91'!F52+'92'!F52+'93'!F52+'94'!F52+'95'!F52</f>
        <v>0</v>
      </c>
      <c r="G55" s="882">
        <f>+'91'!G52+'92'!G52+'93'!G52+'94'!G52+'95'!G52</f>
        <v>0</v>
      </c>
      <c r="H55" s="882">
        <f>+'91'!H52+'92'!H52+'93'!H52+'94'!H52+'95'!H52</f>
        <v>0</v>
      </c>
      <c r="I55" s="1354">
        <f>+'91'!I52+'92'!I52+'93'!I52+'94'!I52+'95'!I52</f>
        <v>0</v>
      </c>
      <c r="J55" s="883">
        <f>+'91'!J52+'92'!J52+'93'!J52+'94'!J52+'95'!J52</f>
        <v>1</v>
      </c>
      <c r="K55" s="882">
        <f>+'91'!K52+'92'!K52+'93'!K52+'94'!K52+'95'!K52</f>
        <v>2</v>
      </c>
      <c r="L55" s="882">
        <f>+'91'!L52+'92'!L52+'93'!L52+'94'!L52+'95'!L52</f>
        <v>3</v>
      </c>
      <c r="M55" s="1354">
        <f>+'91'!M52+'92'!M52+'93'!M52+'94'!M52+'95'!M52</f>
        <v>5</v>
      </c>
      <c r="N55" s="883">
        <f>+'91'!N52+'92'!N52+'93'!N52+'94'!N52+'95'!N52</f>
        <v>7</v>
      </c>
      <c r="O55" s="882">
        <f>+'91'!O52+'92'!O52+'93'!O52+'94'!O52+'95'!O52</f>
        <v>4</v>
      </c>
      <c r="P55" s="882">
        <f>+'91'!P52+'92'!P52+'93'!P52+'94'!P52+'95'!P52</f>
        <v>8</v>
      </c>
      <c r="Q55" s="1354">
        <f>+'91'!Q52+'92'!Q52+'93'!Q52+'94'!Q52+'95'!Q52</f>
        <v>48</v>
      </c>
      <c r="R55" s="883">
        <f>+'91'!R52+'92'!R52+'93'!R52+'94'!R52+'95'!R52</f>
        <v>74</v>
      </c>
      <c r="S55" s="882">
        <f>+'91'!S52+'92'!S52+'93'!S52+'94'!S52+'95'!S52</f>
        <v>80</v>
      </c>
      <c r="T55" s="882">
        <f>+'91'!T52+'92'!T52+'93'!T52+'94'!T52+'95'!T52</f>
        <v>134</v>
      </c>
      <c r="U55" s="1354">
        <f>+'91'!U52+'92'!U52+'93'!U52+'94'!U52+'95'!U52</f>
        <v>47</v>
      </c>
      <c r="V55" s="883">
        <f>+'91'!V52+'92'!V52+'93'!V52+'94'!V52+'95'!V52</f>
        <v>73</v>
      </c>
      <c r="W55" s="1362">
        <f t="shared" si="18"/>
        <v>186</v>
      </c>
      <c r="X55" s="1361">
        <f t="shared" si="18"/>
        <v>300</v>
      </c>
      <c r="Y55" s="1361">
        <f t="shared" si="19"/>
        <v>486</v>
      </c>
    </row>
    <row r="56" spans="1:25" ht="18.75" customHeight="1">
      <c r="A56" s="880" t="s">
        <v>714</v>
      </c>
      <c r="B56" s="881" t="s">
        <v>715</v>
      </c>
      <c r="C56" s="882">
        <f>+'91'!C53+'92'!C53+'93'!C53+'94'!C53+'95'!C53</f>
        <v>0</v>
      </c>
      <c r="D56" s="882">
        <f>+'91'!D53+'92'!D53+'93'!D53+'94'!D53+'95'!D53</f>
        <v>0</v>
      </c>
      <c r="E56" s="1354">
        <f>+'91'!E53+'92'!E53+'93'!E53+'94'!E53+'95'!E53</f>
        <v>0</v>
      </c>
      <c r="F56" s="883">
        <f>+'91'!F53+'92'!F53+'93'!F53+'94'!F53+'95'!F53</f>
        <v>0</v>
      </c>
      <c r="G56" s="882">
        <f>+'91'!G53+'92'!G53+'93'!G53+'94'!G53+'95'!G53</f>
        <v>15</v>
      </c>
      <c r="H56" s="882">
        <f>+'91'!H53+'92'!H53+'93'!H53+'94'!H53+'95'!H53</f>
        <v>22</v>
      </c>
      <c r="I56" s="1354">
        <f>+'91'!I53+'92'!I53+'93'!I53+'94'!I53+'95'!I53</f>
        <v>13</v>
      </c>
      <c r="J56" s="883">
        <f>+'91'!J53+'92'!J53+'93'!J53+'94'!J53+'95'!J53</f>
        <v>20</v>
      </c>
      <c r="K56" s="882">
        <f>+'91'!K53+'92'!K53+'93'!K53+'94'!K53+'95'!K53</f>
        <v>38</v>
      </c>
      <c r="L56" s="882">
        <f>+'91'!L53+'92'!L53+'93'!L53+'94'!L53+'95'!L53</f>
        <v>12</v>
      </c>
      <c r="M56" s="1354">
        <f>+'91'!M53+'92'!M53+'93'!M53+'94'!M53+'95'!M53</f>
        <v>17</v>
      </c>
      <c r="N56" s="883">
        <f>+'91'!N53+'92'!N53+'93'!N53+'94'!N53+'95'!N53</f>
        <v>6</v>
      </c>
      <c r="O56" s="882">
        <f>+'91'!O53+'92'!O53+'93'!O53+'94'!O53+'95'!O53</f>
        <v>6</v>
      </c>
      <c r="P56" s="882">
        <f>+'91'!P53+'92'!P53+'93'!P53+'94'!P53+'95'!P53</f>
        <v>29</v>
      </c>
      <c r="Q56" s="1354">
        <f>+'91'!Q53+'92'!Q53+'93'!Q53+'94'!Q53+'95'!Q53</f>
        <v>88</v>
      </c>
      <c r="R56" s="883">
        <f>+'91'!R53+'92'!R53+'93'!R53+'94'!R53+'95'!R53</f>
        <v>245</v>
      </c>
      <c r="S56" s="882">
        <f>+'91'!S53+'92'!S53+'93'!S53+'94'!S53+'95'!S53</f>
        <v>214</v>
      </c>
      <c r="T56" s="882">
        <f>+'91'!T53+'92'!T53+'93'!T53+'94'!T53+'95'!T53</f>
        <v>244</v>
      </c>
      <c r="U56" s="1354">
        <f>+'91'!U53+'92'!U53+'93'!U53+'94'!U53+'95'!U53</f>
        <v>311</v>
      </c>
      <c r="V56" s="883">
        <f>+'91'!V53+'92'!V53+'93'!V53+'94'!V53+'95'!V53</f>
        <v>266</v>
      </c>
      <c r="W56" s="1362">
        <f t="shared" si="18"/>
        <v>702</v>
      </c>
      <c r="X56" s="1361">
        <f t="shared" si="18"/>
        <v>844</v>
      </c>
      <c r="Y56" s="1361">
        <f t="shared" si="19"/>
        <v>1546</v>
      </c>
    </row>
    <row r="57" spans="1:25" ht="18.75" customHeight="1">
      <c r="A57" s="880" t="s">
        <v>208</v>
      </c>
      <c r="B57" s="881" t="s">
        <v>209</v>
      </c>
      <c r="C57" s="882">
        <f>+'91'!C54+'92'!C54+'93'!C54+'94'!C54+'95'!C54</f>
        <v>0</v>
      </c>
      <c r="D57" s="882">
        <f>+'91'!D54+'92'!D54+'93'!D54+'94'!D54+'95'!D54</f>
        <v>0</v>
      </c>
      <c r="E57" s="1354">
        <f>+'91'!E54+'92'!E54+'93'!E54+'94'!E54+'95'!E54</f>
        <v>0</v>
      </c>
      <c r="F57" s="883">
        <f>+'91'!F54+'92'!F54+'93'!F54+'94'!F54+'95'!F54</f>
        <v>0</v>
      </c>
      <c r="G57" s="882">
        <f>+'91'!G54+'92'!G54+'93'!G54+'94'!G54+'95'!G54</f>
        <v>0</v>
      </c>
      <c r="H57" s="882">
        <f>+'91'!H54+'92'!H54+'93'!H54+'94'!H54+'95'!H54</f>
        <v>0</v>
      </c>
      <c r="I57" s="1354">
        <f>+'91'!I54+'92'!I54+'93'!I54+'94'!I54+'95'!I54</f>
        <v>0</v>
      </c>
      <c r="J57" s="883">
        <f>+'91'!J54+'92'!J54+'93'!J54+'94'!J54+'95'!J54</f>
        <v>0</v>
      </c>
      <c r="K57" s="882">
        <f>+'91'!K54+'92'!K54+'93'!K54+'94'!K54+'95'!K54</f>
        <v>0</v>
      </c>
      <c r="L57" s="882">
        <f>+'91'!L54+'92'!L54+'93'!L54+'94'!L54+'95'!L54</f>
        <v>0</v>
      </c>
      <c r="M57" s="1354">
        <f>+'91'!M54+'92'!M54+'93'!M54+'94'!M54+'95'!M54</f>
        <v>0</v>
      </c>
      <c r="N57" s="883">
        <f>+'91'!N54+'92'!N54+'93'!N54+'94'!N54+'95'!N54</f>
        <v>4</v>
      </c>
      <c r="O57" s="882">
        <f>+'91'!O54+'92'!O54+'93'!O54+'94'!O54+'95'!O54</f>
        <v>0</v>
      </c>
      <c r="P57" s="882">
        <f>+'91'!P54+'92'!P54+'93'!P54+'94'!P54+'95'!P54</f>
        <v>232</v>
      </c>
      <c r="Q57" s="1354">
        <f>+'91'!Q54+'92'!Q54+'93'!Q54+'94'!Q54+'95'!Q54</f>
        <v>2</v>
      </c>
      <c r="R57" s="883">
        <f>+'91'!R54+'92'!R54+'93'!R54+'94'!R54+'95'!R54</f>
        <v>3148</v>
      </c>
      <c r="S57" s="882">
        <f>+'91'!S54+'92'!S54+'93'!S54+'94'!S54+'95'!S54</f>
        <v>0</v>
      </c>
      <c r="T57" s="882">
        <f>+'91'!T54+'92'!T54+'93'!T54+'94'!T54+'95'!T54</f>
        <v>13</v>
      </c>
      <c r="U57" s="1356">
        <f>+'91'!U54+'92'!U54+'93'!U54+'94'!U54+'95'!U54</f>
        <v>0</v>
      </c>
      <c r="V57" s="1116">
        <f>+'91'!V54+'92'!V54+'93'!V54+'94'!V54+'95'!V54</f>
        <v>0</v>
      </c>
      <c r="W57" s="1362">
        <f t="shared" si="18"/>
        <v>2</v>
      </c>
      <c r="X57" s="1361">
        <f t="shared" si="18"/>
        <v>3397</v>
      </c>
      <c r="Y57" s="1361">
        <f t="shared" si="19"/>
        <v>3399</v>
      </c>
    </row>
    <row r="58" spans="1:25" ht="18" customHeight="1">
      <c r="A58" s="880" t="s">
        <v>722</v>
      </c>
      <c r="B58" s="881" t="s">
        <v>723</v>
      </c>
      <c r="C58" s="882">
        <f>+'91'!C55+'92'!C55+'93'!C55+'94'!C55+'95'!C55</f>
        <v>211</v>
      </c>
      <c r="D58" s="882">
        <f>+'91'!D55+'92'!D55+'93'!D55+'94'!D55+'95'!D55</f>
        <v>172</v>
      </c>
      <c r="E58" s="1354">
        <f>+'91'!E55+'92'!E55+'93'!E55+'94'!E55+'95'!E55</f>
        <v>38</v>
      </c>
      <c r="F58" s="883">
        <f>+'91'!F55+'92'!F55+'93'!F55+'94'!F55+'95'!F55</f>
        <v>28</v>
      </c>
      <c r="G58" s="1251">
        <f>+'91'!G55+'92'!G55+'93'!G55+'94'!G55+'95'!G55</f>
        <v>14</v>
      </c>
      <c r="H58" s="1251">
        <f>+'91'!H55+'92'!H55+'93'!H55+'94'!H55+'95'!H55</f>
        <v>10</v>
      </c>
      <c r="I58" s="1356">
        <f>+'91'!I55+'92'!I55+'93'!I55+'94'!I55+'95'!I55</f>
        <v>0</v>
      </c>
      <c r="J58" s="1116">
        <f>+'91'!J55+'92'!J55+'93'!J55+'94'!J55+'95'!J55</f>
        <v>0</v>
      </c>
      <c r="K58" s="882">
        <f>+'91'!K55+'92'!K55+'93'!K55+'94'!K55+'95'!K55</f>
        <v>0</v>
      </c>
      <c r="L58" s="882">
        <f>+'91'!L55+'92'!L55+'93'!L55+'94'!L55+'95'!L55</f>
        <v>0</v>
      </c>
      <c r="M58" s="1354">
        <f>+'91'!M55+'92'!M55+'93'!M55+'94'!M55+'95'!M55</f>
        <v>0</v>
      </c>
      <c r="N58" s="883">
        <f>+'91'!N55+'92'!N55+'93'!N55+'94'!N55+'95'!N55</f>
        <v>0</v>
      </c>
      <c r="O58" s="882">
        <f>+'91'!O55+'92'!O55+'93'!O55+'94'!O55+'95'!O55</f>
        <v>0</v>
      </c>
      <c r="P58" s="882">
        <f>+'91'!P55+'92'!P55+'93'!P55+'94'!P55+'95'!P55</f>
        <v>0</v>
      </c>
      <c r="Q58" s="1357">
        <f>+'91'!Q55+'92'!Q55+'93'!Q55+'94'!Q55+'95'!Q55</f>
        <v>0</v>
      </c>
      <c r="R58" s="1358">
        <f>+'91'!R55+'92'!R55+'93'!R55+'94'!R55+'95'!R55</f>
        <v>0</v>
      </c>
      <c r="S58" s="882">
        <f>+'91'!S55+'92'!S55+'93'!S55+'94'!S55+'95'!S55</f>
        <v>0</v>
      </c>
      <c r="T58" s="882">
        <f>+'91'!T55+'92'!T55+'93'!T55+'94'!T55+'95'!T55</f>
        <v>0</v>
      </c>
      <c r="U58" s="1354">
        <f>+'91'!U55+'92'!U55+'93'!U55+'94'!U55+'95'!U55</f>
        <v>0</v>
      </c>
      <c r="V58" s="883">
        <f>+'91'!V55+'92'!V55+'93'!V55+'94'!V55+'95'!V55</f>
        <v>0</v>
      </c>
      <c r="W58" s="1362">
        <f t="shared" si="18"/>
        <v>263</v>
      </c>
      <c r="X58" s="1361">
        <f t="shared" si="18"/>
        <v>210</v>
      </c>
      <c r="Y58" s="1361">
        <f t="shared" si="19"/>
        <v>473</v>
      </c>
    </row>
    <row r="59" spans="1:25" ht="20.25" customHeight="1">
      <c r="A59" s="880" t="s">
        <v>724</v>
      </c>
      <c r="B59" s="881" t="s">
        <v>725</v>
      </c>
      <c r="C59" s="882">
        <f>+'91'!C56+'92'!C56+'93'!C56+'94'!C56+'95'!C56</f>
        <v>8</v>
      </c>
      <c r="D59" s="882">
        <f>+'91'!D56+'92'!D56+'93'!D56+'94'!D56+'95'!D56</f>
        <v>10</v>
      </c>
      <c r="E59" s="1354">
        <f>+'91'!E56+'92'!E56+'93'!E56+'94'!E56+'95'!E56</f>
        <v>0</v>
      </c>
      <c r="F59" s="883">
        <f>+'91'!F56+'92'!F56+'93'!F56+'94'!F56+'95'!F56</f>
        <v>4</v>
      </c>
      <c r="G59" s="882">
        <f>+'91'!G56+'92'!G56+'93'!G56+'94'!G56+'95'!G56</f>
        <v>11</v>
      </c>
      <c r="H59" s="882">
        <f>+'91'!H56+'92'!H56+'93'!H56+'94'!H56+'95'!H56</f>
        <v>8</v>
      </c>
      <c r="I59" s="1354">
        <f>+'91'!I56+'92'!I56+'93'!I56+'94'!I56+'95'!I56</f>
        <v>15</v>
      </c>
      <c r="J59" s="883">
        <f>+'91'!J56+'92'!J56+'93'!J56+'94'!J56+'95'!J56</f>
        <v>10</v>
      </c>
      <c r="K59" s="882">
        <f>+'91'!K56+'92'!K56+'93'!K56+'94'!K56+'95'!K56</f>
        <v>19</v>
      </c>
      <c r="L59" s="882">
        <f>+'91'!L56+'92'!L56+'93'!L56+'94'!L56+'95'!L56</f>
        <v>1</v>
      </c>
      <c r="M59" s="1354">
        <f>+'91'!M56+'92'!M56+'93'!M56+'94'!M56+'95'!M56</f>
        <v>7</v>
      </c>
      <c r="N59" s="883">
        <f>+'91'!N56+'92'!N56+'93'!N56+'94'!N56+'95'!N56</f>
        <v>1</v>
      </c>
      <c r="O59" s="882">
        <f>+'91'!O56+'92'!O56+'93'!O56+'94'!O56+'95'!O56</f>
        <v>0</v>
      </c>
      <c r="P59" s="882">
        <f>+'91'!P56+'92'!P56+'93'!P56+'94'!P56+'95'!P56</f>
        <v>3</v>
      </c>
      <c r="Q59" s="1354">
        <f>+'91'!Q56+'92'!Q56+'93'!Q56+'94'!Q56+'95'!Q56</f>
        <v>3</v>
      </c>
      <c r="R59" s="883">
        <f>+'91'!R56+'92'!R56+'93'!R56+'94'!R56+'95'!R56</f>
        <v>4</v>
      </c>
      <c r="S59" s="882">
        <f>+'91'!S56+'92'!S56+'93'!S56+'94'!S56+'95'!S56</f>
        <v>2</v>
      </c>
      <c r="T59" s="882">
        <f>+'91'!T56+'92'!T56+'93'!T56+'94'!T56+'95'!T56</f>
        <v>7</v>
      </c>
      <c r="U59" s="1354">
        <f>+'91'!U56+'92'!U56+'93'!U56+'94'!U56+'95'!U56</f>
        <v>2</v>
      </c>
      <c r="V59" s="883">
        <f>+'91'!V56+'92'!V56+'93'!V56+'94'!V56+'95'!V56</f>
        <v>2</v>
      </c>
      <c r="W59" s="1362">
        <f t="shared" si="18"/>
        <v>67</v>
      </c>
      <c r="X59" s="1361">
        <f t="shared" si="18"/>
        <v>50</v>
      </c>
      <c r="Y59" s="1361">
        <f t="shared" si="19"/>
        <v>117</v>
      </c>
    </row>
    <row r="60" spans="1:25" ht="19.5" customHeight="1">
      <c r="A60" s="880" t="s">
        <v>718</v>
      </c>
      <c r="B60" s="881" t="s">
        <v>738</v>
      </c>
      <c r="C60" s="882">
        <f>+'91'!C57+'92'!C57+'93'!C57+'94'!C57+'95'!C57</f>
        <v>0</v>
      </c>
      <c r="D60" s="882">
        <f>+'91'!D57+'92'!D57+'93'!D57+'94'!D57+'95'!D57</f>
        <v>0</v>
      </c>
      <c r="E60" s="1354">
        <f>+'91'!E57+'92'!E57+'93'!E57+'94'!E57+'95'!E57</f>
        <v>0</v>
      </c>
      <c r="F60" s="883">
        <f>+'91'!F57+'92'!F57+'93'!F57+'94'!F57+'95'!F57</f>
        <v>0</v>
      </c>
      <c r="G60" s="882">
        <f>+'91'!G57+'92'!G57+'93'!G57+'94'!G57+'95'!G57</f>
        <v>2</v>
      </c>
      <c r="H60" s="882">
        <f>+'91'!H57+'92'!H57+'93'!H57+'94'!H57+'95'!H57</f>
        <v>1</v>
      </c>
      <c r="I60" s="1354">
        <f>+'91'!I57+'92'!I57+'93'!I57+'94'!I57+'95'!I57</f>
        <v>0</v>
      </c>
      <c r="J60" s="883">
        <f>+'91'!J57+'92'!J57+'93'!J57+'94'!J57+'95'!J57</f>
        <v>4</v>
      </c>
      <c r="K60" s="882">
        <f>+'91'!K57+'92'!K57+'93'!K57+'94'!K57+'95'!K57</f>
        <v>0</v>
      </c>
      <c r="L60" s="882">
        <f>+'91'!L57+'92'!L57+'93'!L57+'94'!L57+'95'!L57</f>
        <v>2</v>
      </c>
      <c r="M60" s="1354">
        <f>+'91'!M57+'92'!M57+'93'!M57+'94'!M57+'95'!M57</f>
        <v>1</v>
      </c>
      <c r="N60" s="883">
        <f>+'91'!N57+'92'!N57+'93'!N57+'94'!N57+'95'!N57</f>
        <v>1</v>
      </c>
      <c r="O60" s="882">
        <f>+'91'!O57+'92'!O57+'93'!O57+'94'!O57+'95'!O57</f>
        <v>1</v>
      </c>
      <c r="P60" s="882">
        <f>+'91'!P57+'92'!P57+'93'!P57+'94'!P57+'95'!P57</f>
        <v>0</v>
      </c>
      <c r="Q60" s="1354">
        <f>+'91'!Q57+'92'!Q57+'93'!Q57+'94'!Q57+'95'!Q57</f>
        <v>14</v>
      </c>
      <c r="R60" s="883">
        <f>+'91'!R57+'92'!R57+'93'!R57+'94'!R57+'95'!R57</f>
        <v>20</v>
      </c>
      <c r="S60" s="882">
        <f>+'91'!S57+'92'!S57+'93'!S57+'94'!S57+'95'!S57</f>
        <v>20</v>
      </c>
      <c r="T60" s="882">
        <f>+'91'!T57+'92'!T57+'93'!T57+'94'!T57+'95'!T57</f>
        <v>17</v>
      </c>
      <c r="U60" s="1354">
        <f>+'91'!U57+'92'!U57+'93'!U57+'94'!U57+'95'!U57</f>
        <v>29</v>
      </c>
      <c r="V60" s="883">
        <f>+'91'!V57+'92'!V57+'93'!V57+'94'!V57+'95'!V57</f>
        <v>28</v>
      </c>
      <c r="W60" s="1362">
        <f t="shared" si="18"/>
        <v>67</v>
      </c>
      <c r="X60" s="1361">
        <f t="shared" si="18"/>
        <v>73</v>
      </c>
      <c r="Y60" s="1361">
        <f t="shared" si="19"/>
        <v>140</v>
      </c>
    </row>
    <row r="61" spans="1:25" ht="19.5" customHeight="1">
      <c r="A61" s="880" t="s">
        <v>710</v>
      </c>
      <c r="B61" s="884" t="s">
        <v>210</v>
      </c>
      <c r="C61" s="882">
        <f>+'91'!C58+'92'!C58+'93'!C58+'94'!C58+'95'!C58</f>
        <v>6</v>
      </c>
      <c r="D61" s="882">
        <f>+'91'!D58+'92'!D58+'93'!D58+'94'!D58+'95'!D58</f>
        <v>1</v>
      </c>
      <c r="E61" s="1354">
        <f>+'91'!E58+'92'!E58+'93'!E58+'94'!E58+'95'!E58</f>
        <v>1</v>
      </c>
      <c r="F61" s="883">
        <f>+'91'!F58+'92'!F58+'93'!F58+'94'!F58+'95'!F58</f>
        <v>1</v>
      </c>
      <c r="G61" s="882">
        <f>+'91'!G58+'92'!G58+'93'!G58+'94'!G58+'95'!G58</f>
        <v>8</v>
      </c>
      <c r="H61" s="882">
        <f>+'91'!H58+'92'!H58+'93'!H58+'94'!H58+'95'!H58</f>
        <v>8</v>
      </c>
      <c r="I61" s="1354">
        <f>+'91'!I58+'92'!I58+'93'!I58+'94'!I58+'95'!I58</f>
        <v>59</v>
      </c>
      <c r="J61" s="883">
        <f>+'91'!J58+'92'!J58+'93'!J58+'94'!J58+'95'!J58</f>
        <v>51</v>
      </c>
      <c r="K61" s="882">
        <f>+'91'!K58+'92'!K58+'93'!K58+'94'!K58+'95'!K58</f>
        <v>63</v>
      </c>
      <c r="L61" s="882">
        <f>+'91'!L58+'92'!L58+'93'!L58+'94'!L58+'95'!L58</f>
        <v>40</v>
      </c>
      <c r="M61" s="1354">
        <f>+'91'!M58+'92'!M58+'93'!M58+'94'!M58+'95'!M58</f>
        <v>37</v>
      </c>
      <c r="N61" s="883">
        <f>+'91'!N58+'92'!N58+'93'!N58+'94'!N58+'95'!N58</f>
        <v>37</v>
      </c>
      <c r="O61" s="882">
        <f>+'91'!O58+'92'!O58+'93'!O58+'94'!O58+'95'!O58</f>
        <v>68</v>
      </c>
      <c r="P61" s="882">
        <f>+'91'!P58+'92'!P58+'93'!P58+'94'!P58+'95'!P58</f>
        <v>33</v>
      </c>
      <c r="Q61" s="1354">
        <f>+'91'!Q58+'92'!Q58+'93'!Q58+'94'!Q58+'95'!Q58</f>
        <v>467</v>
      </c>
      <c r="R61" s="883">
        <f>+'91'!R58+'92'!R58+'93'!R58+'94'!R58+'95'!R58</f>
        <v>194</v>
      </c>
      <c r="S61" s="882">
        <f>+'91'!S58+'92'!S58+'93'!S58+'94'!S58+'95'!S58</f>
        <v>238</v>
      </c>
      <c r="T61" s="882">
        <f>+'91'!T58+'92'!T58+'93'!T58+'94'!T58+'95'!T58</f>
        <v>198</v>
      </c>
      <c r="U61" s="1354">
        <f>+'91'!U58+'92'!U58+'93'!U58+'94'!U58+'95'!U58</f>
        <v>178</v>
      </c>
      <c r="V61" s="883">
        <f>+'91'!V58+'92'!V58+'93'!V58+'94'!V58+'95'!V58</f>
        <v>291</v>
      </c>
      <c r="W61" s="1362">
        <f t="shared" ref="W61:W62" si="20">+C61+E61+G61+I61+K61+M61+O61+Q61+S61+U61</f>
        <v>1125</v>
      </c>
      <c r="X61" s="1361">
        <f t="shared" ref="X61:X62" si="21">+D61+F61+H61+J61+L61+N61+P61+R61+T61+V61</f>
        <v>854</v>
      </c>
      <c r="Y61" s="1361">
        <f t="shared" ref="Y61:Y62" si="22">SUM(W61:X61)</f>
        <v>1979</v>
      </c>
    </row>
    <row r="62" spans="1:25" ht="19.5" customHeight="1">
      <c r="A62" s="245" t="s">
        <v>1660</v>
      </c>
      <c r="B62" s="293" t="s">
        <v>1662</v>
      </c>
      <c r="C62" s="882">
        <f>+'91'!C59+'92'!C59+'93'!C59+'94'!C59+'95'!C59</f>
        <v>0</v>
      </c>
      <c r="D62" s="882">
        <f>+'91'!D59+'92'!D59+'93'!D59+'94'!D59+'95'!D59</f>
        <v>0</v>
      </c>
      <c r="E62" s="1354">
        <f>+'91'!E59+'92'!E59+'93'!E59+'94'!E59+'95'!E59</f>
        <v>1</v>
      </c>
      <c r="F62" s="883">
        <f>+'91'!F59+'92'!F59+'93'!F59+'94'!F59+'95'!F59</f>
        <v>1</v>
      </c>
      <c r="G62" s="882">
        <f>+'91'!G59+'92'!G59+'93'!G59+'94'!G59+'95'!G59</f>
        <v>0</v>
      </c>
      <c r="H62" s="882">
        <f>+'91'!H59+'92'!H59+'93'!H59+'94'!H59+'95'!H59</f>
        <v>0</v>
      </c>
      <c r="I62" s="1354">
        <f>+'91'!I59+'92'!I59+'93'!I59+'94'!I59+'95'!I59</f>
        <v>1</v>
      </c>
      <c r="J62" s="883">
        <f>+'91'!J59+'92'!J59+'93'!J59+'94'!J59+'95'!J59</f>
        <v>0</v>
      </c>
      <c r="K62" s="882">
        <f>+'91'!K59+'92'!K59+'93'!K59+'94'!K59+'95'!K59</f>
        <v>1</v>
      </c>
      <c r="L62" s="882">
        <f>+'91'!L59+'92'!L59+'93'!L59+'94'!L59+'95'!L59</f>
        <v>0</v>
      </c>
      <c r="M62" s="1354">
        <f>+'91'!M59+'92'!M59+'93'!M59+'94'!M59+'95'!M59</f>
        <v>1</v>
      </c>
      <c r="N62" s="883">
        <f>+'91'!N59+'92'!N59+'93'!N59+'94'!N59+'95'!N59</f>
        <v>2</v>
      </c>
      <c r="O62" s="882">
        <f>+'91'!O59+'92'!O59+'93'!O59+'94'!O59+'95'!O59</f>
        <v>2</v>
      </c>
      <c r="P62" s="882">
        <f>+'91'!P59+'92'!P59+'93'!P59+'94'!P59+'95'!P59</f>
        <v>1</v>
      </c>
      <c r="Q62" s="1354">
        <f>+'91'!Q59+'92'!Q59+'93'!Q59+'94'!Q59+'95'!Q59</f>
        <v>38</v>
      </c>
      <c r="R62" s="883">
        <f>+'91'!R59+'92'!R59+'93'!R59+'94'!R59+'95'!R59</f>
        <v>47</v>
      </c>
      <c r="S62" s="882">
        <f>+'91'!S59+'92'!S59+'93'!S59+'94'!S59+'95'!S59</f>
        <v>134</v>
      </c>
      <c r="T62" s="882">
        <f>+'91'!T59+'92'!T59+'93'!T59+'94'!T59+'95'!T59</f>
        <v>79</v>
      </c>
      <c r="U62" s="1354">
        <f>+'91'!U59+'92'!U59+'93'!U59+'94'!U59+'95'!U59</f>
        <v>182</v>
      </c>
      <c r="V62" s="883">
        <f>+'91'!V59+'92'!V59+'93'!V59+'94'!V59+'95'!V59</f>
        <v>135</v>
      </c>
      <c r="W62" s="1362">
        <f t="shared" si="20"/>
        <v>360</v>
      </c>
      <c r="X62" s="1361">
        <f t="shared" si="21"/>
        <v>265</v>
      </c>
      <c r="Y62" s="1361">
        <f t="shared" si="22"/>
        <v>625</v>
      </c>
    </row>
    <row r="63" spans="1:25" ht="28.5" customHeight="1">
      <c r="A63" s="245" t="s">
        <v>1661</v>
      </c>
      <c r="B63" s="293" t="s">
        <v>1663</v>
      </c>
      <c r="C63" s="882">
        <f>+'91'!C60+'92'!C60+'93'!C60+'94'!C60+'95'!C60</f>
        <v>0</v>
      </c>
      <c r="D63" s="882">
        <f>+'91'!D60+'92'!D60+'93'!D60+'94'!D60+'95'!D60</f>
        <v>1</v>
      </c>
      <c r="E63" s="1354">
        <f>+'91'!E60+'92'!E60+'93'!E60+'94'!E60+'95'!E60</f>
        <v>0</v>
      </c>
      <c r="F63" s="883">
        <f>+'91'!F60+'92'!F60+'93'!F60+'94'!F60+'95'!F60</f>
        <v>0</v>
      </c>
      <c r="G63" s="882">
        <f>+'91'!G60+'92'!G60+'93'!G60+'94'!G60+'95'!G60</f>
        <v>0</v>
      </c>
      <c r="H63" s="882">
        <f>+'91'!H60+'92'!H60+'93'!H60+'94'!H60+'95'!H60</f>
        <v>0</v>
      </c>
      <c r="I63" s="1354">
        <f>+'91'!I60+'92'!I60+'93'!I60+'94'!I60+'95'!I60</f>
        <v>0</v>
      </c>
      <c r="J63" s="883">
        <f>+'91'!J60+'92'!J60+'93'!J60+'94'!J60+'95'!J60</f>
        <v>0</v>
      </c>
      <c r="K63" s="882">
        <f>+'91'!K60+'92'!K60+'93'!K60+'94'!K60+'95'!K60</f>
        <v>0</v>
      </c>
      <c r="L63" s="882">
        <f>+'91'!L60+'92'!L60+'93'!L60+'94'!L60+'95'!L60</f>
        <v>0</v>
      </c>
      <c r="M63" s="1354">
        <f>+'91'!M60+'92'!M60+'93'!M60+'94'!M60+'95'!M60</f>
        <v>1</v>
      </c>
      <c r="N63" s="883">
        <f>+'91'!N60+'92'!N60+'93'!N60+'94'!N60+'95'!N60</f>
        <v>0</v>
      </c>
      <c r="O63" s="882">
        <f>+'91'!O60+'92'!O60+'93'!O60+'94'!O60+'95'!O60</f>
        <v>1</v>
      </c>
      <c r="P63" s="882">
        <f>+'91'!P60+'92'!P60+'93'!P60+'94'!P60+'95'!P60</f>
        <v>0</v>
      </c>
      <c r="Q63" s="1354">
        <f>+'91'!Q60+'92'!Q60+'93'!Q60+'94'!Q60+'95'!Q60</f>
        <v>8</v>
      </c>
      <c r="R63" s="883">
        <f>+'91'!R60+'92'!R60+'93'!R60+'94'!R60+'95'!R60</f>
        <v>4</v>
      </c>
      <c r="S63" s="882">
        <f>+'91'!S60+'92'!S60+'93'!S60+'94'!S60+'95'!S60</f>
        <v>8</v>
      </c>
      <c r="T63" s="882">
        <f>+'91'!T60+'92'!T60+'93'!T60+'94'!T60+'95'!T60</f>
        <v>2</v>
      </c>
      <c r="U63" s="1354">
        <f>+'91'!U60+'92'!U60+'93'!U60+'94'!U60+'95'!U60</f>
        <v>9</v>
      </c>
      <c r="V63" s="883">
        <f>+'91'!V60+'92'!V60+'93'!V60+'94'!V60+'95'!V60</f>
        <v>13</v>
      </c>
      <c r="W63" s="1362">
        <f t="shared" si="18"/>
        <v>27</v>
      </c>
      <c r="X63" s="1361">
        <f t="shared" si="18"/>
        <v>20</v>
      </c>
      <c r="Y63" s="1361">
        <f t="shared" si="19"/>
        <v>47</v>
      </c>
    </row>
    <row r="64" spans="1:25" ht="19.5" customHeight="1">
      <c r="A64" s="885"/>
      <c r="B64" s="885" t="s">
        <v>832</v>
      </c>
      <c r="C64" s="1308">
        <f t="shared" ref="C64" si="23">SUM(C44:C63)</f>
        <v>226</v>
      </c>
      <c r="D64" s="931">
        <f>SUM(D44:D63)</f>
        <v>185</v>
      </c>
      <c r="E64" s="1308">
        <f>SUM(E44:E63)</f>
        <v>40</v>
      </c>
      <c r="F64" s="1312">
        <f t="shared" ref="F64:X64" si="24">SUM(F44:F63)</f>
        <v>35</v>
      </c>
      <c r="G64" s="931">
        <f t="shared" si="24"/>
        <v>99</v>
      </c>
      <c r="H64" s="931">
        <f t="shared" si="24"/>
        <v>84</v>
      </c>
      <c r="I64" s="1308">
        <f t="shared" si="24"/>
        <v>179</v>
      </c>
      <c r="J64" s="1312">
        <f t="shared" si="24"/>
        <v>154</v>
      </c>
      <c r="K64" s="931">
        <f t="shared" si="24"/>
        <v>232</v>
      </c>
      <c r="L64" s="931">
        <f t="shared" si="24"/>
        <v>151</v>
      </c>
      <c r="M64" s="1308">
        <f t="shared" si="24"/>
        <v>180</v>
      </c>
      <c r="N64" s="1312">
        <f t="shared" si="24"/>
        <v>171</v>
      </c>
      <c r="O64" s="931">
        <f t="shared" si="24"/>
        <v>168</v>
      </c>
      <c r="P64" s="931">
        <f t="shared" si="24"/>
        <v>424</v>
      </c>
      <c r="Q64" s="1355">
        <f t="shared" si="24"/>
        <v>1553</v>
      </c>
      <c r="R64" s="887">
        <f t="shared" si="24"/>
        <v>4707</v>
      </c>
      <c r="S64" s="886">
        <f t="shared" si="24"/>
        <v>1897</v>
      </c>
      <c r="T64" s="886">
        <f t="shared" si="24"/>
        <v>1840</v>
      </c>
      <c r="U64" s="1355">
        <f t="shared" si="24"/>
        <v>2534</v>
      </c>
      <c r="V64" s="887">
        <f t="shared" si="24"/>
        <v>2471</v>
      </c>
      <c r="W64" s="1355">
        <f t="shared" si="24"/>
        <v>7108</v>
      </c>
      <c r="X64" s="887">
        <f t="shared" si="24"/>
        <v>10222</v>
      </c>
      <c r="Y64" s="932">
        <f>SUM(Y44:Y63)</f>
        <v>17330</v>
      </c>
    </row>
  </sheetData>
  <mergeCells count="16">
    <mergeCell ref="W42:Y42"/>
    <mergeCell ref="C8:D8"/>
    <mergeCell ref="E8:F8"/>
    <mergeCell ref="M8:N8"/>
    <mergeCell ref="AC8:AE8"/>
    <mergeCell ref="C41:V41"/>
    <mergeCell ref="C42:D42"/>
    <mergeCell ref="E42:F42"/>
    <mergeCell ref="G42:H42"/>
    <mergeCell ref="I42:J42"/>
    <mergeCell ref="K42:L42"/>
    <mergeCell ref="M42:N42"/>
    <mergeCell ref="O42:P42"/>
    <mergeCell ref="Q42:R42"/>
    <mergeCell ref="S42:T42"/>
    <mergeCell ref="U42:V42"/>
  </mergeCells>
  <phoneticPr fontId="19" type="noConversion"/>
  <pageMargins left="1.1811023622047245" right="0.78740157480314965" top="1.1811023622047245" bottom="0.39370078740157483" header="0.51181102362204722" footer="0.51181102362204722"/>
  <pageSetup paperSize="5" scale="85"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topLeftCell="A13" workbookViewId="0">
      <selection activeCell="N22" sqref="N22"/>
    </sheetView>
  </sheetViews>
  <sheetFormatPr baseColWidth="10" defaultRowHeight="13.2"/>
  <cols>
    <col min="1" max="1" width="6.21875" customWidth="1"/>
    <col min="2" max="2" width="10.21875" customWidth="1"/>
    <col min="3" max="3" width="9.21875" customWidth="1"/>
    <col min="4" max="4" width="10.77734375" customWidth="1"/>
    <col min="5" max="5" width="9.77734375" customWidth="1"/>
    <col min="6" max="6" width="9.5546875" customWidth="1"/>
    <col min="7" max="7" width="9.44140625" customWidth="1"/>
    <col min="8" max="8" width="9.5546875" customWidth="1"/>
    <col min="9" max="9" width="9.77734375" customWidth="1"/>
    <col min="10" max="10" width="9" customWidth="1"/>
    <col min="11" max="11" width="9.21875" customWidth="1"/>
    <col min="12" max="12" width="8.77734375" customWidth="1"/>
    <col min="13" max="14" width="9.77734375" customWidth="1"/>
    <col min="15" max="15" width="9" customWidth="1"/>
    <col min="16" max="16" width="8.5546875" customWidth="1"/>
  </cols>
  <sheetData>
    <row r="1" spans="1:18">
      <c r="A1" s="114" t="s">
        <v>638</v>
      </c>
      <c r="B1" s="114"/>
      <c r="C1" s="114"/>
      <c r="D1" s="114"/>
      <c r="E1" s="114"/>
      <c r="F1" s="114"/>
      <c r="G1" s="114"/>
      <c r="H1" s="114"/>
      <c r="I1" s="80"/>
      <c r="J1" s="113"/>
      <c r="K1" s="113"/>
      <c r="L1" s="113"/>
      <c r="M1" s="113"/>
      <c r="N1" s="113"/>
      <c r="O1" s="113"/>
      <c r="P1" s="113"/>
    </row>
    <row r="2" spans="1:18">
      <c r="A2" s="114"/>
      <c r="B2" s="114"/>
      <c r="C2" s="114"/>
      <c r="D2" s="114"/>
      <c r="E2" s="114"/>
      <c r="F2" s="114"/>
      <c r="G2" s="114"/>
      <c r="H2" s="114"/>
      <c r="I2" s="80"/>
      <c r="J2" s="113"/>
      <c r="K2" s="113"/>
      <c r="L2" s="113"/>
      <c r="M2" s="113"/>
      <c r="N2" s="113"/>
      <c r="O2" s="113"/>
      <c r="P2" s="113"/>
    </row>
    <row r="3" spans="1:18">
      <c r="A3" s="114" t="s">
        <v>1659</v>
      </c>
      <c r="B3" s="114"/>
      <c r="C3" s="114"/>
      <c r="D3" s="114"/>
      <c r="E3" s="114"/>
      <c r="F3" s="114"/>
      <c r="G3" s="114"/>
      <c r="H3" s="114"/>
      <c r="I3" s="80"/>
      <c r="J3" s="113"/>
      <c r="K3" s="113"/>
      <c r="L3" s="113"/>
      <c r="M3" s="113"/>
      <c r="N3" s="113"/>
      <c r="O3" s="113"/>
      <c r="P3" s="113"/>
    </row>
    <row r="4" spans="1:18">
      <c r="A4" s="180"/>
      <c r="B4" s="180"/>
      <c r="C4" s="180"/>
      <c r="D4" s="180"/>
      <c r="E4" s="180"/>
      <c r="F4" s="180"/>
      <c r="G4" s="180"/>
      <c r="H4" s="180"/>
      <c r="I4" s="113"/>
      <c r="J4" s="113"/>
      <c r="K4" s="113"/>
      <c r="L4" s="113"/>
      <c r="M4" s="113"/>
      <c r="N4" s="113"/>
      <c r="O4" s="113"/>
      <c r="P4" s="113"/>
    </row>
    <row r="5" spans="1:18">
      <c r="A5" s="1"/>
      <c r="B5" s="113"/>
      <c r="C5" s="113"/>
      <c r="D5" s="113"/>
      <c r="E5" s="113"/>
      <c r="F5" s="113"/>
      <c r="G5" s="113"/>
      <c r="H5" s="113"/>
      <c r="I5" s="113"/>
      <c r="J5" s="113"/>
      <c r="K5" s="113"/>
      <c r="L5" s="113"/>
      <c r="M5" s="113"/>
      <c r="N5" s="113"/>
      <c r="O5" s="113"/>
      <c r="P5" s="113"/>
    </row>
    <row r="6" spans="1:18" ht="22.5" customHeight="1">
      <c r="A6" s="181"/>
      <c r="B6" s="182"/>
      <c r="C6" s="182"/>
      <c r="D6" s="182"/>
      <c r="E6" s="183"/>
      <c r="F6" s="118" t="s">
        <v>639</v>
      </c>
      <c r="G6" s="118"/>
      <c r="H6" s="118"/>
      <c r="I6" s="118"/>
      <c r="J6" s="118"/>
      <c r="K6" s="118"/>
      <c r="L6" s="118"/>
      <c r="M6" s="118"/>
      <c r="N6" s="118"/>
      <c r="O6" s="118"/>
      <c r="P6" s="184"/>
    </row>
    <row r="7" spans="1:18">
      <c r="A7" s="185" t="s">
        <v>640</v>
      </c>
      <c r="B7" s="186" t="s">
        <v>645</v>
      </c>
      <c r="C7" s="186" t="s">
        <v>646</v>
      </c>
      <c r="D7" s="187" t="s">
        <v>647</v>
      </c>
      <c r="E7" s="188" t="s">
        <v>648</v>
      </c>
      <c r="F7" s="178"/>
      <c r="G7" s="189"/>
      <c r="H7" s="189"/>
      <c r="I7" s="189"/>
      <c r="J7" s="188" t="s">
        <v>648</v>
      </c>
      <c r="K7" s="189"/>
      <c r="L7" s="189"/>
      <c r="M7" s="189"/>
      <c r="N7" s="189"/>
      <c r="O7" s="189"/>
      <c r="P7" s="190"/>
    </row>
    <row r="8" spans="1:18">
      <c r="A8" s="191"/>
      <c r="B8" s="192"/>
      <c r="C8" s="192"/>
      <c r="D8" s="187" t="s">
        <v>649</v>
      </c>
      <c r="E8" s="185" t="s">
        <v>630</v>
      </c>
      <c r="F8" s="186" t="s">
        <v>630</v>
      </c>
      <c r="G8" s="186" t="s">
        <v>650</v>
      </c>
      <c r="H8" s="186" t="s">
        <v>651</v>
      </c>
      <c r="I8" s="186" t="s">
        <v>429</v>
      </c>
      <c r="J8" s="186" t="s">
        <v>652</v>
      </c>
      <c r="K8" s="186" t="s">
        <v>652</v>
      </c>
      <c r="L8" s="186" t="s">
        <v>393</v>
      </c>
      <c r="M8" s="186" t="s">
        <v>411</v>
      </c>
      <c r="N8" s="186" t="s">
        <v>416</v>
      </c>
      <c r="O8" s="186" t="s">
        <v>653</v>
      </c>
      <c r="P8" s="185" t="s">
        <v>418</v>
      </c>
    </row>
    <row r="9" spans="1:18">
      <c r="A9" s="185"/>
      <c r="B9" s="186"/>
      <c r="C9" s="186"/>
      <c r="D9" s="193"/>
      <c r="E9" s="194"/>
      <c r="F9" s="195"/>
      <c r="G9" s="195"/>
      <c r="H9" s="195"/>
      <c r="I9" s="195"/>
      <c r="J9" s="195"/>
      <c r="K9" s="195"/>
      <c r="L9" s="195"/>
      <c r="M9" s="195"/>
      <c r="N9" s="195"/>
      <c r="O9" s="195"/>
      <c r="P9" s="179"/>
    </row>
    <row r="10" spans="1:18">
      <c r="A10" s="189"/>
      <c r="B10" s="57"/>
      <c r="C10" s="196"/>
      <c r="D10" s="197"/>
      <c r="E10" s="197"/>
      <c r="F10" s="190"/>
      <c r="G10" s="198"/>
      <c r="H10" s="190"/>
      <c r="I10" s="198"/>
      <c r="J10" s="189"/>
      <c r="K10" s="190"/>
      <c r="L10" s="198"/>
      <c r="M10" s="190"/>
      <c r="N10" s="198"/>
      <c r="O10" s="190"/>
      <c r="P10" s="190"/>
    </row>
    <row r="11" spans="1:18" s="6" customFormat="1" ht="25.5" customHeight="1">
      <c r="A11" s="199">
        <v>2011</v>
      </c>
      <c r="B11" s="200">
        <v>17254159</v>
      </c>
      <c r="C11" s="201">
        <v>1766558</v>
      </c>
      <c r="D11" s="202">
        <f t="shared" ref="D11:D18" si="0">+E11+J11</f>
        <v>254846</v>
      </c>
      <c r="E11" s="202">
        <f t="shared" ref="E11:E18" si="1">SUM(F11:I11)</f>
        <v>104646</v>
      </c>
      <c r="F11" s="200">
        <v>64509</v>
      </c>
      <c r="G11" s="203">
        <v>17625</v>
      </c>
      <c r="H11" s="200">
        <v>13374</v>
      </c>
      <c r="I11" s="203">
        <v>9138</v>
      </c>
      <c r="J11" s="202">
        <f t="shared" ref="J11:J18" si="2">SUM(K11:P11)</f>
        <v>150200</v>
      </c>
      <c r="K11" s="200">
        <v>74246</v>
      </c>
      <c r="L11" s="203">
        <v>16278</v>
      </c>
      <c r="M11" s="200">
        <v>14671</v>
      </c>
      <c r="N11" s="203">
        <v>7068</v>
      </c>
      <c r="O11" s="200">
        <v>24200</v>
      </c>
      <c r="P11" s="200">
        <v>13737</v>
      </c>
      <c r="R11" s="204"/>
    </row>
    <row r="12" spans="1:18" s="6" customFormat="1" ht="25.5" customHeight="1">
      <c r="A12" s="199">
        <v>2012</v>
      </c>
      <c r="B12" s="200">
        <v>17443491</v>
      </c>
      <c r="C12" s="201">
        <v>1787099</v>
      </c>
      <c r="D12" s="202">
        <f t="shared" si="0"/>
        <v>257878</v>
      </c>
      <c r="E12" s="202">
        <f t="shared" si="1"/>
        <v>105925</v>
      </c>
      <c r="F12" s="200">
        <v>64879</v>
      </c>
      <c r="G12" s="203">
        <v>17958</v>
      </c>
      <c r="H12" s="200">
        <v>13714</v>
      </c>
      <c r="I12" s="203">
        <v>9374</v>
      </c>
      <c r="J12" s="202">
        <f t="shared" si="2"/>
        <v>151953</v>
      </c>
      <c r="K12" s="200">
        <v>75215</v>
      </c>
      <c r="L12" s="203">
        <v>16428</v>
      </c>
      <c r="M12" s="200">
        <v>14849</v>
      </c>
      <c r="N12" s="203">
        <v>7121</v>
      </c>
      <c r="O12" s="200">
        <v>24447</v>
      </c>
      <c r="P12" s="200">
        <v>13893</v>
      </c>
      <c r="R12" s="204"/>
    </row>
    <row r="13" spans="1:18" s="6" customFormat="1" ht="25.5" customHeight="1">
      <c r="A13" s="199">
        <v>2013</v>
      </c>
      <c r="B13" s="200">
        <v>17611902</v>
      </c>
      <c r="C13" s="201">
        <v>1805775</v>
      </c>
      <c r="D13" s="202">
        <f t="shared" si="0"/>
        <v>260629</v>
      </c>
      <c r="E13" s="202">
        <f t="shared" si="1"/>
        <v>107079</v>
      </c>
      <c r="F13" s="200">
        <v>65174</v>
      </c>
      <c r="G13" s="203">
        <v>18266</v>
      </c>
      <c r="H13" s="200">
        <v>14039</v>
      </c>
      <c r="I13" s="203">
        <v>9600</v>
      </c>
      <c r="J13" s="202">
        <f t="shared" si="2"/>
        <v>153550</v>
      </c>
      <c r="K13" s="200">
        <v>76109</v>
      </c>
      <c r="L13" s="203">
        <v>16558</v>
      </c>
      <c r="M13" s="200">
        <v>15013</v>
      </c>
      <c r="N13" s="203">
        <v>7168</v>
      </c>
      <c r="O13" s="200">
        <v>24668</v>
      </c>
      <c r="P13" s="200">
        <v>14034</v>
      </c>
      <c r="R13" s="204"/>
    </row>
    <row r="14" spans="1:18" s="6" customFormat="1" ht="25.5" customHeight="1">
      <c r="A14" s="199">
        <v>2014</v>
      </c>
      <c r="B14" s="200">
        <v>17787617</v>
      </c>
      <c r="C14" s="201">
        <v>1824842</v>
      </c>
      <c r="D14" s="202">
        <f t="shared" si="0"/>
        <v>263459</v>
      </c>
      <c r="E14" s="202">
        <f t="shared" si="1"/>
        <v>108270</v>
      </c>
      <c r="F14" s="200">
        <v>65490</v>
      </c>
      <c r="G14" s="203">
        <v>18578</v>
      </c>
      <c r="H14" s="200">
        <v>14372</v>
      </c>
      <c r="I14" s="203">
        <v>9830</v>
      </c>
      <c r="J14" s="202">
        <f t="shared" si="2"/>
        <v>155189</v>
      </c>
      <c r="K14" s="200">
        <v>77024</v>
      </c>
      <c r="L14" s="203">
        <v>16692</v>
      </c>
      <c r="M14" s="200">
        <v>15180</v>
      </c>
      <c r="N14" s="203">
        <v>7219</v>
      </c>
      <c r="O14" s="200">
        <v>24895</v>
      </c>
      <c r="P14" s="200">
        <v>14179</v>
      </c>
      <c r="R14" s="204"/>
    </row>
    <row r="15" spans="1:18" s="6" customFormat="1" ht="25.5" customHeight="1">
      <c r="A15" s="199">
        <v>2015</v>
      </c>
      <c r="B15" s="200">
        <v>17971423</v>
      </c>
      <c r="C15" s="201">
        <v>1844609</v>
      </c>
      <c r="D15" s="202">
        <f t="shared" si="0"/>
        <v>266356</v>
      </c>
      <c r="E15" s="202">
        <f t="shared" si="1"/>
        <v>109467</v>
      </c>
      <c r="F15" s="200">
        <v>65831</v>
      </c>
      <c r="G15" s="203">
        <v>18893</v>
      </c>
      <c r="H15" s="200">
        <v>14692</v>
      </c>
      <c r="I15" s="203">
        <v>10051</v>
      </c>
      <c r="J15" s="202">
        <f t="shared" si="2"/>
        <v>156889</v>
      </c>
      <c r="K15" s="200">
        <v>77974</v>
      </c>
      <c r="L15" s="203">
        <v>16829</v>
      </c>
      <c r="M15" s="200">
        <v>15353</v>
      </c>
      <c r="N15" s="203">
        <v>7274</v>
      </c>
      <c r="O15" s="200">
        <v>25130</v>
      </c>
      <c r="P15" s="200">
        <v>14329</v>
      </c>
      <c r="R15" s="204"/>
    </row>
    <row r="16" spans="1:18" s="6" customFormat="1" ht="25.5" customHeight="1">
      <c r="A16" s="199">
        <v>2016</v>
      </c>
      <c r="B16" s="200">
        <v>18167147</v>
      </c>
      <c r="C16" s="201">
        <v>1864129</v>
      </c>
      <c r="D16" s="202">
        <f t="shared" si="0"/>
        <v>269239</v>
      </c>
      <c r="E16" s="202">
        <f t="shared" si="1"/>
        <v>110666</v>
      </c>
      <c r="F16" s="200">
        <v>66160</v>
      </c>
      <c r="G16" s="203">
        <v>19203</v>
      </c>
      <c r="H16" s="200">
        <v>15023</v>
      </c>
      <c r="I16" s="203">
        <v>10280</v>
      </c>
      <c r="J16" s="202">
        <f t="shared" si="2"/>
        <v>158573</v>
      </c>
      <c r="K16" s="200">
        <v>78917</v>
      </c>
      <c r="L16" s="203">
        <v>16963</v>
      </c>
      <c r="M16" s="200">
        <v>15525</v>
      </c>
      <c r="N16" s="203">
        <v>7328</v>
      </c>
      <c r="O16" s="200">
        <v>25363</v>
      </c>
      <c r="P16" s="200">
        <v>14477</v>
      </c>
      <c r="R16" s="204"/>
    </row>
    <row r="17" spans="1:18" s="6" customFormat="1" ht="25.5" customHeight="1">
      <c r="A17" s="199">
        <v>2017</v>
      </c>
      <c r="B17" s="200">
        <v>18419192</v>
      </c>
      <c r="C17" s="201">
        <v>1885948</v>
      </c>
      <c r="D17" s="202">
        <f t="shared" si="0"/>
        <v>272453</v>
      </c>
      <c r="E17" s="202">
        <f t="shared" si="1"/>
        <v>111997</v>
      </c>
      <c r="F17" s="200">
        <v>66572</v>
      </c>
      <c r="G17" s="203">
        <v>19541</v>
      </c>
      <c r="H17" s="200">
        <v>15371</v>
      </c>
      <c r="I17" s="203">
        <v>10513</v>
      </c>
      <c r="J17" s="202">
        <f t="shared" si="2"/>
        <v>160456</v>
      </c>
      <c r="K17" s="200">
        <v>79961</v>
      </c>
      <c r="L17" s="203">
        <v>17116</v>
      </c>
      <c r="M17" s="200">
        <v>15716</v>
      </c>
      <c r="N17" s="203">
        <v>7394</v>
      </c>
      <c r="O17" s="200">
        <v>25626</v>
      </c>
      <c r="P17" s="200">
        <v>14643</v>
      </c>
      <c r="R17" s="204"/>
    </row>
    <row r="18" spans="1:18" s="6" customFormat="1" ht="25.5" customHeight="1">
      <c r="A18" s="199">
        <v>2018</v>
      </c>
      <c r="B18" s="200">
        <v>18751405</v>
      </c>
      <c r="C18" s="201">
        <v>1910385</v>
      </c>
      <c r="D18" s="202">
        <f t="shared" si="0"/>
        <v>276054</v>
      </c>
      <c r="E18" s="202">
        <f t="shared" si="1"/>
        <v>113484</v>
      </c>
      <c r="F18" s="200">
        <v>67071</v>
      </c>
      <c r="G18" s="203">
        <v>19905</v>
      </c>
      <c r="H18" s="200">
        <v>15744</v>
      </c>
      <c r="I18" s="203">
        <v>10764</v>
      </c>
      <c r="J18" s="202">
        <f t="shared" si="2"/>
        <v>162570</v>
      </c>
      <c r="K18" s="200">
        <v>81120</v>
      </c>
      <c r="L18" s="203">
        <v>17292</v>
      </c>
      <c r="M18" s="200">
        <v>15930</v>
      </c>
      <c r="N18" s="203">
        <v>7472</v>
      </c>
      <c r="O18" s="200">
        <v>25925</v>
      </c>
      <c r="P18" s="200">
        <v>14831</v>
      </c>
      <c r="R18" s="204"/>
    </row>
    <row r="19" spans="1:18" s="6" customFormat="1" ht="25.5" customHeight="1">
      <c r="A19" s="199">
        <v>2019</v>
      </c>
      <c r="B19" s="200">
        <v>19107216</v>
      </c>
      <c r="C19" s="201">
        <v>1935455</v>
      </c>
      <c r="D19" s="202">
        <f>+E19+J19</f>
        <v>279717</v>
      </c>
      <c r="E19" s="202">
        <f>SUM(F19:I19)</f>
        <v>114976</v>
      </c>
      <c r="F19" s="200">
        <v>67583</v>
      </c>
      <c r="G19" s="203">
        <v>20276</v>
      </c>
      <c r="H19" s="200">
        <v>16107</v>
      </c>
      <c r="I19" s="203">
        <v>11010</v>
      </c>
      <c r="J19" s="202">
        <f>SUM(K19:P19)</f>
        <v>164741</v>
      </c>
      <c r="K19" s="200">
        <v>82312</v>
      </c>
      <c r="L19" s="203">
        <v>17471</v>
      </c>
      <c r="M19" s="200">
        <v>16150</v>
      </c>
      <c r="N19" s="203">
        <v>7553</v>
      </c>
      <c r="O19" s="200">
        <v>26232</v>
      </c>
      <c r="P19" s="200">
        <v>15023</v>
      </c>
      <c r="Q19" s="337"/>
      <c r="R19" s="204"/>
    </row>
    <row r="20" spans="1:18" s="6" customFormat="1" ht="25.5" customHeight="1">
      <c r="A20" s="199">
        <v>2020</v>
      </c>
      <c r="B20" s="200">
        <v>19116208</v>
      </c>
      <c r="C20" s="201">
        <v>1960170</v>
      </c>
      <c r="D20" s="202">
        <f>+E20+J20</f>
        <v>283366</v>
      </c>
      <c r="E20" s="202">
        <f>SUM(F20:I20)</f>
        <v>116481</v>
      </c>
      <c r="F20" s="200">
        <v>68093</v>
      </c>
      <c r="G20" s="203">
        <v>20643</v>
      </c>
      <c r="H20" s="200">
        <v>16482</v>
      </c>
      <c r="I20" s="203">
        <v>11263</v>
      </c>
      <c r="J20" s="202">
        <f>SUM(K20:P20)</f>
        <v>166885</v>
      </c>
      <c r="K20" s="200">
        <v>83494</v>
      </c>
      <c r="L20" s="203">
        <v>17645</v>
      </c>
      <c r="M20" s="200">
        <v>16367</v>
      </c>
      <c r="N20" s="203">
        <v>7633</v>
      </c>
      <c r="O20" s="200">
        <v>26533</v>
      </c>
      <c r="P20" s="200">
        <v>15213</v>
      </c>
      <c r="R20" s="204"/>
    </row>
    <row r="21" spans="1:18">
      <c r="A21" s="205"/>
      <c r="B21" s="206"/>
      <c r="C21" s="207"/>
      <c r="D21" s="208"/>
      <c r="E21" s="208"/>
      <c r="F21" s="209"/>
      <c r="G21" s="210"/>
      <c r="H21" s="209"/>
      <c r="I21" s="210"/>
      <c r="J21" s="211"/>
      <c r="K21" s="209"/>
      <c r="L21" s="210"/>
      <c r="M21" s="209"/>
      <c r="N21" s="210"/>
      <c r="O21" s="209"/>
      <c r="P21" s="209"/>
      <c r="R21" s="204"/>
    </row>
    <row r="22" spans="1:18">
      <c r="A22" s="212"/>
      <c r="B22" s="212"/>
      <c r="C22" s="212"/>
      <c r="D22" s="212"/>
      <c r="E22" s="212"/>
      <c r="F22" s="212"/>
      <c r="G22" s="212"/>
      <c r="H22" s="212"/>
      <c r="I22" s="212"/>
      <c r="J22" s="212"/>
      <c r="K22" s="212"/>
      <c r="L22" s="212"/>
      <c r="M22" s="212"/>
      <c r="N22" s="212"/>
      <c r="O22" s="212"/>
      <c r="P22" s="212"/>
    </row>
    <row r="23" spans="1:18">
      <c r="A23" s="213" t="s">
        <v>1580</v>
      </c>
      <c r="B23" s="214"/>
      <c r="C23" s="212"/>
      <c r="D23" s="212"/>
      <c r="E23" s="212"/>
      <c r="F23" s="212"/>
      <c r="G23" s="212"/>
      <c r="H23" s="212"/>
      <c r="I23" s="212"/>
      <c r="J23" s="212"/>
      <c r="K23" s="212"/>
      <c r="L23" s="212"/>
      <c r="M23" s="212"/>
      <c r="N23" s="212"/>
      <c r="O23" s="212"/>
      <c r="P23" s="212"/>
    </row>
    <row r="24" spans="1:18">
      <c r="A24" s="212"/>
      <c r="B24" s="215"/>
      <c r="C24" s="216"/>
      <c r="D24" s="212"/>
      <c r="E24" s="212"/>
      <c r="F24" s="212"/>
      <c r="G24" s="212"/>
      <c r="H24" s="212"/>
      <c r="I24" s="212"/>
      <c r="J24" s="212"/>
      <c r="K24" s="212"/>
      <c r="L24" s="212"/>
      <c r="M24" s="212"/>
      <c r="N24" s="212"/>
      <c r="O24" s="212"/>
      <c r="P24" s="212"/>
    </row>
    <row r="25" spans="1:18">
      <c r="A25" s="212"/>
      <c r="B25" s="212"/>
      <c r="C25" s="212"/>
      <c r="D25" s="212"/>
      <c r="E25" s="212"/>
      <c r="F25" s="212"/>
      <c r="G25" s="212"/>
      <c r="H25" s="212"/>
      <c r="I25" s="212"/>
      <c r="J25" s="212"/>
      <c r="K25" s="212"/>
      <c r="L25" s="212"/>
      <c r="M25" s="212"/>
      <c r="N25" s="212"/>
      <c r="O25" s="212"/>
      <c r="P25" s="212"/>
    </row>
    <row r="26" spans="1:18">
      <c r="A26" s="216"/>
      <c r="B26" s="216"/>
      <c r="C26" s="216"/>
      <c r="D26" s="216"/>
      <c r="E26" s="216"/>
      <c r="F26" s="216"/>
      <c r="G26" s="216"/>
      <c r="H26" s="216"/>
      <c r="I26" s="216"/>
      <c r="J26" s="216"/>
      <c r="K26" s="216"/>
      <c r="L26" s="216"/>
      <c r="M26" s="216"/>
      <c r="N26" s="216"/>
      <c r="O26" s="216"/>
      <c r="P26" s="216"/>
    </row>
    <row r="27" spans="1:18">
      <c r="A27" s="216"/>
      <c r="B27" s="216"/>
      <c r="C27" s="216"/>
      <c r="D27" s="216"/>
      <c r="E27" s="216"/>
      <c r="F27" s="216"/>
      <c r="G27" s="216"/>
      <c r="H27" s="216"/>
      <c r="I27" s="216"/>
      <c r="J27" s="216"/>
      <c r="K27" s="216"/>
      <c r="L27" s="216"/>
      <c r="M27" s="216"/>
      <c r="N27" s="216"/>
      <c r="O27" s="216"/>
      <c r="P27" s="216"/>
    </row>
    <row r="28" spans="1:18">
      <c r="A28" s="216"/>
      <c r="B28" s="216"/>
      <c r="C28" s="216"/>
      <c r="D28" s="216"/>
      <c r="E28" s="216"/>
      <c r="F28" s="216"/>
      <c r="G28" s="216"/>
      <c r="H28" s="216"/>
      <c r="I28" s="216"/>
      <c r="J28" s="216"/>
      <c r="K28" s="216"/>
      <c r="L28" s="216"/>
      <c r="M28" s="216"/>
      <c r="N28" s="216"/>
      <c r="O28" s="216"/>
      <c r="P28" s="216"/>
    </row>
    <row r="29" spans="1:18">
      <c r="A29" s="216"/>
      <c r="B29" s="216"/>
      <c r="C29" s="216"/>
      <c r="D29" s="216"/>
      <c r="E29" s="216"/>
      <c r="F29" s="216"/>
      <c r="G29" s="216"/>
      <c r="H29" s="216"/>
      <c r="I29" s="216"/>
      <c r="J29" s="216"/>
      <c r="K29" s="216"/>
      <c r="L29" s="216"/>
      <c r="M29" s="216"/>
      <c r="N29" s="216"/>
      <c r="O29" s="216"/>
      <c r="P29" s="216"/>
    </row>
    <row r="30" spans="1:18">
      <c r="A30" s="216"/>
      <c r="B30" s="216"/>
      <c r="C30" s="216"/>
      <c r="D30" s="216"/>
      <c r="E30" s="216"/>
      <c r="F30" s="216"/>
      <c r="G30" s="216"/>
      <c r="H30" s="216"/>
      <c r="I30" s="216"/>
      <c r="J30" s="216"/>
      <c r="K30" s="216"/>
      <c r="L30" s="216"/>
      <c r="M30" s="216"/>
      <c r="N30" s="216"/>
      <c r="O30" s="216"/>
      <c r="P30" s="216"/>
    </row>
    <row r="31" spans="1:18">
      <c r="A31" s="216"/>
      <c r="B31" s="216"/>
      <c r="C31" s="216"/>
      <c r="D31" s="216"/>
      <c r="E31" s="216"/>
      <c r="F31" s="216"/>
      <c r="G31" s="216"/>
      <c r="H31" s="216"/>
      <c r="I31" s="216"/>
      <c r="J31" s="216"/>
      <c r="K31" s="216"/>
      <c r="L31" s="216"/>
      <c r="M31" s="216"/>
      <c r="N31" s="216"/>
      <c r="O31" s="216"/>
      <c r="P31" s="216"/>
    </row>
    <row r="32" spans="1:18">
      <c r="A32" s="216"/>
      <c r="B32" s="216"/>
      <c r="C32" s="216"/>
      <c r="D32" s="216"/>
      <c r="E32" s="216"/>
      <c r="F32" s="216"/>
      <c r="G32" s="216"/>
      <c r="H32" s="216"/>
      <c r="I32" s="216"/>
      <c r="J32" s="216"/>
      <c r="K32" s="216"/>
      <c r="L32" s="216"/>
      <c r="M32" s="216"/>
      <c r="N32" s="216"/>
      <c r="O32" s="216"/>
      <c r="P32" s="216"/>
    </row>
    <row r="33" spans="1:16">
      <c r="A33" s="216"/>
      <c r="B33" s="216"/>
      <c r="C33" s="216"/>
      <c r="D33" s="216"/>
      <c r="E33" s="216"/>
      <c r="F33" s="216"/>
      <c r="G33" s="216"/>
      <c r="H33" s="216"/>
      <c r="I33" s="216"/>
      <c r="J33" s="216"/>
      <c r="K33" s="216"/>
      <c r="L33" s="216"/>
      <c r="M33" s="216"/>
      <c r="N33" s="216"/>
      <c r="O33" s="216"/>
      <c r="P33" s="216"/>
    </row>
    <row r="34" spans="1:16">
      <c r="A34" s="216"/>
      <c r="B34" s="216"/>
      <c r="C34" s="216"/>
      <c r="D34" s="216"/>
      <c r="E34" s="216"/>
      <c r="F34" s="216"/>
      <c r="G34" s="216"/>
      <c r="H34" s="216"/>
      <c r="I34" s="216"/>
      <c r="J34" s="216"/>
      <c r="K34" s="216"/>
      <c r="L34" s="216"/>
      <c r="M34" s="216"/>
      <c r="N34" s="216"/>
      <c r="O34" s="216"/>
      <c r="P34" s="216"/>
    </row>
    <row r="35" spans="1:16">
      <c r="A35" s="216"/>
      <c r="B35" s="216"/>
      <c r="C35" s="216"/>
      <c r="D35" s="216"/>
      <c r="E35" s="216"/>
      <c r="F35" s="216"/>
      <c r="G35" s="216"/>
      <c r="H35" s="216"/>
      <c r="I35" s="216"/>
      <c r="J35" s="216"/>
      <c r="K35" s="216"/>
      <c r="L35" s="216"/>
      <c r="M35" s="216"/>
      <c r="N35" s="216"/>
      <c r="O35" s="216"/>
      <c r="P35" s="216"/>
    </row>
    <row r="36" spans="1:16">
      <c r="A36" s="216"/>
      <c r="B36" s="216"/>
      <c r="C36" s="216"/>
      <c r="D36" s="216"/>
      <c r="E36" s="216"/>
      <c r="F36" s="216"/>
      <c r="G36" s="216"/>
      <c r="H36" s="216"/>
      <c r="I36" s="216"/>
      <c r="J36" s="216"/>
      <c r="K36" s="216"/>
      <c r="L36" s="216"/>
      <c r="M36" s="216"/>
      <c r="N36" s="216"/>
      <c r="O36" s="216"/>
      <c r="P36" s="216"/>
    </row>
    <row r="37" spans="1:16">
      <c r="A37" s="216"/>
      <c r="B37" s="216"/>
      <c r="C37" s="216"/>
      <c r="D37" s="216"/>
      <c r="E37" s="216"/>
      <c r="F37" s="216"/>
      <c r="G37" s="216"/>
      <c r="H37" s="216"/>
      <c r="I37" s="216"/>
      <c r="J37" s="216"/>
      <c r="K37" s="216"/>
      <c r="L37" s="216"/>
      <c r="M37" s="216"/>
      <c r="N37" s="216"/>
      <c r="O37" s="216"/>
      <c r="P37" s="216"/>
    </row>
    <row r="38" spans="1:16">
      <c r="A38" s="216"/>
      <c r="B38" s="216"/>
      <c r="C38" s="216"/>
      <c r="D38" s="216"/>
      <c r="E38" s="216"/>
      <c r="F38" s="216"/>
      <c r="G38" s="216"/>
      <c r="H38" s="216"/>
      <c r="I38" s="216"/>
      <c r="J38" s="216"/>
      <c r="K38" s="216"/>
      <c r="L38" s="216"/>
      <c r="M38" s="216"/>
      <c r="N38" s="216"/>
      <c r="O38" s="216"/>
      <c r="P38" s="216"/>
    </row>
    <row r="39" spans="1:16">
      <c r="A39" s="216"/>
      <c r="B39" s="216"/>
      <c r="C39" s="216"/>
      <c r="D39" s="216"/>
      <c r="E39" s="216"/>
      <c r="F39" s="216"/>
      <c r="G39" s="216"/>
      <c r="H39" s="216"/>
      <c r="I39" s="216"/>
      <c r="J39" s="216"/>
      <c r="K39" s="216"/>
      <c r="L39" s="216"/>
      <c r="M39" s="216"/>
      <c r="N39" s="216"/>
      <c r="O39" s="216"/>
      <c r="P39" s="216"/>
    </row>
    <row r="40" spans="1:16">
      <c r="A40" s="216"/>
      <c r="B40" s="216"/>
      <c r="C40" s="216"/>
      <c r="D40" s="216"/>
      <c r="E40" s="216"/>
      <c r="F40" s="216"/>
      <c r="G40" s="216"/>
      <c r="H40" s="216"/>
      <c r="I40" s="216"/>
      <c r="J40" s="216"/>
      <c r="K40" s="216"/>
      <c r="L40" s="216"/>
      <c r="M40" s="216"/>
      <c r="N40" s="216"/>
      <c r="O40" s="216"/>
      <c r="P40" s="216"/>
    </row>
    <row r="41" spans="1:16">
      <c r="A41" s="216"/>
      <c r="B41" s="216"/>
      <c r="C41" s="216"/>
      <c r="D41" s="216"/>
      <c r="E41" s="216"/>
      <c r="F41" s="216"/>
      <c r="G41" s="216"/>
      <c r="H41" s="216"/>
      <c r="I41" s="216"/>
      <c r="J41" s="216"/>
      <c r="K41" s="216"/>
      <c r="L41" s="216"/>
      <c r="M41" s="216"/>
      <c r="N41" s="216"/>
      <c r="O41" s="216"/>
      <c r="P41" s="216"/>
    </row>
    <row r="42" spans="1:16">
      <c r="A42" s="216"/>
      <c r="B42" s="216"/>
      <c r="C42" s="216"/>
      <c r="D42" s="216"/>
      <c r="E42" s="216"/>
      <c r="F42" s="216"/>
      <c r="G42" s="216"/>
      <c r="H42" s="216"/>
      <c r="I42" s="216"/>
      <c r="J42" s="216"/>
      <c r="K42" s="216"/>
      <c r="L42" s="216"/>
      <c r="M42" s="216"/>
      <c r="N42" s="216"/>
      <c r="O42" s="216"/>
      <c r="P42" s="216"/>
    </row>
    <row r="43" spans="1:16">
      <c r="A43" s="216"/>
      <c r="B43" s="216"/>
      <c r="C43" s="216"/>
      <c r="D43" s="216"/>
      <c r="E43" s="216"/>
      <c r="F43" s="216"/>
      <c r="G43" s="216"/>
      <c r="H43" s="216"/>
      <c r="I43" s="216"/>
      <c r="J43" s="216"/>
      <c r="K43" s="216"/>
      <c r="L43" s="216"/>
      <c r="M43" s="216"/>
      <c r="N43" s="216"/>
      <c r="O43" s="216"/>
      <c r="P43" s="216"/>
    </row>
    <row r="44" spans="1:16">
      <c r="A44" s="216"/>
      <c r="B44" s="216"/>
      <c r="C44" s="216"/>
      <c r="D44" s="216"/>
      <c r="E44" s="216"/>
      <c r="F44" s="216"/>
      <c r="G44" s="216"/>
      <c r="H44" s="216"/>
      <c r="I44" s="216"/>
      <c r="J44" s="216"/>
      <c r="K44" s="216"/>
      <c r="L44" s="216"/>
      <c r="M44" s="216"/>
      <c r="N44" s="216"/>
      <c r="O44" s="216"/>
      <c r="P44" s="216"/>
    </row>
    <row r="45" spans="1:16">
      <c r="A45" s="216"/>
      <c r="B45" s="216"/>
      <c r="C45" s="216"/>
      <c r="D45" s="216"/>
      <c r="E45" s="216"/>
      <c r="F45" s="216"/>
      <c r="G45" s="216"/>
      <c r="H45" s="216"/>
      <c r="I45" s="216"/>
      <c r="J45" s="216"/>
      <c r="K45" s="216"/>
      <c r="L45" s="216"/>
      <c r="M45" s="216"/>
      <c r="N45" s="216"/>
      <c r="O45" s="216"/>
      <c r="P45" s="216"/>
    </row>
    <row r="46" spans="1:16">
      <c r="A46" s="216"/>
      <c r="B46" s="216"/>
      <c r="C46" s="216"/>
      <c r="D46" s="216"/>
      <c r="E46" s="216"/>
      <c r="F46" s="216"/>
      <c r="G46" s="216"/>
      <c r="H46" s="216"/>
      <c r="I46" s="216"/>
      <c r="J46" s="216"/>
      <c r="K46" s="216"/>
      <c r="L46" s="216"/>
      <c r="M46" s="216"/>
      <c r="N46" s="216"/>
      <c r="O46" s="216"/>
      <c r="P46" s="216"/>
    </row>
    <row r="47" spans="1:16">
      <c r="A47" s="216"/>
      <c r="B47" s="216"/>
      <c r="C47" s="216"/>
      <c r="D47" s="216"/>
      <c r="E47" s="216"/>
      <c r="F47" s="216"/>
      <c r="G47" s="216"/>
      <c r="H47" s="216"/>
      <c r="I47" s="216"/>
      <c r="J47" s="216"/>
      <c r="K47" s="216"/>
      <c r="L47" s="216"/>
      <c r="M47" s="216"/>
      <c r="N47" s="216"/>
      <c r="O47" s="216"/>
      <c r="P47" s="216"/>
    </row>
    <row r="48" spans="1:16">
      <c r="A48" s="216"/>
      <c r="B48" s="216"/>
      <c r="C48" s="216"/>
      <c r="D48" s="216"/>
      <c r="E48" s="216"/>
      <c r="F48" s="216"/>
      <c r="G48" s="216"/>
      <c r="H48" s="216"/>
      <c r="I48" s="216"/>
      <c r="J48" s="216"/>
      <c r="K48" s="216"/>
      <c r="L48" s="216"/>
      <c r="M48" s="216"/>
      <c r="N48" s="216"/>
      <c r="O48" s="216"/>
      <c r="P48" s="216"/>
    </row>
    <row r="49" spans="1:16">
      <c r="A49" s="216"/>
      <c r="B49" s="216"/>
      <c r="C49" s="216"/>
      <c r="D49" s="216"/>
      <c r="E49" s="216"/>
      <c r="F49" s="216"/>
      <c r="G49" s="216"/>
      <c r="H49" s="216"/>
      <c r="I49" s="216"/>
      <c r="J49" s="216"/>
      <c r="K49" s="216"/>
      <c r="L49" s="216"/>
      <c r="M49" s="216"/>
      <c r="N49" s="216"/>
      <c r="O49" s="216"/>
      <c r="P49" s="216"/>
    </row>
    <row r="50" spans="1:16">
      <c r="A50" s="216"/>
      <c r="B50" s="216"/>
      <c r="C50" s="216"/>
      <c r="D50" s="216"/>
      <c r="E50" s="216"/>
      <c r="F50" s="216"/>
      <c r="G50" s="216"/>
      <c r="H50" s="216"/>
      <c r="I50" s="216"/>
      <c r="J50" s="216"/>
      <c r="K50" s="216"/>
      <c r="L50" s="216"/>
      <c r="M50" s="216"/>
      <c r="N50" s="216"/>
      <c r="O50" s="216"/>
      <c r="P50" s="216"/>
    </row>
    <row r="51" spans="1:16">
      <c r="A51" s="216"/>
      <c r="B51" s="216"/>
      <c r="C51" s="216"/>
      <c r="D51" s="216"/>
      <c r="E51" s="216"/>
      <c r="F51" s="216"/>
      <c r="G51" s="216"/>
      <c r="H51" s="216"/>
      <c r="I51" s="216"/>
      <c r="J51" s="216"/>
      <c r="K51" s="216"/>
      <c r="L51" s="216"/>
      <c r="M51" s="216"/>
      <c r="N51" s="216"/>
      <c r="O51" s="216"/>
      <c r="P51" s="216"/>
    </row>
    <row r="52" spans="1:16">
      <c r="A52" s="216"/>
      <c r="B52" s="216"/>
      <c r="C52" s="216"/>
      <c r="D52" s="216"/>
      <c r="E52" s="216"/>
      <c r="F52" s="216"/>
      <c r="G52" s="216"/>
      <c r="H52" s="216"/>
      <c r="I52" s="216"/>
      <c r="J52" s="216"/>
      <c r="K52" s="216"/>
      <c r="L52" s="216"/>
      <c r="M52" s="216"/>
      <c r="N52" s="216"/>
      <c r="O52" s="216"/>
      <c r="P52" s="216"/>
    </row>
    <row r="53" spans="1:16">
      <c r="A53" s="216"/>
      <c r="B53" s="216"/>
      <c r="C53" s="216"/>
      <c r="D53" s="216"/>
      <c r="E53" s="216"/>
      <c r="F53" s="216"/>
      <c r="G53" s="216"/>
      <c r="H53" s="216"/>
      <c r="I53" s="216"/>
      <c r="J53" s="216"/>
      <c r="K53" s="216"/>
      <c r="L53" s="216"/>
      <c r="M53" s="216"/>
      <c r="N53" s="216"/>
      <c r="O53" s="216"/>
      <c r="P53" s="216"/>
    </row>
    <row r="54" spans="1:16">
      <c r="A54" s="216"/>
      <c r="B54" s="216"/>
      <c r="C54" s="216"/>
      <c r="D54" s="216"/>
      <c r="E54" s="216"/>
      <c r="F54" s="216"/>
      <c r="G54" s="216"/>
      <c r="H54" s="216"/>
      <c r="I54" s="216"/>
      <c r="J54" s="216"/>
      <c r="K54" s="216"/>
      <c r="L54" s="216"/>
      <c r="M54" s="216"/>
      <c r="N54" s="216"/>
      <c r="O54" s="216"/>
      <c r="P54" s="216"/>
    </row>
    <row r="55" spans="1:16">
      <c r="A55" s="216"/>
      <c r="B55" s="216"/>
      <c r="C55" s="216"/>
      <c r="D55" s="216"/>
      <c r="E55" s="216"/>
      <c r="F55" s="216"/>
      <c r="G55" s="216"/>
      <c r="H55" s="216"/>
      <c r="I55" s="216"/>
      <c r="J55" s="216"/>
      <c r="K55" s="216"/>
      <c r="L55" s="216"/>
      <c r="M55" s="216"/>
      <c r="N55" s="216"/>
      <c r="O55" s="216"/>
      <c r="P55" s="216"/>
    </row>
    <row r="56" spans="1:16">
      <c r="A56" s="216"/>
      <c r="B56" s="216"/>
      <c r="C56" s="216"/>
      <c r="D56" s="216"/>
      <c r="E56" s="216"/>
      <c r="F56" s="216"/>
      <c r="G56" s="216"/>
      <c r="H56" s="216"/>
      <c r="I56" s="216"/>
      <c r="J56" s="216"/>
      <c r="K56" s="216"/>
      <c r="L56" s="216"/>
      <c r="M56" s="216"/>
      <c r="N56" s="216"/>
      <c r="O56" s="216"/>
      <c r="P56" s="216"/>
    </row>
    <row r="57" spans="1:16">
      <c r="A57" s="216"/>
      <c r="B57" s="216"/>
      <c r="C57" s="216"/>
      <c r="D57" s="216"/>
      <c r="E57" s="216"/>
      <c r="F57" s="216"/>
      <c r="G57" s="216"/>
      <c r="H57" s="216"/>
      <c r="I57" s="216"/>
      <c r="J57" s="216"/>
      <c r="K57" s="216"/>
      <c r="L57" s="216"/>
      <c r="M57" s="216"/>
      <c r="N57" s="216"/>
      <c r="O57" s="216"/>
      <c r="P57" s="216"/>
    </row>
    <row r="58" spans="1:16">
      <c r="A58" s="216"/>
      <c r="B58" s="216"/>
      <c r="C58" s="216"/>
      <c r="D58" s="216"/>
      <c r="E58" s="216"/>
      <c r="F58" s="216"/>
      <c r="G58" s="216"/>
      <c r="H58" s="216"/>
      <c r="I58" s="216"/>
      <c r="J58" s="216"/>
      <c r="K58" s="216"/>
      <c r="L58" s="216"/>
      <c r="M58" s="216"/>
      <c r="N58" s="216"/>
      <c r="O58" s="216"/>
      <c r="P58" s="216"/>
    </row>
    <row r="59" spans="1:16">
      <c r="A59" s="216"/>
      <c r="B59" s="216"/>
      <c r="C59" s="216"/>
      <c r="D59" s="216"/>
      <c r="E59" s="216"/>
      <c r="F59" s="216"/>
      <c r="G59" s="216"/>
      <c r="H59" s="216"/>
      <c r="I59" s="216"/>
      <c r="J59" s="216"/>
      <c r="K59" s="216"/>
      <c r="L59" s="216"/>
      <c r="M59" s="216"/>
      <c r="N59" s="216"/>
      <c r="O59" s="216"/>
      <c r="P59" s="216"/>
    </row>
    <row r="60" spans="1:16">
      <c r="A60" s="216"/>
      <c r="B60" s="216"/>
      <c r="C60" s="216"/>
      <c r="D60" s="216"/>
      <c r="E60" s="216"/>
      <c r="F60" s="216"/>
      <c r="G60" s="216"/>
      <c r="H60" s="216"/>
      <c r="I60" s="216"/>
      <c r="J60" s="216"/>
      <c r="K60" s="216"/>
      <c r="L60" s="216"/>
      <c r="M60" s="216"/>
      <c r="N60" s="216"/>
      <c r="O60" s="216"/>
      <c r="P60" s="216"/>
    </row>
    <row r="61" spans="1:16">
      <c r="A61" s="216"/>
      <c r="B61" s="216"/>
      <c r="C61" s="216"/>
      <c r="D61" s="216"/>
      <c r="E61" s="216"/>
      <c r="F61" s="216"/>
      <c r="G61" s="216"/>
      <c r="H61" s="216"/>
      <c r="I61" s="216"/>
      <c r="J61" s="216"/>
      <c r="K61" s="216"/>
      <c r="L61" s="216"/>
      <c r="M61" s="216"/>
      <c r="N61" s="216"/>
      <c r="O61" s="216"/>
      <c r="P61" s="216"/>
    </row>
    <row r="62" spans="1:16">
      <c r="A62" s="216"/>
      <c r="B62" s="216"/>
      <c r="C62" s="216"/>
      <c r="D62" s="216"/>
      <c r="E62" s="216"/>
      <c r="F62" s="216"/>
      <c r="G62" s="216"/>
      <c r="H62" s="216"/>
      <c r="I62" s="216"/>
      <c r="J62" s="216"/>
      <c r="K62" s="216"/>
      <c r="L62" s="216"/>
      <c r="M62" s="216"/>
      <c r="N62" s="216"/>
      <c r="O62" s="216"/>
      <c r="P62" s="216"/>
    </row>
    <row r="63" spans="1:16">
      <c r="A63" s="216"/>
      <c r="B63" s="216"/>
      <c r="C63" s="216"/>
      <c r="D63" s="216"/>
      <c r="E63" s="216"/>
      <c r="F63" s="216"/>
      <c r="G63" s="216"/>
      <c r="H63" s="216"/>
      <c r="I63" s="216"/>
      <c r="J63" s="216"/>
      <c r="K63" s="216"/>
      <c r="L63" s="216"/>
      <c r="M63" s="216"/>
      <c r="N63" s="216"/>
      <c r="O63" s="216"/>
      <c r="P63" s="216"/>
    </row>
    <row r="64" spans="1:16">
      <c r="A64" s="216"/>
      <c r="B64" s="216"/>
      <c r="C64" s="216"/>
      <c r="D64" s="216"/>
      <c r="E64" s="216"/>
      <c r="F64" s="216"/>
      <c r="G64" s="216"/>
      <c r="H64" s="216"/>
      <c r="I64" s="216"/>
      <c r="J64" s="216"/>
      <c r="K64" s="216"/>
      <c r="L64" s="216"/>
      <c r="M64" s="216"/>
      <c r="N64" s="216"/>
      <c r="O64" s="216"/>
      <c r="P64" s="216"/>
    </row>
    <row r="65" spans="1:16">
      <c r="A65" s="216"/>
      <c r="B65" s="216"/>
      <c r="C65" s="216"/>
      <c r="D65" s="216"/>
      <c r="E65" s="216"/>
      <c r="F65" s="216"/>
      <c r="G65" s="216"/>
      <c r="H65" s="216"/>
      <c r="I65" s="216"/>
      <c r="J65" s="216"/>
      <c r="K65" s="216"/>
      <c r="L65" s="216"/>
      <c r="M65" s="216"/>
      <c r="N65" s="216"/>
      <c r="O65" s="216"/>
      <c r="P65" s="216"/>
    </row>
    <row r="66" spans="1:16">
      <c r="A66" s="216"/>
      <c r="B66" s="216"/>
      <c r="C66" s="216"/>
      <c r="D66" s="216"/>
      <c r="E66" s="216"/>
      <c r="F66" s="216"/>
      <c r="G66" s="216"/>
      <c r="H66" s="216"/>
      <c r="I66" s="216"/>
      <c r="J66" s="216"/>
      <c r="K66" s="216"/>
      <c r="L66" s="216"/>
      <c r="M66" s="216"/>
      <c r="N66" s="216"/>
      <c r="O66" s="216"/>
      <c r="P66" s="216"/>
    </row>
    <row r="67" spans="1:16">
      <c r="A67" s="216"/>
      <c r="B67" s="216"/>
      <c r="C67" s="216"/>
      <c r="D67" s="216"/>
      <c r="E67" s="216"/>
      <c r="F67" s="216"/>
      <c r="G67" s="216"/>
      <c r="H67" s="216"/>
      <c r="I67" s="216"/>
      <c r="J67" s="216"/>
      <c r="K67" s="216"/>
      <c r="L67" s="216"/>
      <c r="M67" s="216"/>
      <c r="N67" s="216"/>
      <c r="O67" s="216"/>
      <c r="P67" s="216"/>
    </row>
    <row r="68" spans="1:16">
      <c r="A68" s="216"/>
      <c r="B68" s="216"/>
      <c r="C68" s="216"/>
      <c r="D68" s="216"/>
      <c r="E68" s="216"/>
      <c r="F68" s="216"/>
      <c r="G68" s="216"/>
      <c r="H68" s="216"/>
      <c r="I68" s="216"/>
      <c r="J68" s="216"/>
      <c r="K68" s="216"/>
      <c r="L68" s="216"/>
      <c r="M68" s="216"/>
      <c r="N68" s="216"/>
      <c r="O68" s="216"/>
      <c r="P68" s="216"/>
    </row>
    <row r="69" spans="1:16">
      <c r="A69" s="216"/>
      <c r="B69" s="216"/>
      <c r="C69" s="216"/>
      <c r="D69" s="216"/>
      <c r="E69" s="216"/>
      <c r="F69" s="216"/>
      <c r="G69" s="216"/>
      <c r="H69" s="216"/>
      <c r="I69" s="216"/>
      <c r="J69" s="216"/>
      <c r="K69" s="216"/>
      <c r="L69" s="216"/>
      <c r="M69" s="216"/>
      <c r="N69" s="216"/>
      <c r="O69" s="216"/>
      <c r="P69" s="216"/>
    </row>
    <row r="70" spans="1:16">
      <c r="A70" s="216"/>
      <c r="B70" s="216"/>
      <c r="C70" s="216"/>
      <c r="D70" s="216"/>
      <c r="E70" s="216"/>
      <c r="F70" s="216"/>
      <c r="G70" s="216"/>
      <c r="H70" s="216"/>
      <c r="I70" s="216"/>
      <c r="J70" s="216"/>
      <c r="K70" s="216"/>
      <c r="L70" s="216"/>
      <c r="M70" s="216"/>
      <c r="N70" s="216"/>
      <c r="O70" s="216"/>
      <c r="P70" s="216"/>
    </row>
    <row r="71" spans="1:16">
      <c r="A71" s="216"/>
      <c r="B71" s="216"/>
      <c r="C71" s="216"/>
      <c r="D71" s="216"/>
      <c r="E71" s="216"/>
      <c r="F71" s="216"/>
      <c r="G71" s="216"/>
      <c r="H71" s="216"/>
      <c r="I71" s="216"/>
      <c r="J71" s="216"/>
      <c r="K71" s="216"/>
      <c r="L71" s="216"/>
      <c r="M71" s="216"/>
      <c r="N71" s="216"/>
      <c r="O71" s="216"/>
      <c r="P71" s="216"/>
    </row>
    <row r="72" spans="1:16">
      <c r="A72" s="216"/>
      <c r="B72" s="216"/>
      <c r="C72" s="216"/>
      <c r="D72" s="216"/>
      <c r="E72" s="216"/>
      <c r="F72" s="216"/>
      <c r="G72" s="216"/>
      <c r="H72" s="216"/>
      <c r="I72" s="216"/>
      <c r="J72" s="216"/>
      <c r="K72" s="216"/>
      <c r="L72" s="216"/>
      <c r="M72" s="216"/>
      <c r="N72" s="216"/>
      <c r="O72" s="216"/>
      <c r="P72" s="216"/>
    </row>
    <row r="73" spans="1:16">
      <c r="A73" s="216"/>
      <c r="B73" s="216"/>
      <c r="C73" s="216"/>
      <c r="D73" s="216"/>
      <c r="E73" s="216"/>
      <c r="F73" s="216"/>
      <c r="G73" s="216"/>
      <c r="H73" s="216"/>
      <c r="I73" s="216"/>
      <c r="J73" s="216"/>
      <c r="K73" s="216"/>
      <c r="L73" s="216"/>
      <c r="M73" s="216"/>
      <c r="N73" s="216"/>
      <c r="O73" s="216"/>
      <c r="P73" s="216"/>
    </row>
    <row r="74" spans="1:16">
      <c r="A74" s="216"/>
      <c r="B74" s="216"/>
      <c r="C74" s="216"/>
      <c r="D74" s="216"/>
      <c r="E74" s="216"/>
      <c r="F74" s="216"/>
      <c r="G74" s="216"/>
      <c r="H74" s="216"/>
      <c r="I74" s="216"/>
      <c r="J74" s="216"/>
      <c r="K74" s="216"/>
      <c r="L74" s="216"/>
      <c r="M74" s="216"/>
      <c r="N74" s="216"/>
      <c r="O74" s="216"/>
      <c r="P74" s="216"/>
    </row>
    <row r="75" spans="1:16">
      <c r="A75" s="216"/>
      <c r="B75" s="216"/>
      <c r="C75" s="216"/>
      <c r="D75" s="216"/>
      <c r="E75" s="216"/>
      <c r="F75" s="216"/>
      <c r="G75" s="216"/>
      <c r="H75" s="216"/>
      <c r="I75" s="216"/>
      <c r="J75" s="216"/>
      <c r="K75" s="216"/>
      <c r="L75" s="216"/>
      <c r="M75" s="216"/>
      <c r="N75" s="216"/>
      <c r="O75" s="216"/>
      <c r="P75" s="216"/>
    </row>
    <row r="76" spans="1:16">
      <c r="A76" s="216"/>
      <c r="B76" s="216"/>
      <c r="C76" s="216"/>
      <c r="D76" s="216"/>
      <c r="E76" s="216"/>
      <c r="F76" s="216"/>
      <c r="G76" s="216"/>
      <c r="H76" s="216"/>
      <c r="I76" s="216"/>
      <c r="J76" s="216"/>
      <c r="K76" s="216"/>
      <c r="L76" s="216"/>
      <c r="M76" s="216"/>
      <c r="N76" s="216"/>
      <c r="O76" s="216"/>
      <c r="P76" s="216"/>
    </row>
    <row r="77" spans="1:16">
      <c r="A77" s="216"/>
      <c r="B77" s="216"/>
      <c r="C77" s="216"/>
      <c r="D77" s="216"/>
      <c r="E77" s="216"/>
      <c r="F77" s="216"/>
      <c r="G77" s="216"/>
      <c r="H77" s="216"/>
      <c r="I77" s="216"/>
      <c r="J77" s="216"/>
      <c r="K77" s="216"/>
      <c r="L77" s="216"/>
      <c r="M77" s="216"/>
      <c r="N77" s="216"/>
      <c r="O77" s="216"/>
      <c r="P77" s="216"/>
    </row>
    <row r="78" spans="1:16">
      <c r="A78" s="216"/>
      <c r="B78" s="216"/>
      <c r="C78" s="216"/>
      <c r="D78" s="216"/>
      <c r="E78" s="216"/>
      <c r="F78" s="216"/>
      <c r="G78" s="216"/>
      <c r="H78" s="216"/>
      <c r="I78" s="216"/>
      <c r="J78" s="216"/>
      <c r="K78" s="216"/>
      <c r="L78" s="216"/>
      <c r="M78" s="216"/>
      <c r="N78" s="216"/>
      <c r="O78" s="216"/>
      <c r="P78" s="216"/>
    </row>
    <row r="79" spans="1:16">
      <c r="A79" s="216"/>
      <c r="B79" s="216"/>
      <c r="C79" s="216"/>
      <c r="D79" s="216"/>
      <c r="E79" s="216"/>
      <c r="F79" s="216"/>
      <c r="G79" s="216"/>
      <c r="H79" s="216"/>
      <c r="I79" s="216"/>
      <c r="J79" s="216"/>
      <c r="K79" s="216"/>
      <c r="L79" s="216"/>
      <c r="M79" s="216"/>
      <c r="N79" s="216"/>
      <c r="O79" s="216"/>
      <c r="P79" s="216"/>
    </row>
    <row r="80" spans="1:16">
      <c r="A80" s="216"/>
      <c r="B80" s="216"/>
      <c r="C80" s="216"/>
      <c r="D80" s="216"/>
      <c r="E80" s="216"/>
      <c r="F80" s="216"/>
      <c r="G80" s="216"/>
      <c r="H80" s="216"/>
      <c r="I80" s="216"/>
      <c r="J80" s="216"/>
      <c r="K80" s="216"/>
      <c r="L80" s="216"/>
      <c r="M80" s="216"/>
      <c r="N80" s="216"/>
      <c r="O80" s="216"/>
      <c r="P80" s="216"/>
    </row>
    <row r="81" spans="1:16">
      <c r="A81" s="216"/>
      <c r="B81" s="216"/>
      <c r="C81" s="216"/>
      <c r="D81" s="216"/>
      <c r="E81" s="216"/>
      <c r="F81" s="216"/>
      <c r="G81" s="216"/>
      <c r="H81" s="216"/>
      <c r="I81" s="216"/>
      <c r="J81" s="216"/>
      <c r="K81" s="216"/>
      <c r="L81" s="216"/>
      <c r="M81" s="216"/>
      <c r="N81" s="216"/>
      <c r="O81" s="216"/>
      <c r="P81" s="216"/>
    </row>
  </sheetData>
  <phoneticPr fontId="19" type="noConversion"/>
  <pageMargins left="1.1811023622047245" right="0.59055118110236227" top="1.3779527559055118" bottom="0.59055118110236227" header="0.51181102362204722" footer="0.51181102362204722"/>
  <pageSetup paperSize="5" scale="95"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opLeftCell="A9" zoomScale="75" workbookViewId="0">
      <selection activeCell="J27" sqref="J27"/>
    </sheetView>
  </sheetViews>
  <sheetFormatPr baseColWidth="10" defaultColWidth="11.44140625" defaultRowHeight="13.2"/>
  <cols>
    <col min="1" max="1" width="9.44140625" style="864" customWidth="1"/>
    <col min="2" max="2" width="26.77734375" style="864" customWidth="1"/>
    <col min="3" max="3" width="13.21875" style="864" customWidth="1"/>
    <col min="4" max="5" width="12.77734375" style="864" customWidth="1"/>
    <col min="6" max="6" width="11.5546875" style="864" customWidth="1"/>
    <col min="7" max="7" width="11.77734375" style="864" customWidth="1"/>
    <col min="8" max="8" width="10.21875" style="864" customWidth="1"/>
    <col min="9" max="9" width="11.44140625" style="864"/>
    <col min="10" max="10" width="19.5546875" style="864" customWidth="1"/>
    <col min="11" max="16384" width="11.44140625" style="864"/>
  </cols>
  <sheetData>
    <row r="1" spans="1:10" ht="30" customHeight="1">
      <c r="A1" s="941" t="s">
        <v>1378</v>
      </c>
      <c r="B1" s="900"/>
      <c r="C1" s="862"/>
      <c r="D1" s="862"/>
      <c r="E1" s="862"/>
      <c r="F1" s="862"/>
      <c r="G1" s="862"/>
      <c r="H1" s="862"/>
      <c r="I1" s="862"/>
      <c r="J1" s="862"/>
    </row>
    <row r="2" spans="1:10">
      <c r="A2" s="861"/>
      <c r="B2" s="900"/>
      <c r="C2" s="862"/>
      <c r="D2" s="862"/>
      <c r="E2" s="862"/>
      <c r="F2" s="862"/>
      <c r="G2" s="862"/>
      <c r="H2" s="862"/>
      <c r="I2" s="862"/>
      <c r="J2" s="862"/>
    </row>
    <row r="3" spans="1:10">
      <c r="A3" s="861" t="str">
        <f>+'95'!A3</f>
        <v>SERVICIO DE SALUD   ACONCAGUA   2020</v>
      </c>
      <c r="B3" s="900"/>
      <c r="C3" s="862"/>
      <c r="D3" s="862"/>
      <c r="E3" s="862"/>
      <c r="F3" s="862"/>
      <c r="G3" s="862"/>
      <c r="H3" s="862"/>
      <c r="I3" s="862"/>
      <c r="J3" s="862"/>
    </row>
    <row r="4" spans="1:10">
      <c r="A4" s="901"/>
      <c r="B4" s="900"/>
      <c r="C4" s="862"/>
      <c r="D4" s="862"/>
      <c r="E4" s="862"/>
      <c r="F4" s="862"/>
      <c r="G4" s="862"/>
      <c r="H4" s="862"/>
      <c r="I4" s="862"/>
      <c r="J4" s="862"/>
    </row>
    <row r="5" spans="1:10">
      <c r="A5" s="865"/>
    </row>
    <row r="6" spans="1:10">
      <c r="A6" s="865"/>
    </row>
    <row r="7" spans="1:10" ht="21" customHeight="1">
      <c r="A7" s="867" t="s">
        <v>680</v>
      </c>
      <c r="B7" s="868"/>
      <c r="C7" s="870" t="s">
        <v>212</v>
      </c>
      <c r="D7" s="870"/>
      <c r="E7" s="870"/>
      <c r="F7" s="870"/>
      <c r="G7" s="870"/>
      <c r="H7" s="898"/>
      <c r="J7" s="902" t="s">
        <v>213</v>
      </c>
    </row>
    <row r="8" spans="1:10" ht="23.25" customHeight="1">
      <c r="A8" s="872" t="s">
        <v>682</v>
      </c>
      <c r="B8" s="873" t="s">
        <v>683</v>
      </c>
      <c r="C8" s="874" t="s">
        <v>414</v>
      </c>
      <c r="D8" s="875" t="s">
        <v>630</v>
      </c>
      <c r="E8" s="875" t="s">
        <v>898</v>
      </c>
      <c r="F8" s="875" t="s">
        <v>393</v>
      </c>
      <c r="G8" s="875" t="s">
        <v>394</v>
      </c>
      <c r="H8" s="876" t="s">
        <v>517</v>
      </c>
      <c r="J8" s="903" t="s">
        <v>214</v>
      </c>
    </row>
    <row r="9" spans="1:10">
      <c r="A9" s="877"/>
      <c r="B9" s="878"/>
      <c r="C9" s="879"/>
      <c r="D9" s="879"/>
      <c r="E9" s="879"/>
      <c r="F9" s="879"/>
      <c r="G9" s="879"/>
      <c r="H9" s="899"/>
      <c r="J9" s="881"/>
    </row>
    <row r="10" spans="1:10" ht="17.25" customHeight="1">
      <c r="A10" s="880" t="s">
        <v>716</v>
      </c>
      <c r="B10" s="881" t="s">
        <v>717</v>
      </c>
      <c r="C10" s="882">
        <f>+'91'!AE10</f>
        <v>123</v>
      </c>
      <c r="D10" s="882">
        <f>+'92'!AE10</f>
        <v>164</v>
      </c>
      <c r="E10" s="882">
        <f>+'93'!AE10</f>
        <v>43</v>
      </c>
      <c r="F10" s="882">
        <f>+'94'!AE10</f>
        <v>15</v>
      </c>
      <c r="G10" s="904">
        <f>+'95'!AE10</f>
        <v>0</v>
      </c>
      <c r="H10" s="883">
        <f t="shared" ref="H10:H29" si="0">SUM(C10:G10)</f>
        <v>345</v>
      </c>
      <c r="I10" s="905"/>
      <c r="J10" s="906">
        <f>+H10/H30*100</f>
        <v>1.9907674552798615</v>
      </c>
    </row>
    <row r="11" spans="1:10" ht="16.5" customHeight="1">
      <c r="A11" s="880" t="s">
        <v>693</v>
      </c>
      <c r="B11" s="881" t="s">
        <v>694</v>
      </c>
      <c r="C11" s="882">
        <f>+'91'!AE11</f>
        <v>508</v>
      </c>
      <c r="D11" s="882">
        <f>+'92'!AE11</f>
        <v>392</v>
      </c>
      <c r="E11" s="882">
        <f>+'93'!AE11</f>
        <v>59</v>
      </c>
      <c r="F11" s="882">
        <f>+'94'!AE11</f>
        <v>11</v>
      </c>
      <c r="G11" s="904">
        <f>+'95'!AE11</f>
        <v>0</v>
      </c>
      <c r="H11" s="883">
        <f t="shared" si="0"/>
        <v>970</v>
      </c>
      <c r="I11" s="905"/>
      <c r="J11" s="906">
        <f>+H11/H30*100</f>
        <v>5.5972302365839584</v>
      </c>
    </row>
    <row r="12" spans="1:10" ht="15.75" customHeight="1">
      <c r="A12" s="880" t="s">
        <v>196</v>
      </c>
      <c r="B12" s="881" t="s">
        <v>197</v>
      </c>
      <c r="C12" s="882">
        <f>+'91'!AE12</f>
        <v>72</v>
      </c>
      <c r="D12" s="882">
        <f>+'92'!AE12</f>
        <v>31</v>
      </c>
      <c r="E12" s="882">
        <f>+'93'!AE12</f>
        <v>9</v>
      </c>
      <c r="F12" s="882">
        <f>+'94'!AE12</f>
        <v>4</v>
      </c>
      <c r="G12" s="904">
        <f>+'95'!AE12</f>
        <v>0</v>
      </c>
      <c r="H12" s="883">
        <f t="shared" si="0"/>
        <v>116</v>
      </c>
      <c r="I12" s="905"/>
      <c r="J12" s="906">
        <f>+H12/H30*100</f>
        <v>0.66935949221004032</v>
      </c>
    </row>
    <row r="13" spans="1:10" ht="16.5" customHeight="1">
      <c r="A13" s="880" t="s">
        <v>720</v>
      </c>
      <c r="B13" s="881" t="s">
        <v>721</v>
      </c>
      <c r="C13" s="882">
        <f>+'91'!AE13</f>
        <v>206</v>
      </c>
      <c r="D13" s="882">
        <f>+'92'!AE13</f>
        <v>145</v>
      </c>
      <c r="E13" s="882">
        <f>+'93'!AE13</f>
        <v>56</v>
      </c>
      <c r="F13" s="882">
        <f>+'94'!AE13</f>
        <v>24</v>
      </c>
      <c r="G13" s="904">
        <f>+'95'!AE13</f>
        <v>1</v>
      </c>
      <c r="H13" s="883">
        <f t="shared" si="0"/>
        <v>432</v>
      </c>
      <c r="I13" s="905"/>
      <c r="J13" s="906">
        <f>+H13/H30*100</f>
        <v>2.4927870744373917</v>
      </c>
    </row>
    <row r="14" spans="1:10" ht="17.25" customHeight="1">
      <c r="A14" s="880" t="s">
        <v>198</v>
      </c>
      <c r="B14" s="881" t="s">
        <v>199</v>
      </c>
      <c r="C14" s="882">
        <f>+'91'!AE14</f>
        <v>27</v>
      </c>
      <c r="D14" s="882">
        <f>+'92'!AE14</f>
        <v>27</v>
      </c>
      <c r="E14" s="882">
        <f>+'93'!AE14</f>
        <v>57</v>
      </c>
      <c r="F14" s="882">
        <f>+'94'!AE14</f>
        <v>58</v>
      </c>
      <c r="G14" s="904">
        <f>+'95'!AE14</f>
        <v>447</v>
      </c>
      <c r="H14" s="883">
        <f t="shared" si="0"/>
        <v>616</v>
      </c>
      <c r="I14" s="905"/>
      <c r="J14" s="906">
        <f>+H14/H30*100</f>
        <v>3.5545297172533177</v>
      </c>
    </row>
    <row r="15" spans="1:10" ht="18" customHeight="1">
      <c r="A15" s="880" t="s">
        <v>200</v>
      </c>
      <c r="B15" s="881" t="s">
        <v>201</v>
      </c>
      <c r="C15" s="882">
        <f>+'91'!AE15</f>
        <v>223</v>
      </c>
      <c r="D15" s="882">
        <f>+'92'!AE15</f>
        <v>39</v>
      </c>
      <c r="E15" s="882">
        <f>+'93'!AE15</f>
        <v>9</v>
      </c>
      <c r="F15" s="882">
        <f>+'94'!AE15</f>
        <v>3</v>
      </c>
      <c r="G15" s="904">
        <f>+'95'!AE15</f>
        <v>0</v>
      </c>
      <c r="H15" s="883">
        <f t="shared" si="0"/>
        <v>274</v>
      </c>
      <c r="I15" s="905"/>
      <c r="J15" s="906">
        <f>+H15/H30*100</f>
        <v>1.581073283323716</v>
      </c>
    </row>
    <row r="16" spans="1:10" ht="18" customHeight="1">
      <c r="A16" s="880" t="s">
        <v>202</v>
      </c>
      <c r="B16" s="881" t="s">
        <v>203</v>
      </c>
      <c r="C16" s="882">
        <f>+'91'!AE16</f>
        <v>31</v>
      </c>
      <c r="D16" s="882">
        <f>+'92'!AE16</f>
        <v>13</v>
      </c>
      <c r="E16" s="882">
        <f>+'93'!AE16</f>
        <v>2</v>
      </c>
      <c r="F16" s="882">
        <f>+'94'!AE16</f>
        <v>0</v>
      </c>
      <c r="G16" s="904">
        <f>+'95'!AE16</f>
        <v>0</v>
      </c>
      <c r="H16" s="883">
        <f>SUM(C16:G16)</f>
        <v>46</v>
      </c>
      <c r="I16" s="905"/>
      <c r="J16" s="906">
        <f>+H16/H30*100</f>
        <v>0.2654356607039815</v>
      </c>
    </row>
    <row r="17" spans="1:10" ht="17.25" customHeight="1">
      <c r="A17" s="880" t="s">
        <v>691</v>
      </c>
      <c r="B17" s="881" t="s">
        <v>692</v>
      </c>
      <c r="C17" s="882">
        <f>+'91'!AE17</f>
        <v>953</v>
      </c>
      <c r="D17" s="882">
        <f>+'92'!AE17</f>
        <v>566</v>
      </c>
      <c r="E17" s="882">
        <f>+'93'!AE17</f>
        <v>130</v>
      </c>
      <c r="F17" s="882">
        <f>+'94'!AE17</f>
        <v>79</v>
      </c>
      <c r="G17" s="904">
        <f>+'95'!AE17</f>
        <v>0</v>
      </c>
      <c r="H17" s="883">
        <f t="shared" si="0"/>
        <v>1728</v>
      </c>
      <c r="I17" s="905"/>
      <c r="J17" s="906">
        <f>+H17/H30*100</f>
        <v>9.9711482977495667</v>
      </c>
    </row>
    <row r="18" spans="1:10" ht="17.25" customHeight="1">
      <c r="A18" s="880" t="s">
        <v>695</v>
      </c>
      <c r="B18" s="881" t="s">
        <v>696</v>
      </c>
      <c r="C18" s="882">
        <f>+'91'!AE18</f>
        <v>499</v>
      </c>
      <c r="D18" s="882">
        <f>+'92'!AE18</f>
        <v>337</v>
      </c>
      <c r="E18" s="882">
        <f>+'93'!AE18</f>
        <v>248</v>
      </c>
      <c r="F18" s="882">
        <f>+'94'!AE18</f>
        <v>124</v>
      </c>
      <c r="G18" s="904">
        <f>+'95'!AE18</f>
        <v>1</v>
      </c>
      <c r="H18" s="883">
        <f t="shared" si="0"/>
        <v>1209</v>
      </c>
      <c r="I18" s="905"/>
      <c r="J18" s="906">
        <f>+H18/H30*100</f>
        <v>6.976341604154646</v>
      </c>
    </row>
    <row r="19" spans="1:10" ht="16.5" customHeight="1">
      <c r="A19" s="880" t="s">
        <v>712</v>
      </c>
      <c r="B19" s="881" t="s">
        <v>713</v>
      </c>
      <c r="C19" s="882">
        <f>+'91'!AE19</f>
        <v>1476</v>
      </c>
      <c r="D19" s="882">
        <f>+'92'!AE19</f>
        <v>968</v>
      </c>
      <c r="E19" s="882">
        <f>+'93'!AE19</f>
        <v>59</v>
      </c>
      <c r="F19" s="882">
        <f>+'94'!AE19</f>
        <v>27</v>
      </c>
      <c r="G19" s="904">
        <f>+'95'!AE19</f>
        <v>1</v>
      </c>
      <c r="H19" s="883">
        <f t="shared" si="0"/>
        <v>2531</v>
      </c>
      <c r="I19" s="905"/>
      <c r="J19" s="906">
        <f>+H19/H30*100</f>
        <v>14.604731679169072</v>
      </c>
    </row>
    <row r="20" spans="1:10" ht="17.25" customHeight="1">
      <c r="A20" s="880" t="s">
        <v>204</v>
      </c>
      <c r="B20" s="881" t="s">
        <v>205</v>
      </c>
      <c r="C20" s="882">
        <f>+'91'!AE20</f>
        <v>122</v>
      </c>
      <c r="D20" s="882">
        <f>+'92'!AE20</f>
        <v>79</v>
      </c>
      <c r="E20" s="882">
        <f>+'93'!AE20</f>
        <v>36</v>
      </c>
      <c r="F20" s="882">
        <f>+'94'!AE20</f>
        <v>14</v>
      </c>
      <c r="G20" s="904">
        <f>+'95'!AE20</f>
        <v>0</v>
      </c>
      <c r="H20" s="883">
        <f t="shared" si="0"/>
        <v>251</v>
      </c>
      <c r="I20" s="905"/>
      <c r="J20" s="906">
        <f>+H20/H30*100</f>
        <v>1.4483554529717253</v>
      </c>
    </row>
    <row r="21" spans="1:10" ht="17.25" customHeight="1">
      <c r="A21" s="880" t="s">
        <v>206</v>
      </c>
      <c r="B21" s="881" t="s">
        <v>207</v>
      </c>
      <c r="C21" s="882">
        <f>+'91'!AE21</f>
        <v>100</v>
      </c>
      <c r="D21" s="882">
        <f>+'92'!AE21</f>
        <v>366</v>
      </c>
      <c r="E21" s="882">
        <f>+'93'!AE21</f>
        <v>12</v>
      </c>
      <c r="F21" s="882">
        <f>+'94'!AE21</f>
        <v>8</v>
      </c>
      <c r="G21" s="904">
        <f>+'95'!AE21</f>
        <v>0</v>
      </c>
      <c r="H21" s="883">
        <f t="shared" si="0"/>
        <v>486</v>
      </c>
      <c r="I21" s="905"/>
      <c r="J21" s="906">
        <f>+H21/H30*100</f>
        <v>2.8043854587420656</v>
      </c>
    </row>
    <row r="22" spans="1:10" ht="16.5" customHeight="1">
      <c r="A22" s="880" t="s">
        <v>714</v>
      </c>
      <c r="B22" s="881" t="s">
        <v>715</v>
      </c>
      <c r="C22" s="882">
        <f>+'91'!AE22</f>
        <v>618</v>
      </c>
      <c r="D22" s="882">
        <f>+'92'!AE22</f>
        <v>753</v>
      </c>
      <c r="E22" s="882">
        <f>+'93'!AE22</f>
        <v>116</v>
      </c>
      <c r="F22" s="882">
        <f>+'94'!AE22</f>
        <v>57</v>
      </c>
      <c r="G22" s="904">
        <f>+'95'!AE22</f>
        <v>2</v>
      </c>
      <c r="H22" s="883">
        <f t="shared" si="0"/>
        <v>1546</v>
      </c>
      <c r="I22" s="905"/>
      <c r="J22" s="906">
        <f>+H22/H30*100</f>
        <v>8.9209463358338148</v>
      </c>
    </row>
    <row r="23" spans="1:10" ht="17.25" customHeight="1">
      <c r="A23" s="880" t="s">
        <v>208</v>
      </c>
      <c r="B23" s="881" t="s">
        <v>209</v>
      </c>
      <c r="C23" s="882">
        <f>+'91'!AE23</f>
        <v>2219</v>
      </c>
      <c r="D23" s="882">
        <f>+'92'!AE23</f>
        <v>1180</v>
      </c>
      <c r="E23" s="882">
        <f>+'93'!AE23</f>
        <v>0</v>
      </c>
      <c r="F23" s="882">
        <f>+'94'!AE23</f>
        <v>0</v>
      </c>
      <c r="G23" s="904">
        <f>+'95'!AE23</f>
        <v>0</v>
      </c>
      <c r="H23" s="883">
        <f t="shared" si="0"/>
        <v>3399</v>
      </c>
      <c r="I23" s="905"/>
      <c r="J23" s="906">
        <f>+H23/H30*100</f>
        <v>19.6133871898442</v>
      </c>
    </row>
    <row r="24" spans="1:10" ht="17.25" customHeight="1">
      <c r="A24" s="880" t="s">
        <v>722</v>
      </c>
      <c r="B24" s="881" t="s">
        <v>723</v>
      </c>
      <c r="C24" s="882">
        <f>+'91'!AE24</f>
        <v>284</v>
      </c>
      <c r="D24" s="882">
        <f>+'92'!AE24</f>
        <v>189</v>
      </c>
      <c r="E24" s="882">
        <f>+'93'!AE24</f>
        <v>0</v>
      </c>
      <c r="F24" s="882">
        <f>+'94'!AE24</f>
        <v>0</v>
      </c>
      <c r="G24" s="904">
        <f>+'95'!AE24</f>
        <v>0</v>
      </c>
      <c r="H24" s="883">
        <f t="shared" si="0"/>
        <v>473</v>
      </c>
      <c r="I24" s="905"/>
      <c r="J24" s="906">
        <f>+H24/H30*100</f>
        <v>2.7293710328909406</v>
      </c>
    </row>
    <row r="25" spans="1:10" ht="18" customHeight="1">
      <c r="A25" s="880" t="s">
        <v>724</v>
      </c>
      <c r="B25" s="881" t="s">
        <v>725</v>
      </c>
      <c r="C25" s="882">
        <f>+'91'!AE25</f>
        <v>91</v>
      </c>
      <c r="D25" s="882">
        <f>+'92'!AE25</f>
        <v>26</v>
      </c>
      <c r="E25" s="882">
        <f>+'93'!AE25</f>
        <v>0</v>
      </c>
      <c r="F25" s="882">
        <f>+'94'!AE25</f>
        <v>0</v>
      </c>
      <c r="G25" s="904">
        <f>+'95'!AE25</f>
        <v>0</v>
      </c>
      <c r="H25" s="883">
        <f t="shared" si="0"/>
        <v>117</v>
      </c>
      <c r="I25" s="905"/>
      <c r="J25" s="906">
        <f>+H25/H30*100</f>
        <v>0.67512983266012694</v>
      </c>
    </row>
    <row r="26" spans="1:10" ht="18" customHeight="1">
      <c r="A26" s="880" t="s">
        <v>718</v>
      </c>
      <c r="B26" s="881" t="s">
        <v>738</v>
      </c>
      <c r="C26" s="882">
        <f>+'91'!AE26</f>
        <v>9</v>
      </c>
      <c r="D26" s="882">
        <f>+'92'!AE26</f>
        <v>74</v>
      </c>
      <c r="E26" s="882">
        <f>+'93'!AE26</f>
        <v>36</v>
      </c>
      <c r="F26" s="882">
        <f>+'94'!AE26</f>
        <v>20</v>
      </c>
      <c r="G26" s="904">
        <f>+'95'!AE26</f>
        <v>1</v>
      </c>
      <c r="H26" s="883">
        <f t="shared" si="0"/>
        <v>140</v>
      </c>
      <c r="I26" s="905"/>
      <c r="J26" s="906">
        <f>+H26/H30*100</f>
        <v>0.80784766301211763</v>
      </c>
    </row>
    <row r="27" spans="1:10" ht="18" customHeight="1">
      <c r="A27" s="880" t="s">
        <v>710</v>
      </c>
      <c r="B27" s="884" t="s">
        <v>210</v>
      </c>
      <c r="C27" s="882">
        <f>+'91'!AE27</f>
        <v>609</v>
      </c>
      <c r="D27" s="882">
        <f>+'92'!AE27</f>
        <v>1244</v>
      </c>
      <c r="E27" s="882">
        <f>+'93'!AE27</f>
        <v>80</v>
      </c>
      <c r="F27" s="882">
        <f>+'94'!AE27</f>
        <v>45</v>
      </c>
      <c r="G27" s="904">
        <f>+'95'!AE27</f>
        <v>1</v>
      </c>
      <c r="H27" s="883">
        <f t="shared" ref="H27:H28" si="1">SUM(C27:G27)</f>
        <v>1979</v>
      </c>
      <c r="I27" s="905"/>
      <c r="J27" s="906">
        <f>+H27/H30*100</f>
        <v>11.419503750721292</v>
      </c>
    </row>
    <row r="28" spans="1:10" ht="18" customHeight="1">
      <c r="A28" s="245" t="s">
        <v>1660</v>
      </c>
      <c r="B28" s="293" t="s">
        <v>1662</v>
      </c>
      <c r="C28" s="882">
        <f>+'91'!AE28</f>
        <v>288</v>
      </c>
      <c r="D28" s="882">
        <f>+'92'!AE28</f>
        <v>202</v>
      </c>
      <c r="E28" s="882">
        <f>+'93'!AE28</f>
        <v>56</v>
      </c>
      <c r="F28" s="882">
        <f>+'94'!AE28</f>
        <v>75</v>
      </c>
      <c r="G28" s="904">
        <f>+'95'!AE28</f>
        <v>4</v>
      </c>
      <c r="H28" s="883">
        <f t="shared" si="1"/>
        <v>625</v>
      </c>
      <c r="I28" s="905"/>
      <c r="J28" s="906">
        <f>+H28/H30*100</f>
        <v>3.606462781304097</v>
      </c>
    </row>
    <row r="29" spans="1:10" ht="28.5" customHeight="1">
      <c r="A29" s="245" t="s">
        <v>1661</v>
      </c>
      <c r="B29" s="293" t="s">
        <v>1663</v>
      </c>
      <c r="C29" s="882">
        <f>+'91'!AE29</f>
        <v>2</v>
      </c>
      <c r="D29" s="882">
        <f>+'92'!AE29</f>
        <v>12</v>
      </c>
      <c r="E29" s="882">
        <f>+'93'!AE29</f>
        <v>17</v>
      </c>
      <c r="F29" s="882">
        <f>+'94'!AE29</f>
        <v>14</v>
      </c>
      <c r="G29" s="904">
        <f>+'95'!AE29</f>
        <v>2</v>
      </c>
      <c r="H29" s="883">
        <f t="shared" si="0"/>
        <v>47</v>
      </c>
      <c r="I29" s="905"/>
      <c r="J29" s="906">
        <f>+H29/H30*100</f>
        <v>0.27120600115406807</v>
      </c>
    </row>
    <row r="30" spans="1:10" ht="21.75" customHeight="1">
      <c r="A30" s="885"/>
      <c r="B30" s="885" t="s">
        <v>517</v>
      </c>
      <c r="C30" s="886">
        <f t="shared" ref="C30:H30" si="2">SUM(C10:C29)</f>
        <v>8460</v>
      </c>
      <c r="D30" s="886">
        <f t="shared" si="2"/>
        <v>6807</v>
      </c>
      <c r="E30" s="886">
        <f t="shared" si="2"/>
        <v>1025</v>
      </c>
      <c r="F30" s="886">
        <f t="shared" si="2"/>
        <v>578</v>
      </c>
      <c r="G30" s="886">
        <f t="shared" si="2"/>
        <v>460</v>
      </c>
      <c r="H30" s="887">
        <f t="shared" si="2"/>
        <v>17330</v>
      </c>
      <c r="I30" s="905"/>
      <c r="J30" s="907">
        <f>SUM(J10:J29)</f>
        <v>100.00000000000001</v>
      </c>
    </row>
    <row r="37" ht="18.75" customHeight="1"/>
    <row r="38" ht="23.25" customHeight="1"/>
  </sheetData>
  <phoneticPr fontId="19" type="noConversion"/>
  <pageMargins left="1.7716535433070868" right="0.78740157480314965" top="0.78740157480314965" bottom="0.59055118110236227" header="0.51181102362204722" footer="0.51181102362204722"/>
  <pageSetup paperSize="5" scale="95"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3"/>
  <sheetViews>
    <sheetView zoomScale="75" workbookViewId="0">
      <selection activeCell="A27" sqref="A27:B29"/>
    </sheetView>
  </sheetViews>
  <sheetFormatPr baseColWidth="10" defaultColWidth="11.44140625" defaultRowHeight="13.2"/>
  <cols>
    <col min="1" max="1" width="9.44140625" style="897" customWidth="1"/>
    <col min="2" max="2" width="28.77734375" style="897" customWidth="1"/>
    <col min="3" max="4" width="11.44140625" style="897"/>
    <col min="5" max="6" width="9.77734375" style="897" customWidth="1"/>
    <col min="7" max="8" width="10.77734375" style="897" customWidth="1"/>
    <col min="9" max="10" width="9.21875" style="897" customWidth="1"/>
    <col min="11" max="14" width="9.5546875" style="897" customWidth="1"/>
    <col min="15" max="18" width="9.21875" style="897" customWidth="1"/>
    <col min="19" max="22" width="9.77734375" style="897" customWidth="1"/>
    <col min="23" max="24" width="10" style="897" customWidth="1"/>
    <col min="25" max="31" width="8.5546875" style="897" customWidth="1"/>
    <col min="32" max="39" width="8.21875" style="897" customWidth="1"/>
    <col min="40" max="16384" width="11.44140625" style="897"/>
  </cols>
  <sheetData>
    <row r="1" spans="1:33">
      <c r="A1" s="908" t="s">
        <v>195</v>
      </c>
      <c r="B1" s="908"/>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row>
    <row r="2" spans="1:33">
      <c r="A2" s="908"/>
      <c r="B2" s="908"/>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row>
    <row r="3" spans="1:33">
      <c r="A3" s="908" t="str">
        <f>+'89'!A3</f>
        <v>SERVICIO DE SALUD   ACONCAGUA   2020</v>
      </c>
      <c r="B3" s="908"/>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row>
    <row r="4" spans="1:33">
      <c r="A4" s="908"/>
      <c r="B4" s="908"/>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row>
    <row r="5" spans="1:33">
      <c r="A5" s="908" t="s">
        <v>215</v>
      </c>
      <c r="B5" s="908"/>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row>
    <row r="6" spans="1:33">
      <c r="A6" s="909"/>
    </row>
    <row r="7" spans="1:33" ht="18.75" customHeight="1">
      <c r="A7" s="1299" t="s">
        <v>680</v>
      </c>
      <c r="B7" s="868"/>
      <c r="C7" s="869"/>
      <c r="D7" s="869"/>
      <c r="E7" s="869"/>
      <c r="F7" s="870" t="s">
        <v>681</v>
      </c>
      <c r="G7" s="870"/>
      <c r="H7" s="870"/>
      <c r="I7" s="870"/>
      <c r="J7" s="870"/>
      <c r="K7" s="870"/>
      <c r="L7" s="870"/>
      <c r="M7" s="870"/>
      <c r="N7" s="870"/>
      <c r="O7" s="870"/>
      <c r="P7" s="870"/>
      <c r="Q7" s="870"/>
      <c r="R7" s="870"/>
      <c r="S7" s="870"/>
      <c r="T7" s="870"/>
      <c r="U7" s="870"/>
      <c r="V7" s="870"/>
      <c r="W7" s="870"/>
      <c r="X7" s="870"/>
      <c r="Y7" s="870"/>
      <c r="Z7" s="870"/>
      <c r="AA7" s="870"/>
      <c r="AB7" s="870"/>
      <c r="AC7" s="870"/>
      <c r="AD7" s="870"/>
      <c r="AE7" s="871"/>
    </row>
    <row r="8" spans="1:33" ht="23.25" customHeight="1">
      <c r="A8" s="1300" t="s">
        <v>682</v>
      </c>
      <c r="B8" s="1337" t="s">
        <v>683</v>
      </c>
      <c r="C8" s="1701" t="s">
        <v>684</v>
      </c>
      <c r="D8" s="1702"/>
      <c r="E8" s="1703" t="s">
        <v>630</v>
      </c>
      <c r="F8" s="1700"/>
      <c r="G8" s="1291" t="s">
        <v>685</v>
      </c>
      <c r="H8" s="1291"/>
      <c r="I8" s="1291" t="s">
        <v>686</v>
      </c>
      <c r="J8" s="1291"/>
      <c r="K8" s="1291" t="s">
        <v>429</v>
      </c>
      <c r="L8" s="1291"/>
      <c r="M8" s="1704" t="s">
        <v>687</v>
      </c>
      <c r="N8" s="1705"/>
      <c r="O8" s="1291" t="s">
        <v>688</v>
      </c>
      <c r="P8" s="1291"/>
      <c r="Q8" s="1291" t="s">
        <v>393</v>
      </c>
      <c r="R8" s="1291"/>
      <c r="S8" s="1291" t="s">
        <v>411</v>
      </c>
      <c r="T8" s="1291"/>
      <c r="U8" s="1291" t="s">
        <v>416</v>
      </c>
      <c r="V8" s="1291"/>
      <c r="W8" s="1291" t="s">
        <v>689</v>
      </c>
      <c r="X8" s="1291"/>
      <c r="Y8" s="1291" t="s">
        <v>418</v>
      </c>
      <c r="Z8" s="1291"/>
      <c r="AA8" s="1291" t="s">
        <v>690</v>
      </c>
      <c r="AB8" s="876"/>
      <c r="AC8" s="1706" t="s">
        <v>517</v>
      </c>
      <c r="AD8" s="1707"/>
      <c r="AE8" s="1703"/>
    </row>
    <row r="9" spans="1:33" ht="13.8" thickBot="1">
      <c r="A9" s="1302"/>
      <c r="B9" s="1338"/>
      <c r="C9" s="1348" t="s">
        <v>1461</v>
      </c>
      <c r="D9" s="871" t="s">
        <v>1462</v>
      </c>
      <c r="E9" s="1317" t="s">
        <v>1461</v>
      </c>
      <c r="F9" s="1318" t="s">
        <v>1462</v>
      </c>
      <c r="G9" s="1316" t="s">
        <v>1461</v>
      </c>
      <c r="H9" s="1318" t="s">
        <v>1462</v>
      </c>
      <c r="I9" s="1317" t="s">
        <v>1461</v>
      </c>
      <c r="J9" s="1318" t="s">
        <v>1462</v>
      </c>
      <c r="K9" s="1317" t="s">
        <v>1461</v>
      </c>
      <c r="L9" s="1318" t="s">
        <v>1462</v>
      </c>
      <c r="M9" s="1348" t="s">
        <v>1461</v>
      </c>
      <c r="N9" s="871" t="s">
        <v>1462</v>
      </c>
      <c r="O9" s="1316" t="s">
        <v>1461</v>
      </c>
      <c r="P9" s="1318" t="s">
        <v>1462</v>
      </c>
      <c r="Q9" s="1317" t="s">
        <v>1461</v>
      </c>
      <c r="R9" s="1317" t="s">
        <v>1462</v>
      </c>
      <c r="S9" s="1316" t="s">
        <v>1461</v>
      </c>
      <c r="T9" s="1318" t="s">
        <v>1462</v>
      </c>
      <c r="U9" s="1317" t="s">
        <v>1461</v>
      </c>
      <c r="V9" s="1318" t="s">
        <v>1462</v>
      </c>
      <c r="W9" s="1317" t="s">
        <v>1461</v>
      </c>
      <c r="X9" s="1317" t="s">
        <v>1462</v>
      </c>
      <c r="Y9" s="1316" t="s">
        <v>1461</v>
      </c>
      <c r="Z9" s="1318" t="s">
        <v>1462</v>
      </c>
      <c r="AA9" s="1317" t="s">
        <v>1461</v>
      </c>
      <c r="AB9" s="1318" t="s">
        <v>1462</v>
      </c>
      <c r="AC9" s="1348" t="s">
        <v>1461</v>
      </c>
      <c r="AD9" s="871" t="s">
        <v>1462</v>
      </c>
      <c r="AE9" s="899" t="s">
        <v>491</v>
      </c>
    </row>
    <row r="10" spans="1:33" ht="18" customHeight="1">
      <c r="A10" s="880" t="s">
        <v>716</v>
      </c>
      <c r="B10" s="881" t="s">
        <v>717</v>
      </c>
      <c r="C10" s="1330">
        <f t="shared" ref="C10:D13" si="0">+E10+G10+I10+K10</f>
        <v>8</v>
      </c>
      <c r="D10" s="1331">
        <f t="shared" si="0"/>
        <v>3</v>
      </c>
      <c r="E10" s="911">
        <v>4</v>
      </c>
      <c r="F10" s="911">
        <v>2</v>
      </c>
      <c r="G10" s="1309">
        <v>2</v>
      </c>
      <c r="H10" s="1341">
        <v>1</v>
      </c>
      <c r="I10" s="1309">
        <v>2</v>
      </c>
      <c r="J10" s="1341"/>
      <c r="K10" s="911"/>
      <c r="L10" s="911"/>
      <c r="M10" s="1322">
        <f>+O10+Q10+S10+U10+W10+Y10</f>
        <v>50</v>
      </c>
      <c r="N10" s="1323">
        <f>+P10+R10+T10+V10+X10+Z10</f>
        <v>45</v>
      </c>
      <c r="O10" s="913">
        <v>29</v>
      </c>
      <c r="P10" s="913">
        <v>28</v>
      </c>
      <c r="Q10" s="1347">
        <v>6</v>
      </c>
      <c r="R10" s="871"/>
      <c r="S10" s="913">
        <v>8</v>
      </c>
      <c r="T10" s="913">
        <v>6</v>
      </c>
      <c r="U10" s="1347">
        <v>1</v>
      </c>
      <c r="V10" s="871">
        <v>2</v>
      </c>
      <c r="W10" s="913">
        <v>3</v>
      </c>
      <c r="X10" s="913">
        <v>6</v>
      </c>
      <c r="Y10" s="1347">
        <v>3</v>
      </c>
      <c r="Z10" s="871">
        <v>3</v>
      </c>
      <c r="AA10" s="913">
        <v>9</v>
      </c>
      <c r="AB10" s="913">
        <v>8</v>
      </c>
      <c r="AC10" s="1322">
        <f t="shared" ref="AC10:AD13" si="1">+M10+C10+AA10</f>
        <v>67</v>
      </c>
      <c r="AD10" s="1323">
        <f t="shared" si="1"/>
        <v>56</v>
      </c>
      <c r="AE10" s="1334">
        <f t="shared" ref="AE10:AE13" si="2">SUM(AC10:AD10)</f>
        <v>123</v>
      </c>
    </row>
    <row r="11" spans="1:33" ht="20.25" customHeight="1">
      <c r="A11" s="880" t="s">
        <v>693</v>
      </c>
      <c r="B11" s="881" t="s">
        <v>694</v>
      </c>
      <c r="C11" s="1332">
        <f t="shared" si="0"/>
        <v>9</v>
      </c>
      <c r="D11" s="1333">
        <f t="shared" si="0"/>
        <v>34</v>
      </c>
      <c r="E11" s="911">
        <v>1</v>
      </c>
      <c r="F11" s="911">
        <v>28</v>
      </c>
      <c r="G11" s="1293">
        <v>5</v>
      </c>
      <c r="H11" s="937">
        <v>2</v>
      </c>
      <c r="I11" s="1293">
        <v>1</v>
      </c>
      <c r="J11" s="937">
        <v>3</v>
      </c>
      <c r="K11" s="911">
        <v>2</v>
      </c>
      <c r="L11" s="911">
        <v>1</v>
      </c>
      <c r="M11" s="1324">
        <f t="shared" ref="M11:N26" si="3">+O11+Q11+S11+U11+W11+Y11</f>
        <v>127</v>
      </c>
      <c r="N11" s="1325">
        <f t="shared" si="3"/>
        <v>285</v>
      </c>
      <c r="O11" s="913">
        <v>75</v>
      </c>
      <c r="P11" s="913">
        <v>151</v>
      </c>
      <c r="Q11" s="929">
        <v>2</v>
      </c>
      <c r="R11" s="930">
        <v>21</v>
      </c>
      <c r="S11" s="913">
        <v>9</v>
      </c>
      <c r="T11" s="913">
        <v>31</v>
      </c>
      <c r="U11" s="929">
        <v>9</v>
      </c>
      <c r="V11" s="930">
        <v>24</v>
      </c>
      <c r="W11" s="913">
        <v>16</v>
      </c>
      <c r="X11" s="913">
        <v>36</v>
      </c>
      <c r="Y11" s="929">
        <v>16</v>
      </c>
      <c r="Z11" s="930">
        <v>22</v>
      </c>
      <c r="AA11" s="913">
        <v>23</v>
      </c>
      <c r="AB11" s="913">
        <v>30</v>
      </c>
      <c r="AC11" s="1324">
        <f t="shared" si="1"/>
        <v>159</v>
      </c>
      <c r="AD11" s="1325">
        <f t="shared" si="1"/>
        <v>349</v>
      </c>
      <c r="AE11" s="1335">
        <f t="shared" si="2"/>
        <v>508</v>
      </c>
      <c r="AF11" s="896"/>
      <c r="AG11" s="896"/>
    </row>
    <row r="12" spans="1:33" ht="19.5" customHeight="1">
      <c r="A12" s="880" t="s">
        <v>196</v>
      </c>
      <c r="B12" s="881" t="s">
        <v>197</v>
      </c>
      <c r="C12" s="1332">
        <f t="shared" si="0"/>
        <v>1</v>
      </c>
      <c r="D12" s="1333">
        <f t="shared" si="0"/>
        <v>6</v>
      </c>
      <c r="E12" s="911">
        <v>1</v>
      </c>
      <c r="F12" s="911">
        <v>5</v>
      </c>
      <c r="G12" s="1293"/>
      <c r="H12" s="937">
        <v>1</v>
      </c>
      <c r="I12" s="1293"/>
      <c r="J12" s="937"/>
      <c r="K12" s="911"/>
      <c r="L12" s="911"/>
      <c r="M12" s="1324">
        <f t="shared" si="3"/>
        <v>27</v>
      </c>
      <c r="N12" s="1325">
        <f t="shared" si="3"/>
        <v>34</v>
      </c>
      <c r="O12" s="913">
        <v>22</v>
      </c>
      <c r="P12" s="913">
        <v>13</v>
      </c>
      <c r="Q12" s="929">
        <v>2</v>
      </c>
      <c r="R12" s="930">
        <v>2</v>
      </c>
      <c r="S12" s="913"/>
      <c r="T12" s="913">
        <v>2</v>
      </c>
      <c r="U12" s="929"/>
      <c r="V12" s="930">
        <v>6</v>
      </c>
      <c r="W12" s="913">
        <v>2</v>
      </c>
      <c r="X12" s="913">
        <v>7</v>
      </c>
      <c r="Y12" s="929">
        <v>1</v>
      </c>
      <c r="Z12" s="930">
        <v>4</v>
      </c>
      <c r="AA12" s="913">
        <v>3</v>
      </c>
      <c r="AB12" s="913">
        <v>1</v>
      </c>
      <c r="AC12" s="1324">
        <f t="shared" si="1"/>
        <v>31</v>
      </c>
      <c r="AD12" s="1325">
        <f t="shared" si="1"/>
        <v>41</v>
      </c>
      <c r="AE12" s="1335">
        <f t="shared" si="2"/>
        <v>72</v>
      </c>
      <c r="AF12" s="896"/>
    </row>
    <row r="13" spans="1:33" ht="20.25" customHeight="1">
      <c r="A13" s="880" t="s">
        <v>720</v>
      </c>
      <c r="B13" s="881" t="s">
        <v>721</v>
      </c>
      <c r="C13" s="1332">
        <f t="shared" si="0"/>
        <v>5</v>
      </c>
      <c r="D13" s="1333">
        <f t="shared" si="0"/>
        <v>11</v>
      </c>
      <c r="E13" s="911">
        <v>5</v>
      </c>
      <c r="F13" s="911">
        <v>9</v>
      </c>
      <c r="G13" s="1293"/>
      <c r="H13" s="937">
        <v>2</v>
      </c>
      <c r="I13" s="1293"/>
      <c r="J13" s="937"/>
      <c r="K13" s="911"/>
      <c r="L13" s="911"/>
      <c r="M13" s="1324">
        <f t="shared" si="3"/>
        <v>91</v>
      </c>
      <c r="N13" s="1325">
        <f t="shared" si="3"/>
        <v>75</v>
      </c>
      <c r="O13" s="913">
        <v>55</v>
      </c>
      <c r="P13" s="913">
        <v>41</v>
      </c>
      <c r="Q13" s="929">
        <v>4</v>
      </c>
      <c r="R13" s="930">
        <v>13</v>
      </c>
      <c r="S13" s="913">
        <v>10</v>
      </c>
      <c r="T13" s="913">
        <v>8</v>
      </c>
      <c r="U13" s="929">
        <v>3</v>
      </c>
      <c r="V13" s="930">
        <v>2</v>
      </c>
      <c r="W13" s="913">
        <v>9</v>
      </c>
      <c r="X13" s="913">
        <v>5</v>
      </c>
      <c r="Y13" s="929">
        <v>10</v>
      </c>
      <c r="Z13" s="930">
        <v>6</v>
      </c>
      <c r="AA13" s="913">
        <v>5</v>
      </c>
      <c r="AB13" s="913">
        <v>19</v>
      </c>
      <c r="AC13" s="1324">
        <f t="shared" si="1"/>
        <v>101</v>
      </c>
      <c r="AD13" s="1325">
        <f t="shared" si="1"/>
        <v>105</v>
      </c>
      <c r="AE13" s="1335">
        <f t="shared" si="2"/>
        <v>206</v>
      </c>
      <c r="AF13" s="896"/>
    </row>
    <row r="14" spans="1:33" ht="19.5" customHeight="1">
      <c r="A14" s="880" t="s">
        <v>198</v>
      </c>
      <c r="B14" s="881" t="s">
        <v>199</v>
      </c>
      <c r="C14" s="1332">
        <f>+E14+G14+I14+K14</f>
        <v>4</v>
      </c>
      <c r="D14" s="1333">
        <f>+F14+H14+J14+L14</f>
        <v>4</v>
      </c>
      <c r="E14" s="913">
        <v>4</v>
      </c>
      <c r="F14" s="913">
        <v>4</v>
      </c>
      <c r="G14" s="929"/>
      <c r="H14" s="930"/>
      <c r="I14" s="929"/>
      <c r="J14" s="930"/>
      <c r="K14" s="913"/>
      <c r="L14" s="913"/>
      <c r="M14" s="1324">
        <f t="shared" si="3"/>
        <v>10</v>
      </c>
      <c r="N14" s="1325">
        <f t="shared" si="3"/>
        <v>5</v>
      </c>
      <c r="O14" s="913">
        <v>9</v>
      </c>
      <c r="P14" s="913">
        <v>3</v>
      </c>
      <c r="Q14" s="929"/>
      <c r="R14" s="930"/>
      <c r="S14" s="913"/>
      <c r="T14" s="913">
        <v>1</v>
      </c>
      <c r="U14" s="929">
        <v>1</v>
      </c>
      <c r="V14" s="930"/>
      <c r="W14" s="913"/>
      <c r="X14" s="913">
        <v>1</v>
      </c>
      <c r="Y14" s="929"/>
      <c r="Z14" s="930"/>
      <c r="AA14" s="913"/>
      <c r="AB14" s="913">
        <v>4</v>
      </c>
      <c r="AC14" s="1324">
        <f>+M14+C14+AA14</f>
        <v>14</v>
      </c>
      <c r="AD14" s="1325">
        <f>+N14+D14+AB14</f>
        <v>13</v>
      </c>
      <c r="AE14" s="1335">
        <f>SUM(AC14:AD14)</f>
        <v>27</v>
      </c>
      <c r="AF14" s="896"/>
    </row>
    <row r="15" spans="1:33" ht="19.5" customHeight="1">
      <c r="A15" s="880" t="s">
        <v>200</v>
      </c>
      <c r="B15" s="881" t="s">
        <v>201</v>
      </c>
      <c r="C15" s="1332">
        <f t="shared" ref="C15:D29" si="4">+E15+G15+I15+K15</f>
        <v>10</v>
      </c>
      <c r="D15" s="1333">
        <f t="shared" si="4"/>
        <v>10</v>
      </c>
      <c r="E15" s="913">
        <v>6</v>
      </c>
      <c r="F15" s="913">
        <v>7</v>
      </c>
      <c r="G15" s="929">
        <v>1</v>
      </c>
      <c r="H15" s="930"/>
      <c r="I15" s="929">
        <v>2</v>
      </c>
      <c r="J15" s="930">
        <v>1</v>
      </c>
      <c r="K15" s="913">
        <v>1</v>
      </c>
      <c r="L15" s="913">
        <v>2</v>
      </c>
      <c r="M15" s="1324">
        <f t="shared" si="3"/>
        <v>90</v>
      </c>
      <c r="N15" s="1325">
        <f t="shared" si="3"/>
        <v>80</v>
      </c>
      <c r="O15" s="913">
        <v>51</v>
      </c>
      <c r="P15" s="913">
        <v>54</v>
      </c>
      <c r="Q15" s="929">
        <v>9</v>
      </c>
      <c r="R15" s="930">
        <v>5</v>
      </c>
      <c r="S15" s="913">
        <v>7</v>
      </c>
      <c r="T15" s="913">
        <v>5</v>
      </c>
      <c r="U15" s="929">
        <v>6</v>
      </c>
      <c r="V15" s="930">
        <v>3</v>
      </c>
      <c r="W15" s="913">
        <v>15</v>
      </c>
      <c r="X15" s="913">
        <v>10</v>
      </c>
      <c r="Y15" s="929">
        <v>2</v>
      </c>
      <c r="Z15" s="930">
        <v>3</v>
      </c>
      <c r="AA15" s="913">
        <v>27</v>
      </c>
      <c r="AB15" s="913">
        <v>6</v>
      </c>
      <c r="AC15" s="1324">
        <f t="shared" ref="AC15:AD29" si="5">+M15+C15+AA15</f>
        <v>127</v>
      </c>
      <c r="AD15" s="1325">
        <f t="shared" si="5"/>
        <v>96</v>
      </c>
      <c r="AE15" s="1335">
        <f t="shared" ref="AE15:AE25" si="6">SUM(AC15:AD15)</f>
        <v>223</v>
      </c>
      <c r="AF15" s="896"/>
    </row>
    <row r="16" spans="1:33" ht="19.5" customHeight="1">
      <c r="A16" s="880" t="s">
        <v>202</v>
      </c>
      <c r="B16" s="881" t="s">
        <v>203</v>
      </c>
      <c r="C16" s="1332">
        <f t="shared" si="4"/>
        <v>2</v>
      </c>
      <c r="D16" s="1333">
        <f t="shared" si="4"/>
        <v>5</v>
      </c>
      <c r="E16" s="913">
        <v>1</v>
      </c>
      <c r="F16" s="913">
        <v>3</v>
      </c>
      <c r="G16" s="929"/>
      <c r="H16" s="930">
        <v>1</v>
      </c>
      <c r="I16" s="929">
        <v>1</v>
      </c>
      <c r="J16" s="930">
        <v>1</v>
      </c>
      <c r="K16" s="913"/>
      <c r="L16" s="913"/>
      <c r="M16" s="1324">
        <f t="shared" si="3"/>
        <v>12</v>
      </c>
      <c r="N16" s="1325">
        <f t="shared" si="3"/>
        <v>8</v>
      </c>
      <c r="O16" s="913">
        <v>7</v>
      </c>
      <c r="P16" s="913">
        <v>5</v>
      </c>
      <c r="Q16" s="929">
        <v>1</v>
      </c>
      <c r="R16" s="930">
        <v>1</v>
      </c>
      <c r="S16" s="913">
        <v>2</v>
      </c>
      <c r="T16" s="913"/>
      <c r="U16" s="929"/>
      <c r="V16" s="930"/>
      <c r="W16" s="913">
        <v>2</v>
      </c>
      <c r="X16" s="913">
        <v>2</v>
      </c>
      <c r="Y16" s="929"/>
      <c r="Z16" s="930"/>
      <c r="AA16" s="913">
        <v>1</v>
      </c>
      <c r="AB16" s="913">
        <v>3</v>
      </c>
      <c r="AC16" s="1324">
        <f t="shared" si="5"/>
        <v>15</v>
      </c>
      <c r="AD16" s="1325">
        <f t="shared" si="5"/>
        <v>16</v>
      </c>
      <c r="AE16" s="1335">
        <f t="shared" si="6"/>
        <v>31</v>
      </c>
      <c r="AF16" s="896"/>
    </row>
    <row r="17" spans="1:32" ht="20.25" customHeight="1">
      <c r="A17" s="880" t="s">
        <v>691</v>
      </c>
      <c r="B17" s="881" t="s">
        <v>692</v>
      </c>
      <c r="C17" s="1332">
        <f t="shared" si="4"/>
        <v>32</v>
      </c>
      <c r="D17" s="1333">
        <f t="shared" si="4"/>
        <v>39</v>
      </c>
      <c r="E17" s="913">
        <v>19</v>
      </c>
      <c r="F17" s="913">
        <v>29</v>
      </c>
      <c r="G17" s="929">
        <v>7</v>
      </c>
      <c r="H17" s="930">
        <v>2</v>
      </c>
      <c r="I17" s="929">
        <v>3</v>
      </c>
      <c r="J17" s="930">
        <v>7</v>
      </c>
      <c r="K17" s="913">
        <v>3</v>
      </c>
      <c r="L17" s="913">
        <v>1</v>
      </c>
      <c r="M17" s="1324">
        <f t="shared" si="3"/>
        <v>453</v>
      </c>
      <c r="N17" s="1325">
        <f t="shared" si="3"/>
        <v>329</v>
      </c>
      <c r="O17" s="913">
        <v>247</v>
      </c>
      <c r="P17" s="913">
        <v>185</v>
      </c>
      <c r="Q17" s="929">
        <v>49</v>
      </c>
      <c r="R17" s="930">
        <v>34</v>
      </c>
      <c r="S17" s="913">
        <v>45</v>
      </c>
      <c r="T17" s="913">
        <v>33</v>
      </c>
      <c r="U17" s="929">
        <v>19</v>
      </c>
      <c r="V17" s="930">
        <v>12</v>
      </c>
      <c r="W17" s="913">
        <v>63</v>
      </c>
      <c r="X17" s="913">
        <v>40</v>
      </c>
      <c r="Y17" s="929">
        <v>30</v>
      </c>
      <c r="Z17" s="930">
        <v>25</v>
      </c>
      <c r="AA17" s="913">
        <v>66</v>
      </c>
      <c r="AB17" s="913">
        <v>34</v>
      </c>
      <c r="AC17" s="1324">
        <f t="shared" si="5"/>
        <v>551</v>
      </c>
      <c r="AD17" s="1325">
        <f t="shared" si="5"/>
        <v>402</v>
      </c>
      <c r="AE17" s="1335">
        <f t="shared" si="6"/>
        <v>953</v>
      </c>
      <c r="AF17" s="896"/>
    </row>
    <row r="18" spans="1:32" ht="19.5" customHeight="1">
      <c r="A18" s="880" t="s">
        <v>695</v>
      </c>
      <c r="B18" s="881" t="s">
        <v>696</v>
      </c>
      <c r="C18" s="1332">
        <f t="shared" si="4"/>
        <v>29</v>
      </c>
      <c r="D18" s="1333">
        <f t="shared" si="4"/>
        <v>12</v>
      </c>
      <c r="E18" s="913">
        <v>20</v>
      </c>
      <c r="F18" s="913">
        <v>6</v>
      </c>
      <c r="G18" s="929">
        <v>2</v>
      </c>
      <c r="H18" s="930">
        <v>3</v>
      </c>
      <c r="I18" s="929">
        <v>4</v>
      </c>
      <c r="J18" s="930">
        <v>1</v>
      </c>
      <c r="K18" s="913">
        <v>3</v>
      </c>
      <c r="L18" s="913">
        <v>2</v>
      </c>
      <c r="M18" s="1324">
        <f t="shared" si="3"/>
        <v>194</v>
      </c>
      <c r="N18" s="1325">
        <f t="shared" si="3"/>
        <v>168</v>
      </c>
      <c r="O18" s="913">
        <v>115</v>
      </c>
      <c r="P18" s="913">
        <v>99</v>
      </c>
      <c r="Q18" s="929">
        <v>12</v>
      </c>
      <c r="R18" s="930">
        <v>16</v>
      </c>
      <c r="S18" s="913">
        <v>24</v>
      </c>
      <c r="T18" s="913">
        <v>17</v>
      </c>
      <c r="U18" s="929">
        <v>7</v>
      </c>
      <c r="V18" s="930">
        <v>5</v>
      </c>
      <c r="W18" s="913">
        <v>23</v>
      </c>
      <c r="X18" s="913">
        <v>23</v>
      </c>
      <c r="Y18" s="929">
        <v>13</v>
      </c>
      <c r="Z18" s="930">
        <v>8</v>
      </c>
      <c r="AA18" s="913">
        <v>46</v>
      </c>
      <c r="AB18" s="913">
        <v>50</v>
      </c>
      <c r="AC18" s="1324">
        <f t="shared" si="5"/>
        <v>269</v>
      </c>
      <c r="AD18" s="1325">
        <f t="shared" si="5"/>
        <v>230</v>
      </c>
      <c r="AE18" s="1335">
        <f t="shared" si="6"/>
        <v>499</v>
      </c>
      <c r="AF18" s="896"/>
    </row>
    <row r="19" spans="1:32" ht="19.5" customHeight="1">
      <c r="A19" s="880" t="s">
        <v>712</v>
      </c>
      <c r="B19" s="881" t="s">
        <v>713</v>
      </c>
      <c r="C19" s="1332">
        <f t="shared" si="4"/>
        <v>59</v>
      </c>
      <c r="D19" s="1333">
        <f t="shared" si="4"/>
        <v>54</v>
      </c>
      <c r="E19" s="913">
        <v>36</v>
      </c>
      <c r="F19" s="913">
        <v>33</v>
      </c>
      <c r="G19" s="929">
        <v>8</v>
      </c>
      <c r="H19" s="930">
        <v>10</v>
      </c>
      <c r="I19" s="929">
        <v>9</v>
      </c>
      <c r="J19" s="930">
        <v>6</v>
      </c>
      <c r="K19" s="913">
        <v>6</v>
      </c>
      <c r="L19" s="913">
        <v>5</v>
      </c>
      <c r="M19" s="1324">
        <f t="shared" si="3"/>
        <v>610</v>
      </c>
      <c r="N19" s="1325">
        <f t="shared" si="3"/>
        <v>605</v>
      </c>
      <c r="O19" s="913">
        <v>321</v>
      </c>
      <c r="P19" s="913">
        <v>322</v>
      </c>
      <c r="Q19" s="929">
        <v>66</v>
      </c>
      <c r="R19" s="930">
        <v>70</v>
      </c>
      <c r="S19" s="913">
        <v>72</v>
      </c>
      <c r="T19" s="913">
        <v>48</v>
      </c>
      <c r="U19" s="929">
        <v>31</v>
      </c>
      <c r="V19" s="930">
        <v>29</v>
      </c>
      <c r="W19" s="913">
        <v>81</v>
      </c>
      <c r="X19" s="913">
        <v>79</v>
      </c>
      <c r="Y19" s="929">
        <v>39</v>
      </c>
      <c r="Z19" s="930">
        <v>57</v>
      </c>
      <c r="AA19" s="913">
        <v>73</v>
      </c>
      <c r="AB19" s="913">
        <v>75</v>
      </c>
      <c r="AC19" s="1324">
        <f t="shared" si="5"/>
        <v>742</v>
      </c>
      <c r="AD19" s="1325">
        <f t="shared" si="5"/>
        <v>734</v>
      </c>
      <c r="AE19" s="1335">
        <f t="shared" si="6"/>
        <v>1476</v>
      </c>
      <c r="AF19" s="896"/>
    </row>
    <row r="20" spans="1:32" ht="18.75" customHeight="1">
      <c r="A20" s="880" t="s">
        <v>204</v>
      </c>
      <c r="B20" s="881" t="s">
        <v>205</v>
      </c>
      <c r="C20" s="1332">
        <f t="shared" si="4"/>
        <v>3</v>
      </c>
      <c r="D20" s="1333">
        <f t="shared" si="4"/>
        <v>2</v>
      </c>
      <c r="E20" s="913">
        <v>3</v>
      </c>
      <c r="F20" s="913">
        <v>1</v>
      </c>
      <c r="G20" s="929"/>
      <c r="H20" s="930"/>
      <c r="I20" s="929"/>
      <c r="J20" s="930"/>
      <c r="K20" s="913"/>
      <c r="L20" s="913">
        <v>1</v>
      </c>
      <c r="M20" s="1324">
        <f t="shared" si="3"/>
        <v>48</v>
      </c>
      <c r="N20" s="1325">
        <f t="shared" si="3"/>
        <v>61</v>
      </c>
      <c r="O20" s="913">
        <v>28</v>
      </c>
      <c r="P20" s="913">
        <v>33</v>
      </c>
      <c r="Q20" s="929">
        <v>3</v>
      </c>
      <c r="R20" s="930">
        <v>3</v>
      </c>
      <c r="S20" s="913">
        <v>7</v>
      </c>
      <c r="T20" s="913">
        <v>15</v>
      </c>
      <c r="U20" s="929">
        <v>4</v>
      </c>
      <c r="V20" s="930">
        <v>2</v>
      </c>
      <c r="W20" s="913">
        <v>2</v>
      </c>
      <c r="X20" s="913">
        <v>3</v>
      </c>
      <c r="Y20" s="929">
        <v>4</v>
      </c>
      <c r="Z20" s="930">
        <v>5</v>
      </c>
      <c r="AA20" s="913">
        <v>5</v>
      </c>
      <c r="AB20" s="913">
        <v>3</v>
      </c>
      <c r="AC20" s="1324">
        <f t="shared" si="5"/>
        <v>56</v>
      </c>
      <c r="AD20" s="1325">
        <f t="shared" si="5"/>
        <v>66</v>
      </c>
      <c r="AE20" s="1335">
        <f t="shared" si="6"/>
        <v>122</v>
      </c>
    </row>
    <row r="21" spans="1:32" ht="19.5" customHeight="1">
      <c r="A21" s="880" t="s">
        <v>206</v>
      </c>
      <c r="B21" s="881" t="s">
        <v>207</v>
      </c>
      <c r="C21" s="1332">
        <f t="shared" si="4"/>
        <v>7</v>
      </c>
      <c r="D21" s="1333">
        <f t="shared" si="4"/>
        <v>15</v>
      </c>
      <c r="E21" s="913">
        <v>4</v>
      </c>
      <c r="F21" s="913">
        <v>10</v>
      </c>
      <c r="G21" s="929"/>
      <c r="H21" s="930">
        <v>4</v>
      </c>
      <c r="I21" s="929">
        <v>2</v>
      </c>
      <c r="J21" s="930">
        <v>1</v>
      </c>
      <c r="K21" s="913">
        <v>1</v>
      </c>
      <c r="L21" s="913"/>
      <c r="M21" s="1324">
        <f t="shared" si="3"/>
        <v>25</v>
      </c>
      <c r="N21" s="1325">
        <f t="shared" si="3"/>
        <v>41</v>
      </c>
      <c r="O21" s="913">
        <v>13</v>
      </c>
      <c r="P21" s="913">
        <v>19</v>
      </c>
      <c r="Q21" s="929">
        <v>1</v>
      </c>
      <c r="R21" s="930">
        <v>9</v>
      </c>
      <c r="S21" s="913">
        <v>5</v>
      </c>
      <c r="T21" s="913">
        <v>3</v>
      </c>
      <c r="U21" s="929">
        <v>1</v>
      </c>
      <c r="V21" s="930">
        <v>2</v>
      </c>
      <c r="W21" s="913">
        <v>4</v>
      </c>
      <c r="X21" s="913">
        <v>5</v>
      </c>
      <c r="Y21" s="929">
        <v>1</v>
      </c>
      <c r="Z21" s="930">
        <v>3</v>
      </c>
      <c r="AA21" s="913">
        <v>9</v>
      </c>
      <c r="AB21" s="913">
        <v>3</v>
      </c>
      <c r="AC21" s="1324">
        <f t="shared" si="5"/>
        <v>41</v>
      </c>
      <c r="AD21" s="1325">
        <f t="shared" si="5"/>
        <v>59</v>
      </c>
      <c r="AE21" s="1335">
        <f t="shared" si="6"/>
        <v>100</v>
      </c>
    </row>
    <row r="22" spans="1:32" ht="19.5" customHeight="1">
      <c r="A22" s="880" t="s">
        <v>714</v>
      </c>
      <c r="B22" s="881" t="s">
        <v>715</v>
      </c>
      <c r="C22" s="1332">
        <f t="shared" si="4"/>
        <v>19</v>
      </c>
      <c r="D22" s="1333">
        <f t="shared" si="4"/>
        <v>15</v>
      </c>
      <c r="E22" s="913">
        <v>13</v>
      </c>
      <c r="F22" s="913">
        <v>7</v>
      </c>
      <c r="G22" s="929">
        <v>4</v>
      </c>
      <c r="H22" s="930">
        <v>2</v>
      </c>
      <c r="I22" s="929">
        <v>1</v>
      </c>
      <c r="J22" s="930">
        <v>4</v>
      </c>
      <c r="K22" s="913">
        <v>1</v>
      </c>
      <c r="L22" s="913">
        <v>2</v>
      </c>
      <c r="M22" s="1324">
        <f t="shared" si="3"/>
        <v>213</v>
      </c>
      <c r="N22" s="1325">
        <f t="shared" si="3"/>
        <v>281</v>
      </c>
      <c r="O22" s="913">
        <v>131</v>
      </c>
      <c r="P22" s="913">
        <v>186</v>
      </c>
      <c r="Q22" s="929">
        <v>17</v>
      </c>
      <c r="R22" s="930">
        <v>22</v>
      </c>
      <c r="S22" s="913">
        <v>20</v>
      </c>
      <c r="T22" s="913">
        <v>31</v>
      </c>
      <c r="U22" s="929">
        <v>13</v>
      </c>
      <c r="V22" s="930">
        <v>7</v>
      </c>
      <c r="W22" s="913">
        <v>19</v>
      </c>
      <c r="X22" s="913">
        <v>21</v>
      </c>
      <c r="Y22" s="929">
        <v>13</v>
      </c>
      <c r="Z22" s="930">
        <v>14</v>
      </c>
      <c r="AA22" s="913">
        <v>34</v>
      </c>
      <c r="AB22" s="913">
        <v>56</v>
      </c>
      <c r="AC22" s="1324">
        <f t="shared" si="5"/>
        <v>266</v>
      </c>
      <c r="AD22" s="1325">
        <f t="shared" si="5"/>
        <v>352</v>
      </c>
      <c r="AE22" s="1335">
        <f t="shared" si="6"/>
        <v>618</v>
      </c>
      <c r="AF22" s="896"/>
    </row>
    <row r="23" spans="1:32" ht="18.75" customHeight="1">
      <c r="A23" s="880" t="s">
        <v>208</v>
      </c>
      <c r="B23" s="881" t="s">
        <v>209</v>
      </c>
      <c r="C23" s="1332">
        <f t="shared" si="4"/>
        <v>0</v>
      </c>
      <c r="D23" s="1333">
        <f t="shared" si="4"/>
        <v>155</v>
      </c>
      <c r="E23" s="913"/>
      <c r="F23" s="913">
        <v>93</v>
      </c>
      <c r="G23" s="929"/>
      <c r="H23" s="930">
        <v>23</v>
      </c>
      <c r="I23" s="929"/>
      <c r="J23" s="930">
        <v>16</v>
      </c>
      <c r="K23" s="913"/>
      <c r="L23" s="913">
        <v>23</v>
      </c>
      <c r="M23" s="1324">
        <f t="shared" si="3"/>
        <v>0</v>
      </c>
      <c r="N23" s="1325">
        <f t="shared" si="3"/>
        <v>1711</v>
      </c>
      <c r="O23" s="913"/>
      <c r="P23" s="913">
        <v>861</v>
      </c>
      <c r="Q23" s="1455"/>
      <c r="R23" s="930">
        <v>175</v>
      </c>
      <c r="S23" s="913"/>
      <c r="T23" s="913">
        <v>163</v>
      </c>
      <c r="U23" s="929"/>
      <c r="V23" s="930">
        <v>74</v>
      </c>
      <c r="W23" s="913"/>
      <c r="X23" s="913">
        <v>294</v>
      </c>
      <c r="Y23" s="929"/>
      <c r="Z23" s="930">
        <v>144</v>
      </c>
      <c r="AA23" s="1551">
        <v>2</v>
      </c>
      <c r="AB23" s="913">
        <v>351</v>
      </c>
      <c r="AC23" s="1324">
        <f t="shared" si="5"/>
        <v>2</v>
      </c>
      <c r="AD23" s="1325">
        <f t="shared" si="5"/>
        <v>2217</v>
      </c>
      <c r="AE23" s="1335">
        <f t="shared" si="6"/>
        <v>2219</v>
      </c>
    </row>
    <row r="24" spans="1:32" ht="19.5" customHeight="1">
      <c r="A24" s="880" t="s">
        <v>722</v>
      </c>
      <c r="B24" s="881" t="s">
        <v>723</v>
      </c>
      <c r="C24" s="1332">
        <f t="shared" si="4"/>
        <v>24</v>
      </c>
      <c r="D24" s="1333">
        <f t="shared" si="4"/>
        <v>19</v>
      </c>
      <c r="E24" s="913">
        <v>14</v>
      </c>
      <c r="F24" s="913">
        <v>12</v>
      </c>
      <c r="G24" s="929">
        <v>5</v>
      </c>
      <c r="H24" s="930">
        <v>5</v>
      </c>
      <c r="I24" s="929">
        <v>2</v>
      </c>
      <c r="J24" s="930"/>
      <c r="K24" s="913">
        <v>3</v>
      </c>
      <c r="L24" s="913">
        <v>2</v>
      </c>
      <c r="M24" s="1324">
        <f t="shared" si="3"/>
        <v>113</v>
      </c>
      <c r="N24" s="1325">
        <f t="shared" si="3"/>
        <v>98</v>
      </c>
      <c r="O24" s="913">
        <v>59</v>
      </c>
      <c r="P24" s="913">
        <v>49</v>
      </c>
      <c r="Q24" s="929">
        <v>16</v>
      </c>
      <c r="R24" s="930">
        <v>12</v>
      </c>
      <c r="S24" s="913">
        <v>12</v>
      </c>
      <c r="T24" s="913">
        <v>7</v>
      </c>
      <c r="U24" s="929">
        <v>2</v>
      </c>
      <c r="V24" s="930">
        <v>8</v>
      </c>
      <c r="W24" s="913">
        <v>12</v>
      </c>
      <c r="X24" s="913">
        <v>14</v>
      </c>
      <c r="Y24" s="929">
        <v>12</v>
      </c>
      <c r="Z24" s="930">
        <v>8</v>
      </c>
      <c r="AA24" s="913">
        <v>14</v>
      </c>
      <c r="AB24" s="913">
        <v>16</v>
      </c>
      <c r="AC24" s="1324">
        <f t="shared" si="5"/>
        <v>151</v>
      </c>
      <c r="AD24" s="1325">
        <f t="shared" si="5"/>
        <v>133</v>
      </c>
      <c r="AE24" s="1335">
        <f t="shared" si="6"/>
        <v>284</v>
      </c>
    </row>
    <row r="25" spans="1:32" ht="20.25" customHeight="1">
      <c r="A25" s="880" t="s">
        <v>724</v>
      </c>
      <c r="B25" s="881" t="s">
        <v>725</v>
      </c>
      <c r="C25" s="1332">
        <f t="shared" si="4"/>
        <v>14</v>
      </c>
      <c r="D25" s="1333">
        <f t="shared" si="4"/>
        <v>11</v>
      </c>
      <c r="E25" s="913">
        <v>6</v>
      </c>
      <c r="F25" s="913">
        <v>6</v>
      </c>
      <c r="G25" s="929">
        <v>2</v>
      </c>
      <c r="H25" s="1344">
        <v>3</v>
      </c>
      <c r="I25" s="929">
        <v>2</v>
      </c>
      <c r="J25" s="930"/>
      <c r="K25" s="913">
        <v>4</v>
      </c>
      <c r="L25" s="913">
        <v>2</v>
      </c>
      <c r="M25" s="1324">
        <f t="shared" si="3"/>
        <v>28</v>
      </c>
      <c r="N25" s="1325">
        <f t="shared" si="3"/>
        <v>19</v>
      </c>
      <c r="O25" s="913">
        <v>19</v>
      </c>
      <c r="P25" s="913">
        <v>12</v>
      </c>
      <c r="Q25" s="929"/>
      <c r="R25" s="930">
        <v>3</v>
      </c>
      <c r="S25" s="913">
        <v>2</v>
      </c>
      <c r="T25" s="913"/>
      <c r="U25" s="929"/>
      <c r="V25" s="930"/>
      <c r="W25" s="913">
        <v>5</v>
      </c>
      <c r="X25" s="913">
        <v>1</v>
      </c>
      <c r="Y25" s="929">
        <v>2</v>
      </c>
      <c r="Z25" s="930">
        <v>3</v>
      </c>
      <c r="AA25" s="913">
        <v>14</v>
      </c>
      <c r="AB25" s="913">
        <v>5</v>
      </c>
      <c r="AC25" s="1324">
        <f t="shared" si="5"/>
        <v>56</v>
      </c>
      <c r="AD25" s="1325">
        <f t="shared" si="5"/>
        <v>35</v>
      </c>
      <c r="AE25" s="1335">
        <f t="shared" si="6"/>
        <v>91</v>
      </c>
    </row>
    <row r="26" spans="1:32" ht="21.75" customHeight="1">
      <c r="A26" s="880" t="s">
        <v>718</v>
      </c>
      <c r="B26" s="881" t="s">
        <v>738</v>
      </c>
      <c r="C26" s="1332">
        <f t="shared" si="4"/>
        <v>2</v>
      </c>
      <c r="D26" s="1333">
        <f t="shared" si="4"/>
        <v>0</v>
      </c>
      <c r="E26" s="913">
        <v>1</v>
      </c>
      <c r="F26" s="913"/>
      <c r="G26" s="929"/>
      <c r="H26" s="930"/>
      <c r="I26" s="929"/>
      <c r="J26" s="930"/>
      <c r="K26" s="913">
        <v>1</v>
      </c>
      <c r="L26" s="913"/>
      <c r="M26" s="1324">
        <f t="shared" si="3"/>
        <v>2</v>
      </c>
      <c r="N26" s="1325">
        <f t="shared" si="3"/>
        <v>3</v>
      </c>
      <c r="O26" s="913">
        <v>2</v>
      </c>
      <c r="P26" s="913">
        <v>3</v>
      </c>
      <c r="Q26" s="929"/>
      <c r="R26" s="930"/>
      <c r="S26" s="913"/>
      <c r="T26" s="913"/>
      <c r="U26" s="1303"/>
      <c r="V26" s="1294"/>
      <c r="W26" s="913"/>
      <c r="X26" s="913"/>
      <c r="Y26" s="929"/>
      <c r="Z26" s="930"/>
      <c r="AA26" s="913">
        <v>2</v>
      </c>
      <c r="AB26" s="913"/>
      <c r="AC26" s="1324">
        <f t="shared" si="5"/>
        <v>6</v>
      </c>
      <c r="AD26" s="1325">
        <f t="shared" si="5"/>
        <v>3</v>
      </c>
      <c r="AE26" s="1335">
        <f t="shared" ref="AE26:AE29" si="7">SUM(AC26:AD26)</f>
        <v>9</v>
      </c>
    </row>
    <row r="27" spans="1:32" ht="21.75" customHeight="1">
      <c r="A27" s="880" t="s">
        <v>710</v>
      </c>
      <c r="B27" s="884" t="s">
        <v>210</v>
      </c>
      <c r="C27" s="1332">
        <f t="shared" ref="C27:C28" si="8">+E27+G27+I27+K27</f>
        <v>43</v>
      </c>
      <c r="D27" s="1333">
        <f t="shared" ref="D27:D28" si="9">+F27+H27+J27+L27</f>
        <v>30</v>
      </c>
      <c r="E27" s="913">
        <v>28</v>
      </c>
      <c r="F27" s="913">
        <v>17</v>
      </c>
      <c r="G27" s="929">
        <v>3</v>
      </c>
      <c r="H27" s="930">
        <v>4</v>
      </c>
      <c r="I27" s="929">
        <v>5</v>
      </c>
      <c r="J27" s="930">
        <v>4</v>
      </c>
      <c r="K27" s="913">
        <v>7</v>
      </c>
      <c r="L27" s="913">
        <v>5</v>
      </c>
      <c r="M27" s="1324">
        <f t="shared" ref="M27:M28" si="10">+O27+Q27+S27+U27+W27+Y27</f>
        <v>271</v>
      </c>
      <c r="N27" s="1325">
        <f t="shared" ref="N27:N28" si="11">+P27+R27+T27+V27+X27+Z27</f>
        <v>191</v>
      </c>
      <c r="O27" s="913">
        <v>161</v>
      </c>
      <c r="P27" s="913">
        <v>114</v>
      </c>
      <c r="Q27" s="929">
        <v>23</v>
      </c>
      <c r="R27" s="930">
        <v>16</v>
      </c>
      <c r="S27" s="913">
        <v>23</v>
      </c>
      <c r="T27" s="913">
        <v>21</v>
      </c>
      <c r="U27" s="1303">
        <v>9</v>
      </c>
      <c r="V27" s="1294">
        <v>8</v>
      </c>
      <c r="W27" s="913">
        <v>42</v>
      </c>
      <c r="X27" s="913">
        <v>22</v>
      </c>
      <c r="Y27" s="929">
        <v>13</v>
      </c>
      <c r="Z27" s="930">
        <v>10</v>
      </c>
      <c r="AA27" s="913">
        <v>43</v>
      </c>
      <c r="AB27" s="913">
        <v>31</v>
      </c>
      <c r="AC27" s="1324">
        <f t="shared" ref="AC27:AC28" si="12">+M27+C27+AA27</f>
        <v>357</v>
      </c>
      <c r="AD27" s="1325">
        <f t="shared" ref="AD27:AD28" si="13">+N27+D27+AB27</f>
        <v>252</v>
      </c>
      <c r="AE27" s="1335">
        <f t="shared" ref="AE27:AE28" si="14">SUM(AC27:AD27)</f>
        <v>609</v>
      </c>
    </row>
    <row r="28" spans="1:32" ht="21.75" customHeight="1">
      <c r="A28" s="245" t="s">
        <v>1660</v>
      </c>
      <c r="B28" s="293" t="s">
        <v>1662</v>
      </c>
      <c r="C28" s="1332">
        <f t="shared" si="8"/>
        <v>9</v>
      </c>
      <c r="D28" s="1333">
        <f t="shared" si="9"/>
        <v>14</v>
      </c>
      <c r="E28" s="913">
        <v>8</v>
      </c>
      <c r="F28" s="913">
        <v>10</v>
      </c>
      <c r="G28" s="929">
        <v>1</v>
      </c>
      <c r="H28" s="930"/>
      <c r="I28" s="929"/>
      <c r="J28" s="930">
        <v>2</v>
      </c>
      <c r="K28" s="913"/>
      <c r="L28" s="913">
        <v>2</v>
      </c>
      <c r="M28" s="1324">
        <f t="shared" si="10"/>
        <v>129</v>
      </c>
      <c r="N28" s="1325">
        <f t="shared" si="11"/>
        <v>84</v>
      </c>
      <c r="O28" s="913">
        <v>82</v>
      </c>
      <c r="P28" s="913">
        <v>55</v>
      </c>
      <c r="Q28" s="929">
        <v>14</v>
      </c>
      <c r="R28" s="930">
        <v>8</v>
      </c>
      <c r="S28" s="913">
        <v>6</v>
      </c>
      <c r="T28" s="913">
        <v>6</v>
      </c>
      <c r="U28" s="1303">
        <v>3</v>
      </c>
      <c r="V28" s="1294">
        <v>2</v>
      </c>
      <c r="W28" s="913">
        <v>15</v>
      </c>
      <c r="X28" s="913">
        <v>11</v>
      </c>
      <c r="Y28" s="929">
        <v>9</v>
      </c>
      <c r="Z28" s="930">
        <v>2</v>
      </c>
      <c r="AA28" s="913">
        <v>28</v>
      </c>
      <c r="AB28" s="913">
        <v>24</v>
      </c>
      <c r="AC28" s="1324">
        <f t="shared" si="12"/>
        <v>166</v>
      </c>
      <c r="AD28" s="1325">
        <f t="shared" si="13"/>
        <v>122</v>
      </c>
      <c r="AE28" s="1335">
        <f t="shared" si="14"/>
        <v>288</v>
      </c>
    </row>
    <row r="29" spans="1:32" ht="27.75" customHeight="1">
      <c r="A29" s="245" t="s">
        <v>1661</v>
      </c>
      <c r="B29" s="293" t="s">
        <v>1663</v>
      </c>
      <c r="C29" s="1332">
        <f t="shared" si="4"/>
        <v>0</v>
      </c>
      <c r="D29" s="1333">
        <f t="shared" si="4"/>
        <v>0</v>
      </c>
      <c r="E29" s="913"/>
      <c r="F29" s="913"/>
      <c r="G29" s="929"/>
      <c r="H29" s="930"/>
      <c r="I29" s="1303"/>
      <c r="J29" s="1294"/>
      <c r="K29" s="913"/>
      <c r="L29" s="913"/>
      <c r="M29" s="1324">
        <f t="shared" ref="M29:N29" si="15">+O29+Q29+S29+U29+W29+Y29</f>
        <v>1</v>
      </c>
      <c r="N29" s="1325">
        <f t="shared" si="15"/>
        <v>0</v>
      </c>
      <c r="O29" s="913">
        <v>1</v>
      </c>
      <c r="P29" s="913"/>
      <c r="Q29" s="929"/>
      <c r="R29" s="930"/>
      <c r="S29" s="913"/>
      <c r="T29" s="913"/>
      <c r="U29" s="929"/>
      <c r="V29" s="930"/>
      <c r="W29" s="913"/>
      <c r="X29" s="913"/>
      <c r="Y29" s="929"/>
      <c r="Z29" s="930"/>
      <c r="AA29" s="913">
        <v>1</v>
      </c>
      <c r="AB29" s="913"/>
      <c r="AC29" s="1324">
        <f t="shared" si="5"/>
        <v>2</v>
      </c>
      <c r="AD29" s="1325">
        <f t="shared" si="5"/>
        <v>0</v>
      </c>
      <c r="AE29" s="1335">
        <f t="shared" si="7"/>
        <v>2</v>
      </c>
    </row>
    <row r="30" spans="1:32" ht="21.75" customHeight="1" thickBot="1">
      <c r="A30" s="885"/>
      <c r="B30" s="885" t="s">
        <v>832</v>
      </c>
      <c r="C30" s="1326">
        <f>SUM(C10:C29)</f>
        <v>280</v>
      </c>
      <c r="D30" s="1327">
        <f>SUM(D10:D29)</f>
        <v>439</v>
      </c>
      <c r="E30" s="924">
        <f>SUM(E10:E29)</f>
        <v>174</v>
      </c>
      <c r="F30" s="924">
        <f t="shared" ref="F30:AE30" si="16">SUM(F10:F29)</f>
        <v>282</v>
      </c>
      <c r="G30" s="1295">
        <f t="shared" si="16"/>
        <v>40</v>
      </c>
      <c r="H30" s="1296">
        <f t="shared" si="16"/>
        <v>63</v>
      </c>
      <c r="I30" s="1295">
        <f t="shared" si="16"/>
        <v>34</v>
      </c>
      <c r="J30" s="1296">
        <f t="shared" si="16"/>
        <v>46</v>
      </c>
      <c r="K30" s="924">
        <f t="shared" si="16"/>
        <v>32</v>
      </c>
      <c r="L30" s="924">
        <f t="shared" si="16"/>
        <v>48</v>
      </c>
      <c r="M30" s="1326">
        <f t="shared" si="16"/>
        <v>2494</v>
      </c>
      <c r="N30" s="1327">
        <f t="shared" si="16"/>
        <v>4123</v>
      </c>
      <c r="O30" s="924">
        <f t="shared" si="16"/>
        <v>1427</v>
      </c>
      <c r="P30" s="924">
        <f t="shared" si="16"/>
        <v>2233</v>
      </c>
      <c r="Q30" s="1295">
        <f t="shared" si="16"/>
        <v>225</v>
      </c>
      <c r="R30" s="1296">
        <f t="shared" si="16"/>
        <v>410</v>
      </c>
      <c r="S30" s="924">
        <f t="shared" si="16"/>
        <v>252</v>
      </c>
      <c r="T30" s="924">
        <f t="shared" si="16"/>
        <v>397</v>
      </c>
      <c r="U30" s="1295">
        <f t="shared" si="16"/>
        <v>109</v>
      </c>
      <c r="V30" s="1296">
        <f t="shared" si="16"/>
        <v>186</v>
      </c>
      <c r="W30" s="924">
        <f t="shared" si="16"/>
        <v>313</v>
      </c>
      <c r="X30" s="924">
        <f t="shared" si="16"/>
        <v>580</v>
      </c>
      <c r="Y30" s="1295">
        <f t="shared" si="16"/>
        <v>168</v>
      </c>
      <c r="Z30" s="1296">
        <f t="shared" si="16"/>
        <v>317</v>
      </c>
      <c r="AA30" s="924">
        <f t="shared" si="16"/>
        <v>405</v>
      </c>
      <c r="AB30" s="924">
        <f t="shared" si="16"/>
        <v>719</v>
      </c>
      <c r="AC30" s="1326">
        <f t="shared" si="16"/>
        <v>3179</v>
      </c>
      <c r="AD30" s="1327">
        <f t="shared" si="16"/>
        <v>5281</v>
      </c>
      <c r="AE30" s="1336">
        <f t="shared" si="16"/>
        <v>8460</v>
      </c>
    </row>
    <row r="31" spans="1:32" ht="21.75" customHeight="1">
      <c r="A31" s="888"/>
      <c r="B31" s="888"/>
      <c r="C31" s="888"/>
      <c r="D31" s="888"/>
      <c r="E31" s="889"/>
      <c r="F31" s="889"/>
      <c r="G31" s="889"/>
      <c r="H31" s="889"/>
      <c r="I31" s="889"/>
      <c r="J31" s="889"/>
      <c r="K31" s="915"/>
      <c r="L31" s="915"/>
      <c r="M31" s="889"/>
      <c r="N31" s="889"/>
      <c r="O31" s="889"/>
      <c r="P31" s="889"/>
      <c r="Q31" s="889"/>
      <c r="R31" s="889"/>
      <c r="S31" s="915"/>
      <c r="T31" s="915"/>
      <c r="U31" s="889"/>
      <c r="V31" s="889"/>
      <c r="W31" s="889"/>
      <c r="X31" s="889"/>
      <c r="Y31" s="915"/>
      <c r="Z31" s="915"/>
      <c r="AA31" s="915"/>
      <c r="AB31" s="915"/>
      <c r="AC31" s="915"/>
      <c r="AD31" s="915"/>
      <c r="AE31" s="890"/>
    </row>
    <row r="32" spans="1:32" ht="18" customHeight="1">
      <c r="A32" s="908" t="s">
        <v>211</v>
      </c>
      <c r="B32" s="916"/>
      <c r="C32" s="892"/>
      <c r="D32" s="892"/>
      <c r="E32" s="892"/>
      <c r="F32" s="892"/>
      <c r="G32" s="892"/>
      <c r="H32" s="892"/>
      <c r="I32" s="892"/>
      <c r="J32" s="892"/>
      <c r="K32" s="892"/>
      <c r="L32" s="892"/>
      <c r="M32" s="892"/>
      <c r="N32" s="892"/>
      <c r="O32" s="892"/>
      <c r="P32" s="892"/>
      <c r="Q32" s="892"/>
      <c r="R32" s="892"/>
      <c r="S32" s="892"/>
      <c r="T32" s="892"/>
      <c r="U32" s="892"/>
      <c r="V32" s="892"/>
      <c r="W32" s="892"/>
      <c r="X32" s="892"/>
      <c r="Y32" s="892"/>
      <c r="Z32" s="892"/>
      <c r="AA32" s="892"/>
      <c r="AB32" s="892"/>
      <c r="AC32" s="892"/>
      <c r="AD32" s="892"/>
      <c r="AE32" s="917"/>
    </row>
    <row r="33" spans="1:30">
      <c r="A33" s="918"/>
      <c r="B33" s="918"/>
      <c r="C33" s="895"/>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row>
    <row r="34" spans="1:30">
      <c r="A34" s="908" t="str">
        <f>+A3</f>
        <v>SERVICIO DE SALUD   ACONCAGUA   2020</v>
      </c>
      <c r="B34" s="918"/>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895"/>
      <c r="AB34" s="895"/>
      <c r="AC34" s="895"/>
      <c r="AD34" s="895"/>
    </row>
    <row r="35" spans="1:30">
      <c r="A35" s="918"/>
      <c r="B35" s="918"/>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895"/>
      <c r="AB35" s="895"/>
      <c r="AC35" s="895"/>
      <c r="AD35" s="895"/>
    </row>
    <row r="36" spans="1:30">
      <c r="A36" s="908" t="s">
        <v>215</v>
      </c>
      <c r="B36" s="918"/>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895"/>
      <c r="AB36" s="895"/>
      <c r="AC36" s="895"/>
      <c r="AD36" s="895"/>
    </row>
    <row r="38" spans="1:30" ht="21.75" customHeight="1">
      <c r="A38" s="1299" t="s">
        <v>680</v>
      </c>
      <c r="B38" s="868"/>
      <c r="C38" s="1708" t="s">
        <v>726</v>
      </c>
      <c r="D38" s="1709"/>
      <c r="E38" s="1709"/>
      <c r="F38" s="1709"/>
      <c r="G38" s="1709"/>
      <c r="H38" s="1709"/>
      <c r="I38" s="1709"/>
      <c r="J38" s="1709"/>
      <c r="K38" s="1709"/>
      <c r="L38" s="1709"/>
      <c r="M38" s="1709"/>
      <c r="N38" s="1709"/>
      <c r="O38" s="1709"/>
      <c r="P38" s="1709"/>
      <c r="Q38" s="1709"/>
      <c r="R38" s="1709"/>
      <c r="S38" s="1709"/>
      <c r="T38" s="1709"/>
      <c r="U38" s="1709"/>
      <c r="V38" s="1709"/>
      <c r="W38" s="1307"/>
      <c r="X38" s="1307"/>
      <c r="Y38" s="898"/>
    </row>
    <row r="39" spans="1:30" ht="23.25" customHeight="1">
      <c r="A39" s="1300" t="s">
        <v>682</v>
      </c>
      <c r="B39" s="1337" t="s">
        <v>683</v>
      </c>
      <c r="C39" s="1700" t="s">
        <v>728</v>
      </c>
      <c r="D39" s="1700"/>
      <c r="E39" s="1700" t="s">
        <v>729</v>
      </c>
      <c r="F39" s="1700"/>
      <c r="G39" s="1700" t="s">
        <v>730</v>
      </c>
      <c r="H39" s="1700"/>
      <c r="I39" s="1700" t="s">
        <v>731</v>
      </c>
      <c r="J39" s="1700"/>
      <c r="K39" s="1700" t="s">
        <v>732</v>
      </c>
      <c r="L39" s="1700"/>
      <c r="M39" s="1700" t="s">
        <v>733</v>
      </c>
      <c r="N39" s="1700"/>
      <c r="O39" s="1700" t="s">
        <v>734</v>
      </c>
      <c r="P39" s="1700"/>
      <c r="Q39" s="1700" t="s">
        <v>735</v>
      </c>
      <c r="R39" s="1700"/>
      <c r="S39" s="1700" t="s">
        <v>736</v>
      </c>
      <c r="T39" s="1700"/>
      <c r="U39" s="1700" t="s">
        <v>737</v>
      </c>
      <c r="V39" s="1700"/>
      <c r="W39" s="1700" t="s">
        <v>517</v>
      </c>
      <c r="X39" s="1700"/>
      <c r="Y39" s="1700"/>
    </row>
    <row r="40" spans="1:30">
      <c r="A40" s="1302"/>
      <c r="B40" s="1338"/>
      <c r="C40" s="1316" t="s">
        <v>1461</v>
      </c>
      <c r="D40" s="1318" t="s">
        <v>1462</v>
      </c>
      <c r="E40" s="1317" t="s">
        <v>1461</v>
      </c>
      <c r="F40" s="1318" t="s">
        <v>1462</v>
      </c>
      <c r="G40" s="1317" t="s">
        <v>1461</v>
      </c>
      <c r="H40" s="1318" t="s">
        <v>1462</v>
      </c>
      <c r="I40" s="1317" t="s">
        <v>1461</v>
      </c>
      <c r="J40" s="1318" t="s">
        <v>1462</v>
      </c>
      <c r="K40" s="1317" t="s">
        <v>1461</v>
      </c>
      <c r="L40" s="1318" t="s">
        <v>1462</v>
      </c>
      <c r="M40" s="1317" t="s">
        <v>1461</v>
      </c>
      <c r="N40" s="1318" t="s">
        <v>1462</v>
      </c>
      <c r="O40" s="1317" t="s">
        <v>1461</v>
      </c>
      <c r="P40" s="1318" t="s">
        <v>1462</v>
      </c>
      <c r="Q40" s="1317" t="s">
        <v>1461</v>
      </c>
      <c r="R40" s="1318" t="s">
        <v>1462</v>
      </c>
      <c r="S40" s="1317" t="s">
        <v>1461</v>
      </c>
      <c r="T40" s="1318" t="s">
        <v>1462</v>
      </c>
      <c r="U40" s="1317" t="s">
        <v>1461</v>
      </c>
      <c r="V40" s="1318" t="s">
        <v>1462</v>
      </c>
      <c r="W40" s="1317" t="s">
        <v>1461</v>
      </c>
      <c r="X40" s="1318" t="s">
        <v>1462</v>
      </c>
      <c r="Y40" s="1304" t="s">
        <v>491</v>
      </c>
    </row>
    <row r="41" spans="1:30" ht="20.25" customHeight="1">
      <c r="A41" s="880" t="s">
        <v>716</v>
      </c>
      <c r="B41" s="881" t="s">
        <v>717</v>
      </c>
      <c r="C41" s="971"/>
      <c r="D41" s="913"/>
      <c r="E41" s="1347"/>
      <c r="F41" s="871"/>
      <c r="G41" s="913">
        <v>8</v>
      </c>
      <c r="H41" s="913">
        <v>2</v>
      </c>
      <c r="I41" s="1347">
        <v>11</v>
      </c>
      <c r="J41" s="871">
        <v>6</v>
      </c>
      <c r="K41" s="913">
        <v>2</v>
      </c>
      <c r="L41" s="913">
        <v>1</v>
      </c>
      <c r="M41" s="1347">
        <v>5</v>
      </c>
      <c r="N41" s="871">
        <v>2</v>
      </c>
      <c r="O41" s="913"/>
      <c r="P41" s="913">
        <v>5</v>
      </c>
      <c r="Q41" s="1347">
        <v>19</v>
      </c>
      <c r="R41" s="871">
        <v>11</v>
      </c>
      <c r="S41" s="913">
        <v>12</v>
      </c>
      <c r="T41" s="913">
        <v>8</v>
      </c>
      <c r="U41" s="1347">
        <v>10</v>
      </c>
      <c r="V41" s="871">
        <v>21</v>
      </c>
      <c r="W41" s="1309">
        <f>+C41+E41+G41+I41+K41+M41+O41+Q41+S41+U41</f>
        <v>67</v>
      </c>
      <c r="X41" s="1341">
        <f>+D41+F41+H41+J41+L41+N41+P41+R41+T41+V41</f>
        <v>56</v>
      </c>
      <c r="Y41" s="937">
        <f t="shared" ref="Y41:Y44" si="17">SUM(W41:X41)</f>
        <v>123</v>
      </c>
    </row>
    <row r="42" spans="1:30" ht="19.5" customHeight="1">
      <c r="A42" s="880" t="s">
        <v>693</v>
      </c>
      <c r="B42" s="881" t="s">
        <v>694</v>
      </c>
      <c r="C42" s="913"/>
      <c r="D42" s="913"/>
      <c r="E42" s="929"/>
      <c r="F42" s="930"/>
      <c r="G42" s="913"/>
      <c r="H42" s="913"/>
      <c r="I42" s="929"/>
      <c r="J42" s="930"/>
      <c r="K42" s="913"/>
      <c r="L42" s="913">
        <v>2</v>
      </c>
      <c r="M42" s="929">
        <v>1</v>
      </c>
      <c r="N42" s="930">
        <v>3</v>
      </c>
      <c r="O42" s="913"/>
      <c r="P42" s="913"/>
      <c r="Q42" s="929">
        <v>12</v>
      </c>
      <c r="R42" s="930">
        <v>93</v>
      </c>
      <c r="S42" s="913">
        <v>70</v>
      </c>
      <c r="T42" s="913">
        <v>143</v>
      </c>
      <c r="U42" s="929">
        <v>76</v>
      </c>
      <c r="V42" s="930">
        <v>108</v>
      </c>
      <c r="W42" s="1293">
        <f>+C42+E42+G42+I42+K42+M42+O42+Q42+S42+U42</f>
        <v>159</v>
      </c>
      <c r="X42" s="937">
        <f t="shared" ref="W42:X60" si="18">+D42+F42+H42+J42+L42+N42+P42+R42+T42+V42</f>
        <v>349</v>
      </c>
      <c r="Y42" s="937">
        <f t="shared" si="17"/>
        <v>508</v>
      </c>
    </row>
    <row r="43" spans="1:30" ht="18" customHeight="1">
      <c r="A43" s="880" t="s">
        <v>196</v>
      </c>
      <c r="B43" s="881" t="s">
        <v>197</v>
      </c>
      <c r="C43" s="913"/>
      <c r="D43" s="913"/>
      <c r="E43" s="929"/>
      <c r="F43" s="930"/>
      <c r="G43" s="913"/>
      <c r="H43" s="913">
        <v>4</v>
      </c>
      <c r="I43" s="929">
        <v>1</v>
      </c>
      <c r="J43" s="930">
        <v>1</v>
      </c>
      <c r="K43" s="913"/>
      <c r="L43" s="913">
        <v>6</v>
      </c>
      <c r="M43" s="929">
        <v>2</v>
      </c>
      <c r="N43" s="930">
        <v>2</v>
      </c>
      <c r="O43" s="913">
        <v>2</v>
      </c>
      <c r="P43" s="913"/>
      <c r="Q43" s="929">
        <v>8</v>
      </c>
      <c r="R43" s="930">
        <v>6</v>
      </c>
      <c r="S43" s="913">
        <v>4</v>
      </c>
      <c r="T43" s="913">
        <v>9</v>
      </c>
      <c r="U43" s="929">
        <v>14</v>
      </c>
      <c r="V43" s="930">
        <v>13</v>
      </c>
      <c r="W43" s="1293">
        <f t="shared" si="18"/>
        <v>31</v>
      </c>
      <c r="X43" s="937">
        <f t="shared" si="18"/>
        <v>41</v>
      </c>
      <c r="Y43" s="937">
        <f t="shared" si="17"/>
        <v>72</v>
      </c>
    </row>
    <row r="44" spans="1:30" ht="19.5" customHeight="1">
      <c r="A44" s="880" t="s">
        <v>720</v>
      </c>
      <c r="B44" s="881" t="s">
        <v>721</v>
      </c>
      <c r="C44" s="913"/>
      <c r="D44" s="913"/>
      <c r="E44" s="929"/>
      <c r="F44" s="930"/>
      <c r="G44" s="913">
        <v>1</v>
      </c>
      <c r="H44" s="913"/>
      <c r="I44" s="929"/>
      <c r="J44" s="930">
        <v>4</v>
      </c>
      <c r="K44" s="913">
        <v>2</v>
      </c>
      <c r="L44" s="913">
        <v>2</v>
      </c>
      <c r="M44" s="929">
        <v>3</v>
      </c>
      <c r="N44" s="930">
        <v>10</v>
      </c>
      <c r="O44" s="913"/>
      <c r="P44" s="913">
        <v>2</v>
      </c>
      <c r="Q44" s="929">
        <v>18</v>
      </c>
      <c r="R44" s="930">
        <v>27</v>
      </c>
      <c r="S44" s="913">
        <v>35</v>
      </c>
      <c r="T44" s="913">
        <v>30</v>
      </c>
      <c r="U44" s="929">
        <v>42</v>
      </c>
      <c r="V44" s="930">
        <v>30</v>
      </c>
      <c r="W44" s="1293">
        <f t="shared" si="18"/>
        <v>101</v>
      </c>
      <c r="X44" s="937">
        <f t="shared" si="18"/>
        <v>105</v>
      </c>
      <c r="Y44" s="937">
        <f t="shared" si="17"/>
        <v>206</v>
      </c>
    </row>
    <row r="45" spans="1:30" ht="19.5" customHeight="1">
      <c r="A45" s="880" t="s">
        <v>198</v>
      </c>
      <c r="B45" s="881" t="s">
        <v>199</v>
      </c>
      <c r="C45" s="913"/>
      <c r="D45" s="913"/>
      <c r="E45" s="1345"/>
      <c r="F45" s="1346"/>
      <c r="G45" s="913"/>
      <c r="H45" s="913"/>
      <c r="I45" s="929"/>
      <c r="J45" s="930">
        <v>3</v>
      </c>
      <c r="K45" s="913">
        <v>6</v>
      </c>
      <c r="L45" s="913"/>
      <c r="M45" s="929">
        <v>2</v>
      </c>
      <c r="N45" s="930">
        <v>4</v>
      </c>
      <c r="O45" s="913">
        <v>1</v>
      </c>
      <c r="P45" s="913"/>
      <c r="Q45" s="929">
        <v>1</v>
      </c>
      <c r="R45" s="930">
        <v>4</v>
      </c>
      <c r="S45" s="913">
        <v>3</v>
      </c>
      <c r="T45" s="913">
        <v>2</v>
      </c>
      <c r="U45" s="929">
        <v>1</v>
      </c>
      <c r="V45" s="930"/>
      <c r="W45" s="1293">
        <f t="shared" si="18"/>
        <v>14</v>
      </c>
      <c r="X45" s="937">
        <f t="shared" si="18"/>
        <v>13</v>
      </c>
      <c r="Y45" s="937">
        <f>SUM(W45:X45)</f>
        <v>27</v>
      </c>
      <c r="Z45" s="896"/>
    </row>
    <row r="46" spans="1:30" ht="19.5" customHeight="1">
      <c r="A46" s="880" t="s">
        <v>200</v>
      </c>
      <c r="B46" s="881" t="s">
        <v>201</v>
      </c>
      <c r="C46" s="913"/>
      <c r="D46" s="913">
        <v>1</v>
      </c>
      <c r="E46" s="1345"/>
      <c r="F46" s="1294"/>
      <c r="G46" s="913">
        <v>9</v>
      </c>
      <c r="H46" s="913">
        <v>3</v>
      </c>
      <c r="I46" s="929">
        <v>13</v>
      </c>
      <c r="J46" s="930">
        <v>6</v>
      </c>
      <c r="K46" s="913">
        <v>15</v>
      </c>
      <c r="L46" s="913">
        <v>3</v>
      </c>
      <c r="M46" s="929">
        <v>5</v>
      </c>
      <c r="N46" s="930">
        <v>11</v>
      </c>
      <c r="O46" s="913">
        <v>3</v>
      </c>
      <c r="P46" s="913">
        <v>1</v>
      </c>
      <c r="Q46" s="929">
        <v>23</v>
      </c>
      <c r="R46" s="930">
        <v>18</v>
      </c>
      <c r="S46" s="913">
        <v>21</v>
      </c>
      <c r="T46" s="913">
        <v>24</v>
      </c>
      <c r="U46" s="929">
        <v>38</v>
      </c>
      <c r="V46" s="930">
        <v>29</v>
      </c>
      <c r="W46" s="1293">
        <f t="shared" si="18"/>
        <v>127</v>
      </c>
      <c r="X46" s="937">
        <f t="shared" si="18"/>
        <v>96</v>
      </c>
      <c r="Y46" s="937">
        <f t="shared" ref="Y46:Y60" si="19">SUM(W46:X46)</f>
        <v>223</v>
      </c>
      <c r="Z46" s="896"/>
    </row>
    <row r="47" spans="1:30" ht="19.5" customHeight="1">
      <c r="A47" s="880" t="s">
        <v>202</v>
      </c>
      <c r="B47" s="881" t="s">
        <v>203</v>
      </c>
      <c r="C47" s="913"/>
      <c r="D47" s="913"/>
      <c r="E47" s="1345"/>
      <c r="F47" s="1346"/>
      <c r="G47" s="913"/>
      <c r="H47" s="913"/>
      <c r="I47" s="929">
        <v>1</v>
      </c>
      <c r="J47" s="930">
        <v>2</v>
      </c>
      <c r="K47" s="913">
        <v>1</v>
      </c>
      <c r="L47" s="913">
        <v>1</v>
      </c>
      <c r="M47" s="929">
        <v>1</v>
      </c>
      <c r="N47" s="930"/>
      <c r="O47" s="913">
        <v>1</v>
      </c>
      <c r="P47" s="913"/>
      <c r="Q47" s="929">
        <v>2</v>
      </c>
      <c r="R47" s="930">
        <v>5</v>
      </c>
      <c r="S47" s="913">
        <v>5</v>
      </c>
      <c r="T47" s="913">
        <v>3</v>
      </c>
      <c r="U47" s="929">
        <v>4</v>
      </c>
      <c r="V47" s="930">
        <v>5</v>
      </c>
      <c r="W47" s="1293">
        <f t="shared" si="18"/>
        <v>15</v>
      </c>
      <c r="X47" s="937">
        <f t="shared" si="18"/>
        <v>16</v>
      </c>
      <c r="Y47" s="937">
        <f t="shared" si="19"/>
        <v>31</v>
      </c>
      <c r="Z47" s="896"/>
    </row>
    <row r="48" spans="1:30" ht="18" customHeight="1">
      <c r="A48" s="880" t="s">
        <v>691</v>
      </c>
      <c r="B48" s="881" t="s">
        <v>692</v>
      </c>
      <c r="C48" s="913"/>
      <c r="D48" s="913"/>
      <c r="E48" s="1345"/>
      <c r="F48" s="1346"/>
      <c r="G48" s="913">
        <v>1</v>
      </c>
      <c r="H48" s="913">
        <v>3</v>
      </c>
      <c r="I48" s="929"/>
      <c r="J48" s="930"/>
      <c r="K48" s="913">
        <v>1</v>
      </c>
      <c r="L48" s="913">
        <v>1</v>
      </c>
      <c r="M48" s="929">
        <v>2</v>
      </c>
      <c r="N48" s="930">
        <v>2</v>
      </c>
      <c r="O48" s="913">
        <v>2</v>
      </c>
      <c r="P48" s="913">
        <v>3</v>
      </c>
      <c r="Q48" s="929">
        <v>35</v>
      </c>
      <c r="R48" s="930">
        <v>38</v>
      </c>
      <c r="S48" s="913">
        <v>192</v>
      </c>
      <c r="T48" s="913">
        <v>99</v>
      </c>
      <c r="U48" s="929">
        <v>318</v>
      </c>
      <c r="V48" s="930">
        <v>256</v>
      </c>
      <c r="W48" s="1293">
        <f t="shared" si="18"/>
        <v>551</v>
      </c>
      <c r="X48" s="937">
        <f t="shared" si="18"/>
        <v>402</v>
      </c>
      <c r="Y48" s="937">
        <f t="shared" si="19"/>
        <v>953</v>
      </c>
      <c r="Z48" s="896"/>
    </row>
    <row r="49" spans="1:31" ht="18.75" customHeight="1">
      <c r="A49" s="880" t="s">
        <v>695</v>
      </c>
      <c r="B49" s="881" t="s">
        <v>696</v>
      </c>
      <c r="C49" s="913"/>
      <c r="D49" s="913"/>
      <c r="E49" s="1349"/>
      <c r="F49" s="1350"/>
      <c r="G49" s="913">
        <v>13</v>
      </c>
      <c r="H49" s="913">
        <v>7</v>
      </c>
      <c r="I49" s="929">
        <v>24</v>
      </c>
      <c r="J49" s="930">
        <v>16</v>
      </c>
      <c r="K49" s="913">
        <v>18</v>
      </c>
      <c r="L49" s="913">
        <v>19</v>
      </c>
      <c r="M49" s="929">
        <v>8</v>
      </c>
      <c r="N49" s="930">
        <v>6</v>
      </c>
      <c r="O49" s="913">
        <v>5</v>
      </c>
      <c r="P49" s="913">
        <v>2</v>
      </c>
      <c r="Q49" s="929">
        <v>43</v>
      </c>
      <c r="R49" s="930">
        <v>32</v>
      </c>
      <c r="S49" s="913">
        <v>43</v>
      </c>
      <c r="T49" s="913">
        <v>34</v>
      </c>
      <c r="U49" s="1303">
        <v>115</v>
      </c>
      <c r="V49" s="1294">
        <v>114</v>
      </c>
      <c r="W49" s="1293">
        <f t="shared" si="18"/>
        <v>269</v>
      </c>
      <c r="X49" s="937">
        <f t="shared" si="18"/>
        <v>230</v>
      </c>
      <c r="Y49" s="937">
        <f t="shared" si="19"/>
        <v>499</v>
      </c>
      <c r="Z49" s="896"/>
    </row>
    <row r="50" spans="1:31" ht="19.5" customHeight="1">
      <c r="A50" s="880" t="s">
        <v>712</v>
      </c>
      <c r="B50" s="881" t="s">
        <v>713</v>
      </c>
      <c r="C50" s="913"/>
      <c r="D50" s="913"/>
      <c r="E50" s="1349"/>
      <c r="F50" s="1350"/>
      <c r="G50" s="913">
        <v>6</v>
      </c>
      <c r="H50" s="913">
        <v>4</v>
      </c>
      <c r="I50" s="929">
        <v>14</v>
      </c>
      <c r="J50" s="930">
        <v>12</v>
      </c>
      <c r="K50" s="913">
        <v>53</v>
      </c>
      <c r="L50" s="913">
        <v>45</v>
      </c>
      <c r="M50" s="929">
        <v>62</v>
      </c>
      <c r="N50" s="930">
        <v>53</v>
      </c>
      <c r="O50" s="913">
        <v>17</v>
      </c>
      <c r="P50" s="913">
        <v>30</v>
      </c>
      <c r="Q50" s="929">
        <v>214</v>
      </c>
      <c r="R50" s="930">
        <v>250</v>
      </c>
      <c r="S50" s="913">
        <v>194</v>
      </c>
      <c r="T50" s="913">
        <v>179</v>
      </c>
      <c r="U50" s="929">
        <v>182</v>
      </c>
      <c r="V50" s="930">
        <v>161</v>
      </c>
      <c r="W50" s="1293">
        <f t="shared" si="18"/>
        <v>742</v>
      </c>
      <c r="X50" s="937">
        <f t="shared" si="18"/>
        <v>734</v>
      </c>
      <c r="Y50" s="937">
        <f t="shared" si="19"/>
        <v>1476</v>
      </c>
      <c r="Z50" s="896"/>
    </row>
    <row r="51" spans="1:31" ht="18" customHeight="1">
      <c r="A51" s="880" t="s">
        <v>204</v>
      </c>
      <c r="B51" s="881" t="s">
        <v>205</v>
      </c>
      <c r="C51" s="913"/>
      <c r="D51" s="913"/>
      <c r="E51" s="1345"/>
      <c r="F51" s="1346"/>
      <c r="G51" s="913">
        <v>2</v>
      </c>
      <c r="H51" s="913">
        <v>1</v>
      </c>
      <c r="I51" s="929">
        <v>4</v>
      </c>
      <c r="J51" s="930">
        <v>2</v>
      </c>
      <c r="K51" s="913">
        <v>3</v>
      </c>
      <c r="L51" s="913">
        <v>4</v>
      </c>
      <c r="M51" s="929">
        <v>5</v>
      </c>
      <c r="N51" s="930">
        <v>3</v>
      </c>
      <c r="O51" s="913">
        <v>2</v>
      </c>
      <c r="P51" s="913">
        <v>3</v>
      </c>
      <c r="Q51" s="929">
        <v>16</v>
      </c>
      <c r="R51" s="930">
        <v>8</v>
      </c>
      <c r="S51" s="913">
        <v>13</v>
      </c>
      <c r="T51" s="913">
        <v>22</v>
      </c>
      <c r="U51" s="929">
        <v>11</v>
      </c>
      <c r="V51" s="930">
        <v>23</v>
      </c>
      <c r="W51" s="1293">
        <f t="shared" si="18"/>
        <v>56</v>
      </c>
      <c r="X51" s="937">
        <f t="shared" si="18"/>
        <v>66</v>
      </c>
      <c r="Y51" s="937">
        <f t="shared" si="19"/>
        <v>122</v>
      </c>
      <c r="Z51" s="896"/>
    </row>
    <row r="52" spans="1:31" ht="19.5" customHeight="1">
      <c r="A52" s="880" t="s">
        <v>206</v>
      </c>
      <c r="B52" s="881" t="s">
        <v>207</v>
      </c>
      <c r="C52" s="913"/>
      <c r="D52" s="913"/>
      <c r="E52" s="1345"/>
      <c r="F52" s="1346"/>
      <c r="G52" s="913"/>
      <c r="H52" s="913"/>
      <c r="I52" s="929"/>
      <c r="J52" s="930"/>
      <c r="K52" s="913">
        <v>1</v>
      </c>
      <c r="L52" s="913">
        <v>1</v>
      </c>
      <c r="M52" s="929">
        <v>2</v>
      </c>
      <c r="N52" s="930">
        <v>1</v>
      </c>
      <c r="O52" s="913">
        <v>3</v>
      </c>
      <c r="P52" s="913">
        <v>4</v>
      </c>
      <c r="Q52" s="929">
        <v>13</v>
      </c>
      <c r="R52" s="930">
        <v>15</v>
      </c>
      <c r="S52" s="913">
        <v>18</v>
      </c>
      <c r="T52" s="913">
        <v>28</v>
      </c>
      <c r="U52" s="929">
        <v>4</v>
      </c>
      <c r="V52" s="930">
        <v>10</v>
      </c>
      <c r="W52" s="1293">
        <f t="shared" si="18"/>
        <v>41</v>
      </c>
      <c r="X52" s="937">
        <f t="shared" si="18"/>
        <v>59</v>
      </c>
      <c r="Y52" s="937">
        <f t="shared" si="19"/>
        <v>100</v>
      </c>
      <c r="Z52" s="896"/>
    </row>
    <row r="53" spans="1:31" ht="18.75" customHeight="1">
      <c r="A53" s="880" t="s">
        <v>714</v>
      </c>
      <c r="B53" s="881" t="s">
        <v>715</v>
      </c>
      <c r="C53" s="913"/>
      <c r="D53" s="913"/>
      <c r="E53" s="1303"/>
      <c r="F53" s="1346"/>
      <c r="G53" s="913">
        <v>13</v>
      </c>
      <c r="H53" s="913">
        <v>17</v>
      </c>
      <c r="I53" s="929">
        <v>12</v>
      </c>
      <c r="J53" s="930">
        <v>14</v>
      </c>
      <c r="K53" s="913">
        <v>36</v>
      </c>
      <c r="L53" s="913">
        <v>9</v>
      </c>
      <c r="M53" s="929">
        <v>16</v>
      </c>
      <c r="N53" s="930">
        <v>4</v>
      </c>
      <c r="O53" s="913">
        <v>2</v>
      </c>
      <c r="P53" s="913">
        <v>12</v>
      </c>
      <c r="Q53" s="929">
        <v>29</v>
      </c>
      <c r="R53" s="930">
        <v>93</v>
      </c>
      <c r="S53" s="913">
        <v>53</v>
      </c>
      <c r="T53" s="913">
        <v>100</v>
      </c>
      <c r="U53" s="929">
        <v>105</v>
      </c>
      <c r="V53" s="930">
        <v>103</v>
      </c>
      <c r="W53" s="1293">
        <f t="shared" si="18"/>
        <v>266</v>
      </c>
      <c r="X53" s="937">
        <f t="shared" si="18"/>
        <v>352</v>
      </c>
      <c r="Y53" s="937">
        <f t="shared" si="19"/>
        <v>618</v>
      </c>
      <c r="Z53" s="896"/>
    </row>
    <row r="54" spans="1:31" ht="18.75" customHeight="1">
      <c r="A54" s="880" t="s">
        <v>208</v>
      </c>
      <c r="B54" s="881" t="s">
        <v>209</v>
      </c>
      <c r="C54" s="919"/>
      <c r="D54" s="919"/>
      <c r="E54" s="1345"/>
      <c r="F54" s="1346"/>
      <c r="G54" s="919"/>
      <c r="H54" s="919"/>
      <c r="I54" s="1345"/>
      <c r="J54" s="1346"/>
      <c r="K54" s="919"/>
      <c r="L54" s="919"/>
      <c r="M54" s="929"/>
      <c r="N54" s="930">
        <v>1</v>
      </c>
      <c r="O54" s="913"/>
      <c r="P54" s="913">
        <v>149</v>
      </c>
      <c r="Q54" s="1552">
        <v>2</v>
      </c>
      <c r="R54" s="930">
        <v>2058</v>
      </c>
      <c r="S54" s="913"/>
      <c r="T54" s="913">
        <v>9</v>
      </c>
      <c r="U54" s="1345"/>
      <c r="V54" s="1346"/>
      <c r="W54" s="1293">
        <f t="shared" si="18"/>
        <v>2</v>
      </c>
      <c r="X54" s="937">
        <f t="shared" si="18"/>
        <v>2217</v>
      </c>
      <c r="Y54" s="937">
        <f t="shared" si="19"/>
        <v>2219</v>
      </c>
      <c r="Z54" s="896"/>
    </row>
    <row r="55" spans="1:31" ht="18" customHeight="1">
      <c r="A55" s="880" t="s">
        <v>722</v>
      </c>
      <c r="B55" s="881" t="s">
        <v>723</v>
      </c>
      <c r="C55" s="913">
        <v>125</v>
      </c>
      <c r="D55" s="913">
        <v>110</v>
      </c>
      <c r="E55" s="929">
        <v>12</v>
      </c>
      <c r="F55" s="930">
        <v>13</v>
      </c>
      <c r="G55" s="971">
        <v>14</v>
      </c>
      <c r="H55" s="971">
        <v>10</v>
      </c>
      <c r="I55" s="1345"/>
      <c r="J55" s="1346"/>
      <c r="K55" s="919"/>
      <c r="L55" s="919"/>
      <c r="M55" s="1345"/>
      <c r="N55" s="1346"/>
      <c r="O55" s="919"/>
      <c r="P55" s="919"/>
      <c r="Q55" s="1345"/>
      <c r="R55" s="1346"/>
      <c r="S55" s="919"/>
      <c r="T55" s="919"/>
      <c r="U55" s="1345"/>
      <c r="V55" s="1346"/>
      <c r="W55" s="1293">
        <f t="shared" si="18"/>
        <v>151</v>
      </c>
      <c r="X55" s="937">
        <f t="shared" si="18"/>
        <v>133</v>
      </c>
      <c r="Y55" s="937">
        <f t="shared" si="19"/>
        <v>284</v>
      </c>
      <c r="Z55" s="896"/>
      <c r="AA55" s="921"/>
      <c r="AB55" s="921"/>
      <c r="AC55" s="921"/>
      <c r="AD55" s="921"/>
      <c r="AE55" s="921"/>
    </row>
    <row r="56" spans="1:31" ht="20.25" customHeight="1">
      <c r="A56" s="880" t="s">
        <v>724</v>
      </c>
      <c r="B56" s="881" t="s">
        <v>725</v>
      </c>
      <c r="C56" s="913">
        <v>8</v>
      </c>
      <c r="D56" s="913">
        <v>10</v>
      </c>
      <c r="E56" s="929"/>
      <c r="F56" s="930">
        <v>2</v>
      </c>
      <c r="G56" s="913">
        <v>10</v>
      </c>
      <c r="H56" s="913">
        <v>7</v>
      </c>
      <c r="I56" s="929">
        <v>14</v>
      </c>
      <c r="J56" s="1344">
        <v>9</v>
      </c>
      <c r="K56" s="913">
        <v>15</v>
      </c>
      <c r="L56" s="913">
        <v>1</v>
      </c>
      <c r="M56" s="929">
        <v>4</v>
      </c>
      <c r="N56" s="930"/>
      <c r="O56" s="913"/>
      <c r="P56" s="913">
        <v>3</v>
      </c>
      <c r="Q56" s="929">
        <v>3</v>
      </c>
      <c r="R56" s="930"/>
      <c r="S56" s="913">
        <v>1</v>
      </c>
      <c r="T56" s="913">
        <v>2</v>
      </c>
      <c r="U56" s="929">
        <v>1</v>
      </c>
      <c r="V56" s="930">
        <v>1</v>
      </c>
      <c r="W56" s="1293">
        <f t="shared" si="18"/>
        <v>56</v>
      </c>
      <c r="X56" s="937">
        <f t="shared" si="18"/>
        <v>35</v>
      </c>
      <c r="Y56" s="937">
        <f t="shared" si="19"/>
        <v>91</v>
      </c>
      <c r="Z56" s="896"/>
    </row>
    <row r="57" spans="1:31" ht="19.5" customHeight="1">
      <c r="A57" s="880" t="s">
        <v>718</v>
      </c>
      <c r="B57" s="881" t="s">
        <v>738</v>
      </c>
      <c r="C57" s="920"/>
      <c r="D57" s="920"/>
      <c r="E57" s="1349"/>
      <c r="F57" s="1350"/>
      <c r="G57" s="913">
        <v>1</v>
      </c>
      <c r="H57" s="913"/>
      <c r="I57" s="929"/>
      <c r="J57" s="930"/>
      <c r="K57" s="913"/>
      <c r="L57" s="913"/>
      <c r="M57" s="929">
        <v>1</v>
      </c>
      <c r="N57" s="930"/>
      <c r="O57" s="913"/>
      <c r="P57" s="913"/>
      <c r="Q57" s="929">
        <v>1</v>
      </c>
      <c r="R57" s="930"/>
      <c r="S57" s="913">
        <v>1</v>
      </c>
      <c r="T57" s="913">
        <v>1</v>
      </c>
      <c r="U57" s="929">
        <v>2</v>
      </c>
      <c r="V57" s="930">
        <v>2</v>
      </c>
      <c r="W57" s="1293">
        <f t="shared" si="18"/>
        <v>6</v>
      </c>
      <c r="X57" s="937">
        <f t="shared" si="18"/>
        <v>3</v>
      </c>
      <c r="Y57" s="937">
        <f t="shared" si="19"/>
        <v>9</v>
      </c>
      <c r="Z57" s="896"/>
    </row>
    <row r="58" spans="1:31" ht="19.5" customHeight="1">
      <c r="A58" s="880" t="s">
        <v>710</v>
      </c>
      <c r="B58" s="884" t="s">
        <v>210</v>
      </c>
      <c r="C58" s="920"/>
      <c r="D58" s="920"/>
      <c r="E58" s="1349">
        <v>1</v>
      </c>
      <c r="F58" s="1350">
        <v>1</v>
      </c>
      <c r="G58" s="913">
        <v>7</v>
      </c>
      <c r="H58" s="913">
        <v>8</v>
      </c>
      <c r="I58" s="929">
        <v>44</v>
      </c>
      <c r="J58" s="930">
        <v>41</v>
      </c>
      <c r="K58" s="913">
        <v>20</v>
      </c>
      <c r="L58" s="913">
        <v>24</v>
      </c>
      <c r="M58" s="929">
        <v>11</v>
      </c>
      <c r="N58" s="930">
        <v>19</v>
      </c>
      <c r="O58" s="913">
        <v>15</v>
      </c>
      <c r="P58" s="913">
        <v>17</v>
      </c>
      <c r="Q58" s="929">
        <v>134</v>
      </c>
      <c r="R58" s="930">
        <v>63</v>
      </c>
      <c r="S58" s="913">
        <v>81</v>
      </c>
      <c r="T58" s="913">
        <v>33</v>
      </c>
      <c r="U58" s="929">
        <v>44</v>
      </c>
      <c r="V58" s="930">
        <v>46</v>
      </c>
      <c r="W58" s="1293">
        <f t="shared" ref="W58:W59" si="20">+C58+E58+G58+I58+K58+M58+O58+Q58+S58+U58</f>
        <v>357</v>
      </c>
      <c r="X58" s="937">
        <f t="shared" ref="X58:X59" si="21">+D58+F58+H58+J58+L58+N58+P58+R58+T58+V58</f>
        <v>252</v>
      </c>
      <c r="Y58" s="937">
        <f t="shared" ref="Y58:Y59" si="22">SUM(W58:X58)</f>
        <v>609</v>
      </c>
      <c r="Z58" s="896"/>
    </row>
    <row r="59" spans="1:31" ht="19.5" customHeight="1">
      <c r="A59" s="245" t="s">
        <v>1660</v>
      </c>
      <c r="B59" s="293" t="s">
        <v>1662</v>
      </c>
      <c r="C59" s="920"/>
      <c r="D59" s="920"/>
      <c r="E59" s="1349"/>
      <c r="F59" s="1350"/>
      <c r="G59" s="913"/>
      <c r="H59" s="913"/>
      <c r="I59" s="929">
        <v>1</v>
      </c>
      <c r="J59" s="930"/>
      <c r="K59" s="913">
        <v>1</v>
      </c>
      <c r="L59" s="913"/>
      <c r="M59" s="929">
        <v>1</v>
      </c>
      <c r="N59" s="930">
        <v>2</v>
      </c>
      <c r="O59" s="913">
        <v>2</v>
      </c>
      <c r="P59" s="913"/>
      <c r="Q59" s="929">
        <v>17</v>
      </c>
      <c r="R59" s="930">
        <v>25</v>
      </c>
      <c r="S59" s="913">
        <v>74</v>
      </c>
      <c r="T59" s="913">
        <v>41</v>
      </c>
      <c r="U59" s="929">
        <v>70</v>
      </c>
      <c r="V59" s="930">
        <v>54</v>
      </c>
      <c r="W59" s="1293">
        <f t="shared" si="20"/>
        <v>166</v>
      </c>
      <c r="X59" s="937">
        <f t="shared" si="21"/>
        <v>122</v>
      </c>
      <c r="Y59" s="937">
        <f t="shared" si="22"/>
        <v>288</v>
      </c>
      <c r="Z59" s="896"/>
    </row>
    <row r="60" spans="1:31" ht="27.75" customHeight="1">
      <c r="A60" s="245" t="s">
        <v>1661</v>
      </c>
      <c r="B60" s="293" t="s">
        <v>1663</v>
      </c>
      <c r="C60" s="920"/>
      <c r="D60" s="920"/>
      <c r="E60" s="1349"/>
      <c r="F60" s="1350"/>
      <c r="G60" s="913"/>
      <c r="H60" s="913"/>
      <c r="I60" s="929"/>
      <c r="J60" s="930"/>
      <c r="K60" s="913"/>
      <c r="L60" s="913"/>
      <c r="M60" s="929">
        <v>1</v>
      </c>
      <c r="N60" s="930"/>
      <c r="O60" s="913">
        <v>1</v>
      </c>
      <c r="P60" s="913"/>
      <c r="Q60" s="929"/>
      <c r="R60" s="930"/>
      <c r="S60" s="913"/>
      <c r="T60" s="913"/>
      <c r="U60" s="929"/>
      <c r="V60" s="930"/>
      <c r="W60" s="1293">
        <f t="shared" si="18"/>
        <v>2</v>
      </c>
      <c r="X60" s="937">
        <f t="shared" si="18"/>
        <v>0</v>
      </c>
      <c r="Y60" s="937">
        <f t="shared" si="19"/>
        <v>2</v>
      </c>
      <c r="Z60" s="896"/>
    </row>
    <row r="61" spans="1:31" ht="19.5" customHeight="1">
      <c r="A61" s="885"/>
      <c r="B61" s="885" t="s">
        <v>832</v>
      </c>
      <c r="C61" s="1308">
        <f t="shared" ref="C61" si="23">SUM(C41:C60)</f>
        <v>133</v>
      </c>
      <c r="D61" s="931">
        <f>SUM(D41:D60)</f>
        <v>121</v>
      </c>
      <c r="E61" s="1308">
        <f>SUM(E41:E60)</f>
        <v>13</v>
      </c>
      <c r="F61" s="1312">
        <f t="shared" ref="F61:X61" si="24">SUM(F41:F60)</f>
        <v>16</v>
      </c>
      <c r="G61" s="931">
        <f t="shared" si="24"/>
        <v>85</v>
      </c>
      <c r="H61" s="931">
        <f t="shared" si="24"/>
        <v>66</v>
      </c>
      <c r="I61" s="1308">
        <f t="shared" si="24"/>
        <v>139</v>
      </c>
      <c r="J61" s="1312">
        <f t="shared" si="24"/>
        <v>116</v>
      </c>
      <c r="K61" s="931">
        <f t="shared" si="24"/>
        <v>174</v>
      </c>
      <c r="L61" s="931">
        <f t="shared" si="24"/>
        <v>119</v>
      </c>
      <c r="M61" s="1308">
        <f t="shared" si="24"/>
        <v>132</v>
      </c>
      <c r="N61" s="1312">
        <f t="shared" si="24"/>
        <v>123</v>
      </c>
      <c r="O61" s="931">
        <f t="shared" si="24"/>
        <v>56</v>
      </c>
      <c r="P61" s="931">
        <f t="shared" si="24"/>
        <v>231</v>
      </c>
      <c r="Q61" s="1308">
        <f t="shared" si="24"/>
        <v>590</v>
      </c>
      <c r="R61" s="1312">
        <f t="shared" si="24"/>
        <v>2746</v>
      </c>
      <c r="S61" s="931">
        <f t="shared" si="24"/>
        <v>820</v>
      </c>
      <c r="T61" s="931">
        <f t="shared" si="24"/>
        <v>767</v>
      </c>
      <c r="U61" s="1308">
        <f t="shared" si="24"/>
        <v>1037</v>
      </c>
      <c r="V61" s="1312">
        <f t="shared" si="24"/>
        <v>976</v>
      </c>
      <c r="W61" s="1308">
        <f t="shared" si="24"/>
        <v>3179</v>
      </c>
      <c r="X61" s="1312">
        <f t="shared" si="24"/>
        <v>5281</v>
      </c>
      <c r="Y61" s="932">
        <f>SUM(Y41:Y60)</f>
        <v>8460</v>
      </c>
      <c r="AA61" s="896"/>
      <c r="AB61" s="896"/>
      <c r="AC61" s="896"/>
      <c r="AD61" s="896"/>
    </row>
    <row r="63" spans="1:31">
      <c r="U63" s="921" t="s">
        <v>216</v>
      </c>
      <c r="V63" s="921"/>
    </row>
  </sheetData>
  <mergeCells count="16">
    <mergeCell ref="W39:Y39"/>
    <mergeCell ref="C8:D8"/>
    <mergeCell ref="E8:F8"/>
    <mergeCell ref="M8:N8"/>
    <mergeCell ref="AC8:AE8"/>
    <mergeCell ref="C38:V38"/>
    <mergeCell ref="C39:D39"/>
    <mergeCell ref="E39:F39"/>
    <mergeCell ref="G39:H39"/>
    <mergeCell ref="I39:J39"/>
    <mergeCell ref="K39:L39"/>
    <mergeCell ref="M39:N39"/>
    <mergeCell ref="O39:P39"/>
    <mergeCell ref="Q39:R39"/>
    <mergeCell ref="S39:T39"/>
    <mergeCell ref="U39:V39"/>
  </mergeCells>
  <phoneticPr fontId="19" type="noConversion"/>
  <pageMargins left="1.771653543307086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7"/>
  <sheetViews>
    <sheetView zoomScale="74" zoomScaleNormal="74" workbookViewId="0">
      <selection activeCell="AF30" sqref="AF30"/>
    </sheetView>
  </sheetViews>
  <sheetFormatPr baseColWidth="10" defaultColWidth="11.44140625" defaultRowHeight="13.2"/>
  <cols>
    <col min="1" max="1" width="9.44140625" style="897" customWidth="1"/>
    <col min="2" max="2" width="28" style="897" customWidth="1"/>
    <col min="3" max="4" width="10.5546875" style="897" customWidth="1"/>
    <col min="5" max="6" width="9.77734375" style="897" customWidth="1"/>
    <col min="7" max="8" width="9.21875" style="897" customWidth="1"/>
    <col min="9" max="10" width="9.5546875" style="897" customWidth="1"/>
    <col min="11" max="12" width="9.77734375" style="897" customWidth="1"/>
    <col min="13" max="14" width="10.21875" style="897" customWidth="1"/>
    <col min="15" max="18" width="9.77734375" style="897" customWidth="1"/>
    <col min="19" max="20" width="10" style="897" customWidth="1"/>
    <col min="21" max="22" width="10.21875" style="897" customWidth="1"/>
    <col min="23" max="24" width="8.5546875" style="897" customWidth="1"/>
    <col min="25" max="26" width="9.21875" style="897" customWidth="1"/>
    <col min="27" max="16384" width="11.44140625" style="897"/>
  </cols>
  <sheetData>
    <row r="1" spans="1:31">
      <c r="A1" s="1710" t="s">
        <v>195</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row>
    <row r="2" spans="1:31">
      <c r="A2" s="908"/>
      <c r="B2" s="908"/>
      <c r="C2" s="918"/>
      <c r="D2" s="918"/>
      <c r="E2" s="918"/>
      <c r="F2" s="918"/>
      <c r="G2" s="918"/>
      <c r="H2" s="918"/>
      <c r="I2" s="918"/>
      <c r="J2" s="918"/>
      <c r="K2" s="918"/>
      <c r="L2" s="918"/>
      <c r="M2" s="918"/>
      <c r="N2" s="918"/>
      <c r="O2" s="918"/>
      <c r="P2" s="918"/>
      <c r="Q2" s="918"/>
      <c r="R2" s="918"/>
      <c r="S2" s="918"/>
      <c r="T2" s="918"/>
      <c r="U2" s="918"/>
      <c r="V2" s="918"/>
      <c r="W2" s="918"/>
      <c r="X2" s="918"/>
      <c r="Y2" s="918"/>
      <c r="Z2" s="918"/>
      <c r="AA2" s="923"/>
      <c r="AB2" s="923"/>
      <c r="AC2" s="923"/>
      <c r="AD2" s="923"/>
      <c r="AE2" s="923"/>
    </row>
    <row r="3" spans="1:31">
      <c r="A3" s="1710" t="str">
        <f>+'89'!A3</f>
        <v>SERVICIO DE SALUD   ACONCAGUA   2020</v>
      </c>
      <c r="B3" s="1710"/>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row>
    <row r="4" spans="1:31">
      <c r="A4" s="908"/>
      <c r="B4" s="908"/>
      <c r="C4" s="918"/>
      <c r="D4" s="918"/>
      <c r="E4" s="918"/>
      <c r="F4" s="918"/>
      <c r="G4" s="918"/>
      <c r="H4" s="918"/>
      <c r="I4" s="918"/>
      <c r="J4" s="918"/>
      <c r="K4" s="918"/>
      <c r="L4" s="918"/>
      <c r="M4" s="918"/>
      <c r="N4" s="918"/>
      <c r="O4" s="918"/>
      <c r="P4" s="918"/>
      <c r="Q4" s="918"/>
      <c r="R4" s="918"/>
      <c r="S4" s="918"/>
      <c r="T4" s="918"/>
      <c r="U4" s="918"/>
      <c r="V4" s="918"/>
      <c r="W4" s="918"/>
      <c r="X4" s="918"/>
      <c r="Y4" s="918"/>
      <c r="Z4" s="918"/>
      <c r="AA4" s="923"/>
      <c r="AB4" s="923"/>
      <c r="AC4" s="923"/>
      <c r="AD4" s="923"/>
      <c r="AE4" s="923"/>
    </row>
    <row r="5" spans="1:31">
      <c r="A5" s="1710" t="s">
        <v>915</v>
      </c>
      <c r="B5" s="1710"/>
      <c r="C5" s="1710"/>
      <c r="D5" s="1710"/>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710"/>
      <c r="AD5" s="1710"/>
      <c r="AE5" s="1710"/>
    </row>
    <row r="6" spans="1:31">
      <c r="A6" s="909"/>
    </row>
    <row r="7" spans="1:31" ht="18.75" customHeight="1">
      <c r="A7" s="1299" t="s">
        <v>680</v>
      </c>
      <c r="B7" s="868"/>
      <c r="C7" s="869"/>
      <c r="D7" s="869"/>
      <c r="E7" s="869"/>
      <c r="F7" s="870" t="s">
        <v>681</v>
      </c>
      <c r="G7" s="870"/>
      <c r="H7" s="870"/>
      <c r="I7" s="870"/>
      <c r="J7" s="870"/>
      <c r="K7" s="870"/>
      <c r="L7" s="870"/>
      <c r="M7" s="870"/>
      <c r="N7" s="870"/>
      <c r="O7" s="870"/>
      <c r="P7" s="870"/>
      <c r="Q7" s="870"/>
      <c r="R7" s="870"/>
      <c r="S7" s="870"/>
      <c r="T7" s="870"/>
      <c r="U7" s="870"/>
      <c r="V7" s="870"/>
      <c r="W7" s="870"/>
      <c r="X7" s="870"/>
      <c r="Y7" s="870"/>
      <c r="Z7" s="870"/>
      <c r="AA7" s="870"/>
      <c r="AB7" s="870"/>
      <c r="AC7" s="870"/>
      <c r="AD7" s="870"/>
      <c r="AE7" s="871"/>
    </row>
    <row r="8" spans="1:31" ht="23.25" customHeight="1">
      <c r="A8" s="1300" t="s">
        <v>682</v>
      </c>
      <c r="B8" s="1337" t="s">
        <v>683</v>
      </c>
      <c r="C8" s="1701" t="s">
        <v>684</v>
      </c>
      <c r="D8" s="1702"/>
      <c r="E8" s="1703" t="s">
        <v>630</v>
      </c>
      <c r="F8" s="1700"/>
      <c r="G8" s="1291" t="s">
        <v>685</v>
      </c>
      <c r="H8" s="1291"/>
      <c r="I8" s="1291" t="s">
        <v>686</v>
      </c>
      <c r="J8" s="1291"/>
      <c r="K8" s="1291" t="s">
        <v>429</v>
      </c>
      <c r="L8" s="1291"/>
      <c r="M8" s="1704" t="s">
        <v>687</v>
      </c>
      <c r="N8" s="1705"/>
      <c r="O8" s="1291" t="s">
        <v>688</v>
      </c>
      <c r="P8" s="1291"/>
      <c r="Q8" s="1291" t="s">
        <v>393</v>
      </c>
      <c r="R8" s="1291"/>
      <c r="S8" s="1291" t="s">
        <v>411</v>
      </c>
      <c r="T8" s="1291"/>
      <c r="U8" s="1291" t="s">
        <v>416</v>
      </c>
      <c r="V8" s="1291"/>
      <c r="W8" s="1291" t="s">
        <v>689</v>
      </c>
      <c r="X8" s="1291"/>
      <c r="Y8" s="1291" t="s">
        <v>418</v>
      </c>
      <c r="Z8" s="1291"/>
      <c r="AA8" s="1291" t="s">
        <v>690</v>
      </c>
      <c r="AB8" s="876"/>
      <c r="AC8" s="1706" t="s">
        <v>517</v>
      </c>
      <c r="AD8" s="1707"/>
      <c r="AE8" s="1703"/>
    </row>
    <row r="9" spans="1:31" ht="13.8" thickBot="1">
      <c r="A9" s="1302"/>
      <c r="B9" s="1338"/>
      <c r="C9" s="1321" t="s">
        <v>1461</v>
      </c>
      <c r="D9" s="871" t="s">
        <v>1462</v>
      </c>
      <c r="E9" s="1317" t="s">
        <v>1461</v>
      </c>
      <c r="F9" s="1318" t="s">
        <v>1462</v>
      </c>
      <c r="G9" s="1316" t="s">
        <v>1461</v>
      </c>
      <c r="H9" s="1318" t="s">
        <v>1462</v>
      </c>
      <c r="I9" s="1317" t="s">
        <v>1461</v>
      </c>
      <c r="J9" s="1318" t="s">
        <v>1462</v>
      </c>
      <c r="K9" s="1317" t="s">
        <v>1461</v>
      </c>
      <c r="L9" s="1318" t="s">
        <v>1462</v>
      </c>
      <c r="M9" s="1321" t="s">
        <v>1461</v>
      </c>
      <c r="N9" s="871" t="s">
        <v>1462</v>
      </c>
      <c r="O9" s="1316" t="s">
        <v>1461</v>
      </c>
      <c r="P9" s="1318" t="s">
        <v>1462</v>
      </c>
      <c r="Q9" s="1317" t="s">
        <v>1461</v>
      </c>
      <c r="R9" s="1317" t="s">
        <v>1462</v>
      </c>
      <c r="S9" s="1316" t="s">
        <v>1461</v>
      </c>
      <c r="T9" s="1318" t="s">
        <v>1462</v>
      </c>
      <c r="U9" s="1317" t="s">
        <v>1461</v>
      </c>
      <c r="V9" s="1318" t="s">
        <v>1462</v>
      </c>
      <c r="W9" s="1317" t="s">
        <v>1461</v>
      </c>
      <c r="X9" s="1317" t="s">
        <v>1462</v>
      </c>
      <c r="Y9" s="1316" t="s">
        <v>1461</v>
      </c>
      <c r="Z9" s="1318" t="s">
        <v>1462</v>
      </c>
      <c r="AA9" s="1317" t="s">
        <v>1461</v>
      </c>
      <c r="AB9" s="1318" t="s">
        <v>1462</v>
      </c>
      <c r="AC9" s="1321" t="s">
        <v>1461</v>
      </c>
      <c r="AD9" s="871" t="s">
        <v>1462</v>
      </c>
      <c r="AE9" s="899" t="s">
        <v>491</v>
      </c>
    </row>
    <row r="10" spans="1:31" ht="18" customHeight="1">
      <c r="A10" s="880" t="s">
        <v>716</v>
      </c>
      <c r="B10" s="881" t="s">
        <v>717</v>
      </c>
      <c r="C10" s="1330">
        <f t="shared" ref="C10:D13" si="0">+E10+G10+I10+K10</f>
        <v>58</v>
      </c>
      <c r="D10" s="1331">
        <f t="shared" si="0"/>
        <v>62</v>
      </c>
      <c r="E10" s="913">
        <v>38</v>
      </c>
      <c r="F10" s="913">
        <v>39</v>
      </c>
      <c r="G10" s="1320">
        <v>10</v>
      </c>
      <c r="H10" s="871">
        <v>11</v>
      </c>
      <c r="I10" s="1320">
        <v>5</v>
      </c>
      <c r="J10" s="871">
        <v>9</v>
      </c>
      <c r="K10" s="913">
        <v>5</v>
      </c>
      <c r="L10" s="913">
        <v>3</v>
      </c>
      <c r="M10" s="1322">
        <f>+O10+Q10+S10+U10+W10+Y10</f>
        <v>5</v>
      </c>
      <c r="N10" s="1323">
        <f>+P10+R10+T10+V10+X10+Z10</f>
        <v>4</v>
      </c>
      <c r="O10" s="913">
        <v>4</v>
      </c>
      <c r="P10" s="913">
        <v>2</v>
      </c>
      <c r="Q10" s="1320"/>
      <c r="R10" s="871"/>
      <c r="S10" s="913"/>
      <c r="T10" s="913">
        <v>1</v>
      </c>
      <c r="U10" s="1320"/>
      <c r="V10" s="871"/>
      <c r="W10" s="913">
        <v>1</v>
      </c>
      <c r="X10" s="913"/>
      <c r="Y10" s="1320"/>
      <c r="Z10" s="871">
        <v>1</v>
      </c>
      <c r="AA10" s="913">
        <v>15</v>
      </c>
      <c r="AB10" s="913">
        <v>20</v>
      </c>
      <c r="AC10" s="1322">
        <f t="shared" ref="AC10:AD13" si="1">+M10+C10+AA10</f>
        <v>78</v>
      </c>
      <c r="AD10" s="1323">
        <f t="shared" si="1"/>
        <v>86</v>
      </c>
      <c r="AE10" s="1334">
        <f t="shared" ref="AE10:AE13" si="2">SUM(AC10:AD10)</f>
        <v>164</v>
      </c>
    </row>
    <row r="11" spans="1:31" ht="20.25" customHeight="1">
      <c r="A11" s="880" t="s">
        <v>693</v>
      </c>
      <c r="B11" s="881" t="s">
        <v>694</v>
      </c>
      <c r="C11" s="1332">
        <f t="shared" si="0"/>
        <v>95</v>
      </c>
      <c r="D11" s="1333">
        <f t="shared" si="0"/>
        <v>144</v>
      </c>
      <c r="E11" s="913">
        <v>63</v>
      </c>
      <c r="F11" s="913">
        <v>99</v>
      </c>
      <c r="G11" s="929">
        <v>16</v>
      </c>
      <c r="H11" s="930">
        <v>17</v>
      </c>
      <c r="I11" s="929">
        <v>11</v>
      </c>
      <c r="J11" s="930">
        <v>14</v>
      </c>
      <c r="K11" s="913">
        <v>5</v>
      </c>
      <c r="L11" s="913">
        <v>14</v>
      </c>
      <c r="M11" s="1324">
        <f t="shared" ref="M11:N26" si="3">+O11+Q11+S11+U11+W11+Y11</f>
        <v>44</v>
      </c>
      <c r="N11" s="1325">
        <f t="shared" si="3"/>
        <v>26</v>
      </c>
      <c r="O11" s="913">
        <v>24</v>
      </c>
      <c r="P11" s="913">
        <v>16</v>
      </c>
      <c r="Q11" s="929">
        <v>4</v>
      </c>
      <c r="R11" s="930"/>
      <c r="S11" s="913">
        <v>3</v>
      </c>
      <c r="T11" s="913">
        <v>5</v>
      </c>
      <c r="U11" s="929">
        <v>1</v>
      </c>
      <c r="V11" s="930">
        <v>3</v>
      </c>
      <c r="W11" s="913">
        <v>6</v>
      </c>
      <c r="X11" s="913">
        <v>2</v>
      </c>
      <c r="Y11" s="929">
        <v>6</v>
      </c>
      <c r="Z11" s="930"/>
      <c r="AA11" s="913">
        <v>44</v>
      </c>
      <c r="AB11" s="913">
        <v>39</v>
      </c>
      <c r="AC11" s="1324">
        <f t="shared" si="1"/>
        <v>183</v>
      </c>
      <c r="AD11" s="1325">
        <f t="shared" si="1"/>
        <v>209</v>
      </c>
      <c r="AE11" s="1335">
        <f t="shared" si="2"/>
        <v>392</v>
      </c>
    </row>
    <row r="12" spans="1:31" ht="19.5" customHeight="1">
      <c r="A12" s="880" t="s">
        <v>196</v>
      </c>
      <c r="B12" s="881" t="s">
        <v>197</v>
      </c>
      <c r="C12" s="1332">
        <f t="shared" si="0"/>
        <v>8</v>
      </c>
      <c r="D12" s="1333">
        <f t="shared" si="0"/>
        <v>10</v>
      </c>
      <c r="E12" s="913">
        <v>7</v>
      </c>
      <c r="F12" s="913">
        <v>5</v>
      </c>
      <c r="G12" s="929"/>
      <c r="H12" s="930">
        <v>3</v>
      </c>
      <c r="I12" s="929">
        <v>1</v>
      </c>
      <c r="J12" s="930">
        <v>1</v>
      </c>
      <c r="K12" s="913"/>
      <c r="L12" s="913">
        <v>1</v>
      </c>
      <c r="M12" s="1324">
        <f t="shared" si="3"/>
        <v>1</v>
      </c>
      <c r="N12" s="1325">
        <f t="shared" si="3"/>
        <v>0</v>
      </c>
      <c r="O12" s="913">
        <v>1</v>
      </c>
      <c r="P12" s="913"/>
      <c r="Q12" s="929"/>
      <c r="R12" s="930"/>
      <c r="S12" s="913"/>
      <c r="T12" s="913"/>
      <c r="U12" s="929"/>
      <c r="V12" s="930"/>
      <c r="W12" s="913"/>
      <c r="X12" s="913"/>
      <c r="Y12" s="929"/>
      <c r="Z12" s="930"/>
      <c r="AA12" s="913">
        <v>7</v>
      </c>
      <c r="AB12" s="913">
        <v>5</v>
      </c>
      <c r="AC12" s="1324">
        <f t="shared" si="1"/>
        <v>16</v>
      </c>
      <c r="AD12" s="1325">
        <f t="shared" si="1"/>
        <v>15</v>
      </c>
      <c r="AE12" s="1335">
        <f t="shared" si="2"/>
        <v>31</v>
      </c>
    </row>
    <row r="13" spans="1:31" ht="20.25" customHeight="1">
      <c r="A13" s="880" t="s">
        <v>720</v>
      </c>
      <c r="B13" s="881" t="s">
        <v>721</v>
      </c>
      <c r="C13" s="1332">
        <f t="shared" si="0"/>
        <v>45</v>
      </c>
      <c r="D13" s="1333">
        <f t="shared" si="0"/>
        <v>47</v>
      </c>
      <c r="E13" s="913">
        <v>30</v>
      </c>
      <c r="F13" s="913">
        <v>32</v>
      </c>
      <c r="G13" s="929">
        <v>11</v>
      </c>
      <c r="H13" s="930">
        <v>4</v>
      </c>
      <c r="I13" s="929">
        <v>2</v>
      </c>
      <c r="J13" s="930">
        <v>5</v>
      </c>
      <c r="K13" s="913">
        <v>2</v>
      </c>
      <c r="L13" s="913">
        <v>6</v>
      </c>
      <c r="M13" s="1324">
        <f t="shared" si="3"/>
        <v>4</v>
      </c>
      <c r="N13" s="1325">
        <f t="shared" si="3"/>
        <v>7</v>
      </c>
      <c r="O13" s="913">
        <v>2</v>
      </c>
      <c r="P13" s="913">
        <v>4</v>
      </c>
      <c r="Q13" s="929">
        <v>1</v>
      </c>
      <c r="R13" s="930"/>
      <c r="S13" s="913">
        <v>1</v>
      </c>
      <c r="T13" s="913">
        <v>2</v>
      </c>
      <c r="U13" s="929"/>
      <c r="V13" s="930"/>
      <c r="W13" s="913"/>
      <c r="X13" s="913">
        <v>1</v>
      </c>
      <c r="Y13" s="929"/>
      <c r="Z13" s="930"/>
      <c r="AA13" s="913">
        <v>20</v>
      </c>
      <c r="AB13" s="913">
        <v>22</v>
      </c>
      <c r="AC13" s="1324">
        <f t="shared" si="1"/>
        <v>69</v>
      </c>
      <c r="AD13" s="1325">
        <f t="shared" si="1"/>
        <v>76</v>
      </c>
      <c r="AE13" s="1335">
        <f t="shared" si="2"/>
        <v>145</v>
      </c>
    </row>
    <row r="14" spans="1:31" ht="19.5" customHeight="1">
      <c r="A14" s="880" t="s">
        <v>198</v>
      </c>
      <c r="B14" s="881" t="s">
        <v>199</v>
      </c>
      <c r="C14" s="1332">
        <f>+E14+G14+I14+K14</f>
        <v>5</v>
      </c>
      <c r="D14" s="1333">
        <f>+F14+H14+J14+L14</f>
        <v>21</v>
      </c>
      <c r="E14" s="914">
        <v>2</v>
      </c>
      <c r="F14" s="914">
        <v>16</v>
      </c>
      <c r="G14" s="929">
        <v>1</v>
      </c>
      <c r="H14" s="930">
        <v>1</v>
      </c>
      <c r="I14" s="929">
        <v>2</v>
      </c>
      <c r="J14" s="930">
        <v>1</v>
      </c>
      <c r="K14" s="913"/>
      <c r="L14" s="913">
        <v>3</v>
      </c>
      <c r="M14" s="1324">
        <f t="shared" si="3"/>
        <v>0</v>
      </c>
      <c r="N14" s="1325">
        <f t="shared" si="3"/>
        <v>0</v>
      </c>
      <c r="O14" s="913"/>
      <c r="P14" s="913"/>
      <c r="Q14" s="929"/>
      <c r="R14" s="930"/>
      <c r="S14" s="913"/>
      <c r="T14" s="913"/>
      <c r="U14" s="929"/>
      <c r="V14" s="930"/>
      <c r="W14" s="913"/>
      <c r="X14" s="913"/>
      <c r="Y14" s="929"/>
      <c r="Z14" s="930"/>
      <c r="AA14" s="913"/>
      <c r="AB14" s="913">
        <v>1</v>
      </c>
      <c r="AC14" s="1324">
        <f>+M14+C14+AA14</f>
        <v>5</v>
      </c>
      <c r="AD14" s="1325">
        <f>+N14+D14+AB14</f>
        <v>22</v>
      </c>
      <c r="AE14" s="1335">
        <f>SUM(AC14:AD14)</f>
        <v>27</v>
      </c>
    </row>
    <row r="15" spans="1:31" ht="19.5" customHeight="1">
      <c r="A15" s="880" t="s">
        <v>200</v>
      </c>
      <c r="B15" s="881" t="s">
        <v>201</v>
      </c>
      <c r="C15" s="1332">
        <f t="shared" ref="C15:D29" si="4">+E15+G15+I15+K15</f>
        <v>18</v>
      </c>
      <c r="D15" s="1333">
        <f t="shared" si="4"/>
        <v>11</v>
      </c>
      <c r="E15" s="913">
        <v>11</v>
      </c>
      <c r="F15" s="913">
        <v>8</v>
      </c>
      <c r="G15" s="929">
        <v>3</v>
      </c>
      <c r="H15" s="930">
        <v>2</v>
      </c>
      <c r="I15" s="929">
        <v>4</v>
      </c>
      <c r="J15" s="930"/>
      <c r="K15" s="913"/>
      <c r="L15" s="913">
        <v>1</v>
      </c>
      <c r="M15" s="1324">
        <f t="shared" si="3"/>
        <v>1</v>
      </c>
      <c r="N15" s="1325">
        <f t="shared" si="3"/>
        <v>0</v>
      </c>
      <c r="O15" s="913"/>
      <c r="P15" s="913"/>
      <c r="Q15" s="929"/>
      <c r="R15" s="930"/>
      <c r="S15" s="913">
        <v>1</v>
      </c>
      <c r="T15" s="913"/>
      <c r="U15" s="929"/>
      <c r="V15" s="930"/>
      <c r="W15" s="913"/>
      <c r="X15" s="913"/>
      <c r="Y15" s="929"/>
      <c r="Z15" s="930"/>
      <c r="AA15" s="913">
        <v>3</v>
      </c>
      <c r="AB15" s="913">
        <v>6</v>
      </c>
      <c r="AC15" s="1324">
        <f t="shared" ref="AC15:AD29" si="5">+M15+C15+AA15</f>
        <v>22</v>
      </c>
      <c r="AD15" s="1325">
        <f t="shared" si="5"/>
        <v>17</v>
      </c>
      <c r="AE15" s="1335">
        <f t="shared" ref="AE15:AE25" si="6">SUM(AC15:AD15)</f>
        <v>39</v>
      </c>
    </row>
    <row r="16" spans="1:31" ht="19.5" customHeight="1">
      <c r="A16" s="880" t="s">
        <v>202</v>
      </c>
      <c r="B16" s="881" t="s">
        <v>203</v>
      </c>
      <c r="C16" s="1332">
        <f t="shared" si="4"/>
        <v>1</v>
      </c>
      <c r="D16" s="1333">
        <f t="shared" si="4"/>
        <v>6</v>
      </c>
      <c r="E16" s="913"/>
      <c r="F16" s="913">
        <v>3</v>
      </c>
      <c r="G16" s="929"/>
      <c r="H16" s="930"/>
      <c r="I16" s="929">
        <v>1</v>
      </c>
      <c r="J16" s="930">
        <v>3</v>
      </c>
      <c r="K16" s="913"/>
      <c r="L16" s="913"/>
      <c r="M16" s="1324">
        <f t="shared" si="3"/>
        <v>0</v>
      </c>
      <c r="N16" s="1325">
        <f t="shared" si="3"/>
        <v>0</v>
      </c>
      <c r="O16" s="913"/>
      <c r="P16" s="913"/>
      <c r="Q16" s="929"/>
      <c r="R16" s="930"/>
      <c r="S16" s="913"/>
      <c r="T16" s="913"/>
      <c r="U16" s="929"/>
      <c r="V16" s="930"/>
      <c r="W16" s="913"/>
      <c r="X16" s="913"/>
      <c r="Y16" s="929"/>
      <c r="Z16" s="930"/>
      <c r="AA16" s="913">
        <v>2</v>
      </c>
      <c r="AB16" s="913">
        <v>4</v>
      </c>
      <c r="AC16" s="1324">
        <f t="shared" si="5"/>
        <v>3</v>
      </c>
      <c r="AD16" s="1325">
        <f t="shared" si="5"/>
        <v>10</v>
      </c>
      <c r="AE16" s="1335">
        <f t="shared" si="6"/>
        <v>13</v>
      </c>
    </row>
    <row r="17" spans="1:31" ht="20.25" customHeight="1">
      <c r="A17" s="880" t="s">
        <v>691</v>
      </c>
      <c r="B17" s="881" t="s">
        <v>692</v>
      </c>
      <c r="C17" s="1332">
        <f t="shared" si="4"/>
        <v>241</v>
      </c>
      <c r="D17" s="1333">
        <f t="shared" si="4"/>
        <v>187</v>
      </c>
      <c r="E17" s="913">
        <v>154</v>
      </c>
      <c r="F17" s="913">
        <v>129</v>
      </c>
      <c r="G17" s="929">
        <v>29</v>
      </c>
      <c r="H17" s="930">
        <v>23</v>
      </c>
      <c r="I17" s="929">
        <v>37</v>
      </c>
      <c r="J17" s="930">
        <v>26</v>
      </c>
      <c r="K17" s="913">
        <v>21</v>
      </c>
      <c r="L17" s="913">
        <v>9</v>
      </c>
      <c r="M17" s="1324">
        <f t="shared" si="3"/>
        <v>14</v>
      </c>
      <c r="N17" s="1325">
        <f t="shared" si="3"/>
        <v>4</v>
      </c>
      <c r="O17" s="913">
        <v>10</v>
      </c>
      <c r="P17" s="913"/>
      <c r="Q17" s="929">
        <v>2</v>
      </c>
      <c r="R17" s="930"/>
      <c r="S17" s="913">
        <v>1</v>
      </c>
      <c r="T17" s="913">
        <v>4</v>
      </c>
      <c r="U17" s="929"/>
      <c r="V17" s="930"/>
      <c r="W17" s="913">
        <v>1</v>
      </c>
      <c r="X17" s="913"/>
      <c r="Y17" s="929"/>
      <c r="Z17" s="930"/>
      <c r="AA17" s="913">
        <v>65</v>
      </c>
      <c r="AB17" s="913">
        <v>55</v>
      </c>
      <c r="AC17" s="1324">
        <f t="shared" si="5"/>
        <v>320</v>
      </c>
      <c r="AD17" s="1325">
        <f t="shared" si="5"/>
        <v>246</v>
      </c>
      <c r="AE17" s="1335">
        <f t="shared" si="6"/>
        <v>566</v>
      </c>
    </row>
    <row r="18" spans="1:31" ht="19.5" customHeight="1">
      <c r="A18" s="880" t="s">
        <v>695</v>
      </c>
      <c r="B18" s="881" t="s">
        <v>696</v>
      </c>
      <c r="C18" s="1332">
        <f t="shared" si="4"/>
        <v>134</v>
      </c>
      <c r="D18" s="1333">
        <f t="shared" si="4"/>
        <v>123</v>
      </c>
      <c r="E18" s="913">
        <v>95</v>
      </c>
      <c r="F18" s="913">
        <v>89</v>
      </c>
      <c r="G18" s="929">
        <v>19</v>
      </c>
      <c r="H18" s="930">
        <v>15</v>
      </c>
      <c r="I18" s="929">
        <v>8</v>
      </c>
      <c r="J18" s="930">
        <v>11</v>
      </c>
      <c r="K18" s="913">
        <v>12</v>
      </c>
      <c r="L18" s="913">
        <v>8</v>
      </c>
      <c r="M18" s="1324">
        <f t="shared" si="3"/>
        <v>7</v>
      </c>
      <c r="N18" s="1325">
        <f t="shared" si="3"/>
        <v>6</v>
      </c>
      <c r="O18" s="913">
        <v>4</v>
      </c>
      <c r="P18" s="913">
        <v>2</v>
      </c>
      <c r="Q18" s="929">
        <v>3</v>
      </c>
      <c r="R18" s="930"/>
      <c r="S18" s="913"/>
      <c r="T18" s="913">
        <v>2</v>
      </c>
      <c r="U18" s="929"/>
      <c r="V18" s="930">
        <v>1</v>
      </c>
      <c r="W18" s="913"/>
      <c r="X18" s="913">
        <v>1</v>
      </c>
      <c r="Y18" s="929"/>
      <c r="Z18" s="930"/>
      <c r="AA18" s="913">
        <v>31</v>
      </c>
      <c r="AB18" s="913">
        <v>36</v>
      </c>
      <c r="AC18" s="1324">
        <f t="shared" si="5"/>
        <v>172</v>
      </c>
      <c r="AD18" s="1325">
        <f t="shared" si="5"/>
        <v>165</v>
      </c>
      <c r="AE18" s="1335">
        <f t="shared" si="6"/>
        <v>337</v>
      </c>
    </row>
    <row r="19" spans="1:31" ht="19.5" customHeight="1">
      <c r="A19" s="880" t="s">
        <v>712</v>
      </c>
      <c r="B19" s="881" t="s">
        <v>713</v>
      </c>
      <c r="C19" s="1332">
        <f t="shared" si="4"/>
        <v>354</v>
      </c>
      <c r="D19" s="1333">
        <f t="shared" si="4"/>
        <v>415</v>
      </c>
      <c r="E19" s="913">
        <v>216</v>
      </c>
      <c r="F19" s="913">
        <v>250</v>
      </c>
      <c r="G19" s="929">
        <v>64</v>
      </c>
      <c r="H19" s="930">
        <v>76</v>
      </c>
      <c r="I19" s="929">
        <v>49</v>
      </c>
      <c r="J19" s="930">
        <v>45</v>
      </c>
      <c r="K19" s="913">
        <v>25</v>
      </c>
      <c r="L19" s="913">
        <v>44</v>
      </c>
      <c r="M19" s="1324">
        <f t="shared" si="3"/>
        <v>20</v>
      </c>
      <c r="N19" s="1325">
        <f t="shared" si="3"/>
        <v>17</v>
      </c>
      <c r="O19" s="913">
        <v>11</v>
      </c>
      <c r="P19" s="913">
        <v>11</v>
      </c>
      <c r="Q19" s="929"/>
      <c r="R19" s="930">
        <v>1</v>
      </c>
      <c r="S19" s="913">
        <v>3</v>
      </c>
      <c r="T19" s="913">
        <v>4</v>
      </c>
      <c r="U19" s="929">
        <v>1</v>
      </c>
      <c r="V19" s="930"/>
      <c r="W19" s="913">
        <v>2</v>
      </c>
      <c r="X19" s="913">
        <v>1</v>
      </c>
      <c r="Y19" s="929">
        <v>3</v>
      </c>
      <c r="Z19" s="930"/>
      <c r="AA19" s="913">
        <v>73</v>
      </c>
      <c r="AB19" s="913">
        <v>89</v>
      </c>
      <c r="AC19" s="1324">
        <f t="shared" si="5"/>
        <v>447</v>
      </c>
      <c r="AD19" s="1325">
        <f t="shared" si="5"/>
        <v>521</v>
      </c>
      <c r="AE19" s="1335">
        <f t="shared" si="6"/>
        <v>968</v>
      </c>
    </row>
    <row r="20" spans="1:31" ht="18.75" customHeight="1">
      <c r="A20" s="880" t="s">
        <v>204</v>
      </c>
      <c r="B20" s="881" t="s">
        <v>205</v>
      </c>
      <c r="C20" s="1332">
        <f t="shared" si="4"/>
        <v>36</v>
      </c>
      <c r="D20" s="1333">
        <f t="shared" si="4"/>
        <v>20</v>
      </c>
      <c r="E20" s="913">
        <v>24</v>
      </c>
      <c r="F20" s="913">
        <v>13</v>
      </c>
      <c r="G20" s="929">
        <v>5</v>
      </c>
      <c r="H20" s="930">
        <v>3</v>
      </c>
      <c r="I20" s="929">
        <v>2</v>
      </c>
      <c r="J20" s="930">
        <v>3</v>
      </c>
      <c r="K20" s="913">
        <v>5</v>
      </c>
      <c r="L20" s="913">
        <v>1</v>
      </c>
      <c r="M20" s="1324">
        <f t="shared" si="3"/>
        <v>3</v>
      </c>
      <c r="N20" s="1325">
        <f t="shared" si="3"/>
        <v>3</v>
      </c>
      <c r="O20" s="913">
        <v>2</v>
      </c>
      <c r="P20" s="913">
        <v>2</v>
      </c>
      <c r="Q20" s="929"/>
      <c r="R20" s="930"/>
      <c r="S20" s="913"/>
      <c r="T20" s="913">
        <v>1</v>
      </c>
      <c r="U20" s="929"/>
      <c r="V20" s="930"/>
      <c r="W20" s="913">
        <v>1</v>
      </c>
      <c r="X20" s="913"/>
      <c r="Y20" s="929"/>
      <c r="Z20" s="930"/>
      <c r="AA20" s="913">
        <v>10</v>
      </c>
      <c r="AB20" s="913">
        <v>7</v>
      </c>
      <c r="AC20" s="1324">
        <f t="shared" si="5"/>
        <v>49</v>
      </c>
      <c r="AD20" s="1325">
        <f t="shared" si="5"/>
        <v>30</v>
      </c>
      <c r="AE20" s="1335">
        <f t="shared" si="6"/>
        <v>79</v>
      </c>
    </row>
    <row r="21" spans="1:31" ht="19.5" customHeight="1">
      <c r="A21" s="880" t="s">
        <v>206</v>
      </c>
      <c r="B21" s="881" t="s">
        <v>207</v>
      </c>
      <c r="C21" s="1332">
        <f t="shared" si="4"/>
        <v>53</v>
      </c>
      <c r="D21" s="1333">
        <f t="shared" si="4"/>
        <v>86</v>
      </c>
      <c r="E21" s="913">
        <v>35</v>
      </c>
      <c r="F21" s="913">
        <v>46</v>
      </c>
      <c r="G21" s="929">
        <v>4</v>
      </c>
      <c r="H21" s="930">
        <v>17</v>
      </c>
      <c r="I21" s="929">
        <v>8</v>
      </c>
      <c r="J21" s="930">
        <v>18</v>
      </c>
      <c r="K21" s="913">
        <v>6</v>
      </c>
      <c r="L21" s="913">
        <v>5</v>
      </c>
      <c r="M21" s="1324">
        <f t="shared" si="3"/>
        <v>53</v>
      </c>
      <c r="N21" s="1325">
        <f t="shared" si="3"/>
        <v>67</v>
      </c>
      <c r="O21" s="913">
        <v>23</v>
      </c>
      <c r="P21" s="913">
        <v>30</v>
      </c>
      <c r="Q21" s="929">
        <v>7</v>
      </c>
      <c r="R21" s="930">
        <v>5</v>
      </c>
      <c r="S21" s="913">
        <v>4</v>
      </c>
      <c r="T21" s="913">
        <v>5</v>
      </c>
      <c r="U21" s="929">
        <v>4</v>
      </c>
      <c r="V21" s="930">
        <v>5</v>
      </c>
      <c r="W21" s="913">
        <v>11</v>
      </c>
      <c r="X21" s="913">
        <v>12</v>
      </c>
      <c r="Y21" s="929">
        <v>4</v>
      </c>
      <c r="Z21" s="930">
        <v>10</v>
      </c>
      <c r="AA21" s="913">
        <v>31</v>
      </c>
      <c r="AB21" s="913">
        <v>76</v>
      </c>
      <c r="AC21" s="1324">
        <f t="shared" si="5"/>
        <v>137</v>
      </c>
      <c r="AD21" s="1325">
        <f t="shared" si="5"/>
        <v>229</v>
      </c>
      <c r="AE21" s="1335">
        <f t="shared" si="6"/>
        <v>366</v>
      </c>
    </row>
    <row r="22" spans="1:31" ht="19.5" customHeight="1">
      <c r="A22" s="880" t="s">
        <v>714</v>
      </c>
      <c r="B22" s="881" t="s">
        <v>715</v>
      </c>
      <c r="C22" s="1332">
        <f t="shared" si="4"/>
        <v>212</v>
      </c>
      <c r="D22" s="1333">
        <f t="shared" si="4"/>
        <v>258</v>
      </c>
      <c r="E22" s="913">
        <v>142</v>
      </c>
      <c r="F22" s="913">
        <v>148</v>
      </c>
      <c r="G22" s="929">
        <v>39</v>
      </c>
      <c r="H22" s="1344">
        <v>47</v>
      </c>
      <c r="I22" s="929">
        <v>21</v>
      </c>
      <c r="J22" s="930">
        <v>34</v>
      </c>
      <c r="K22" s="913">
        <v>10</v>
      </c>
      <c r="L22" s="913">
        <v>29</v>
      </c>
      <c r="M22" s="1324">
        <f t="shared" si="3"/>
        <v>81</v>
      </c>
      <c r="N22" s="1325">
        <f t="shared" si="3"/>
        <v>51</v>
      </c>
      <c r="O22" s="913">
        <v>42</v>
      </c>
      <c r="P22" s="913">
        <v>23</v>
      </c>
      <c r="Q22" s="929">
        <v>10</v>
      </c>
      <c r="R22" s="930">
        <v>9</v>
      </c>
      <c r="S22" s="913">
        <v>15</v>
      </c>
      <c r="T22" s="913">
        <v>6</v>
      </c>
      <c r="U22" s="929">
        <v>3</v>
      </c>
      <c r="V22" s="930">
        <v>1</v>
      </c>
      <c r="W22" s="913">
        <v>6</v>
      </c>
      <c r="X22" s="913">
        <v>9</v>
      </c>
      <c r="Y22" s="929">
        <v>5</v>
      </c>
      <c r="Z22" s="930">
        <v>3</v>
      </c>
      <c r="AA22" s="913">
        <v>79</v>
      </c>
      <c r="AB22" s="913">
        <v>72</v>
      </c>
      <c r="AC22" s="1324">
        <f t="shared" si="5"/>
        <v>372</v>
      </c>
      <c r="AD22" s="1325">
        <f t="shared" si="5"/>
        <v>381</v>
      </c>
      <c r="AE22" s="1335">
        <f t="shared" si="6"/>
        <v>753</v>
      </c>
    </row>
    <row r="23" spans="1:31" ht="18.75" customHeight="1">
      <c r="A23" s="880" t="s">
        <v>208</v>
      </c>
      <c r="B23" s="881" t="s">
        <v>209</v>
      </c>
      <c r="C23" s="1332">
        <f t="shared" si="4"/>
        <v>0</v>
      </c>
      <c r="D23" s="1333">
        <f t="shared" si="4"/>
        <v>831</v>
      </c>
      <c r="E23" s="913"/>
      <c r="F23" s="913">
        <v>532</v>
      </c>
      <c r="G23" s="929"/>
      <c r="H23" s="930">
        <v>116</v>
      </c>
      <c r="I23" s="929"/>
      <c r="J23" s="930">
        <v>98</v>
      </c>
      <c r="K23" s="913"/>
      <c r="L23" s="913">
        <v>85</v>
      </c>
      <c r="M23" s="1324">
        <f t="shared" si="3"/>
        <v>0</v>
      </c>
      <c r="N23" s="1325">
        <f t="shared" si="3"/>
        <v>39</v>
      </c>
      <c r="O23" s="913"/>
      <c r="P23" s="913">
        <v>33</v>
      </c>
      <c r="Q23" s="929"/>
      <c r="R23" s="930"/>
      <c r="S23" s="913"/>
      <c r="T23" s="913">
        <v>3</v>
      </c>
      <c r="U23" s="929"/>
      <c r="V23" s="930"/>
      <c r="W23" s="913"/>
      <c r="X23" s="913">
        <v>3</v>
      </c>
      <c r="Y23" s="929"/>
      <c r="Z23" s="930"/>
      <c r="AA23" s="913"/>
      <c r="AB23" s="913">
        <v>310</v>
      </c>
      <c r="AC23" s="1324">
        <f t="shared" si="5"/>
        <v>0</v>
      </c>
      <c r="AD23" s="1325">
        <f t="shared" si="5"/>
        <v>1180</v>
      </c>
      <c r="AE23" s="1335">
        <f t="shared" si="6"/>
        <v>1180</v>
      </c>
    </row>
    <row r="24" spans="1:31" ht="19.5" customHeight="1">
      <c r="A24" s="880" t="s">
        <v>722</v>
      </c>
      <c r="B24" s="881" t="s">
        <v>723</v>
      </c>
      <c r="C24" s="1332">
        <f t="shared" si="4"/>
        <v>90</v>
      </c>
      <c r="D24" s="1333">
        <f t="shared" si="4"/>
        <v>57</v>
      </c>
      <c r="E24" s="913">
        <v>56</v>
      </c>
      <c r="F24" s="913">
        <v>34</v>
      </c>
      <c r="G24" s="929">
        <v>15</v>
      </c>
      <c r="H24" s="930">
        <v>9</v>
      </c>
      <c r="I24" s="929">
        <v>13</v>
      </c>
      <c r="J24" s="930">
        <v>9</v>
      </c>
      <c r="K24" s="913">
        <v>6</v>
      </c>
      <c r="L24" s="913">
        <v>5</v>
      </c>
      <c r="M24" s="1324">
        <f t="shared" si="3"/>
        <v>2</v>
      </c>
      <c r="N24" s="1325">
        <f t="shared" si="3"/>
        <v>1</v>
      </c>
      <c r="O24" s="913">
        <v>1</v>
      </c>
      <c r="P24" s="913">
        <v>1</v>
      </c>
      <c r="Q24" s="929"/>
      <c r="R24" s="930"/>
      <c r="S24" s="913"/>
      <c r="T24" s="913"/>
      <c r="U24" s="929">
        <v>1</v>
      </c>
      <c r="V24" s="930"/>
      <c r="W24" s="913"/>
      <c r="X24" s="913"/>
      <c r="Y24" s="929"/>
      <c r="Z24" s="930"/>
      <c r="AA24" s="913">
        <v>20</v>
      </c>
      <c r="AB24" s="913">
        <v>19</v>
      </c>
      <c r="AC24" s="1324">
        <f t="shared" si="5"/>
        <v>112</v>
      </c>
      <c r="AD24" s="1325">
        <f t="shared" si="5"/>
        <v>77</v>
      </c>
      <c r="AE24" s="1335">
        <f t="shared" si="6"/>
        <v>189</v>
      </c>
    </row>
    <row r="25" spans="1:31" ht="20.25" customHeight="1">
      <c r="A25" s="880" t="s">
        <v>724</v>
      </c>
      <c r="B25" s="881" t="s">
        <v>725</v>
      </c>
      <c r="C25" s="1332">
        <f t="shared" si="4"/>
        <v>2</v>
      </c>
      <c r="D25" s="1333">
        <f t="shared" si="4"/>
        <v>6</v>
      </c>
      <c r="E25" s="913">
        <v>2</v>
      </c>
      <c r="F25" s="913">
        <v>4</v>
      </c>
      <c r="G25" s="929"/>
      <c r="H25" s="930"/>
      <c r="I25" s="929"/>
      <c r="J25" s="930">
        <v>2</v>
      </c>
      <c r="K25" s="913"/>
      <c r="L25" s="913"/>
      <c r="M25" s="1324">
        <f t="shared" si="3"/>
        <v>6</v>
      </c>
      <c r="N25" s="1325">
        <f t="shared" si="3"/>
        <v>6</v>
      </c>
      <c r="O25" s="913">
        <v>5</v>
      </c>
      <c r="P25" s="913">
        <v>3</v>
      </c>
      <c r="Q25" s="929"/>
      <c r="R25" s="930"/>
      <c r="S25" s="913">
        <v>1</v>
      </c>
      <c r="T25" s="913"/>
      <c r="U25" s="929"/>
      <c r="V25" s="930"/>
      <c r="W25" s="913"/>
      <c r="X25" s="913">
        <v>3</v>
      </c>
      <c r="Y25" s="929"/>
      <c r="Z25" s="930"/>
      <c r="AA25" s="913">
        <v>3</v>
      </c>
      <c r="AB25" s="913">
        <v>3</v>
      </c>
      <c r="AC25" s="1324">
        <f t="shared" si="5"/>
        <v>11</v>
      </c>
      <c r="AD25" s="1325">
        <f t="shared" si="5"/>
        <v>15</v>
      </c>
      <c r="AE25" s="1335">
        <f t="shared" si="6"/>
        <v>26</v>
      </c>
    </row>
    <row r="26" spans="1:31" ht="21.75" customHeight="1">
      <c r="A26" s="880" t="s">
        <v>718</v>
      </c>
      <c r="B26" s="881" t="s">
        <v>738</v>
      </c>
      <c r="C26" s="1332">
        <f t="shared" si="4"/>
        <v>22</v>
      </c>
      <c r="D26" s="1333">
        <f t="shared" si="4"/>
        <v>33</v>
      </c>
      <c r="E26" s="913">
        <v>10</v>
      </c>
      <c r="F26" s="913">
        <v>23</v>
      </c>
      <c r="G26" s="929">
        <v>1</v>
      </c>
      <c r="H26" s="930">
        <v>4</v>
      </c>
      <c r="I26" s="929">
        <v>6</v>
      </c>
      <c r="J26" s="930">
        <v>6</v>
      </c>
      <c r="K26" s="913">
        <v>5</v>
      </c>
      <c r="L26" s="913"/>
      <c r="M26" s="1324">
        <f t="shared" si="3"/>
        <v>3</v>
      </c>
      <c r="N26" s="1325">
        <f t="shared" si="3"/>
        <v>4</v>
      </c>
      <c r="O26" s="913">
        <v>2</v>
      </c>
      <c r="P26" s="913">
        <v>1</v>
      </c>
      <c r="Q26" s="929"/>
      <c r="R26" s="930">
        <v>1</v>
      </c>
      <c r="S26" s="913">
        <v>1</v>
      </c>
      <c r="T26" s="913">
        <v>1</v>
      </c>
      <c r="U26" s="929"/>
      <c r="V26" s="930"/>
      <c r="W26" s="913"/>
      <c r="X26" s="913"/>
      <c r="Y26" s="929"/>
      <c r="Z26" s="930">
        <v>1</v>
      </c>
      <c r="AA26" s="913">
        <v>3</v>
      </c>
      <c r="AB26" s="913">
        <v>9</v>
      </c>
      <c r="AC26" s="1324">
        <f t="shared" si="5"/>
        <v>28</v>
      </c>
      <c r="AD26" s="1325">
        <f t="shared" si="5"/>
        <v>46</v>
      </c>
      <c r="AE26" s="1335">
        <f t="shared" ref="AE26:AE29" si="7">SUM(AC26:AD26)</f>
        <v>74</v>
      </c>
    </row>
    <row r="27" spans="1:31" ht="21.75" customHeight="1">
      <c r="A27" s="880" t="s">
        <v>710</v>
      </c>
      <c r="B27" s="884" t="s">
        <v>210</v>
      </c>
      <c r="C27" s="1332">
        <v>309</v>
      </c>
      <c r="D27" s="1333">
        <v>257</v>
      </c>
      <c r="E27" s="913">
        <v>191</v>
      </c>
      <c r="F27" s="913">
        <v>164</v>
      </c>
      <c r="G27" s="929">
        <v>48</v>
      </c>
      <c r="H27" s="930">
        <v>40</v>
      </c>
      <c r="I27" s="929">
        <v>43</v>
      </c>
      <c r="J27" s="930">
        <v>22</v>
      </c>
      <c r="K27" s="913">
        <v>27</v>
      </c>
      <c r="L27" s="913">
        <v>31</v>
      </c>
      <c r="M27" s="1324">
        <f t="shared" ref="M27:M28" si="8">+O27+Q27+S27+U27+W27+Y27</f>
        <v>262</v>
      </c>
      <c r="N27" s="1325">
        <f t="shared" ref="N27:N28" si="9">+P27+R27+T27+V27+X27+Z27</f>
        <v>204</v>
      </c>
      <c r="O27" s="913">
        <v>130</v>
      </c>
      <c r="P27" s="913">
        <v>92</v>
      </c>
      <c r="Q27" s="929">
        <v>25</v>
      </c>
      <c r="R27" s="930">
        <v>30</v>
      </c>
      <c r="S27" s="913">
        <v>24</v>
      </c>
      <c r="T27" s="913">
        <v>21</v>
      </c>
      <c r="U27" s="929">
        <v>14</v>
      </c>
      <c r="V27" s="930">
        <v>7</v>
      </c>
      <c r="W27" s="913">
        <v>48</v>
      </c>
      <c r="X27" s="913">
        <v>39</v>
      </c>
      <c r="Y27" s="929">
        <v>21</v>
      </c>
      <c r="Z27" s="930">
        <v>15</v>
      </c>
      <c r="AA27" s="913">
        <v>124</v>
      </c>
      <c r="AB27" s="913">
        <v>88</v>
      </c>
      <c r="AC27" s="1324">
        <f t="shared" ref="AC27:AC28" si="10">+M27+C27+AA27</f>
        <v>695</v>
      </c>
      <c r="AD27" s="1325">
        <f t="shared" ref="AD27:AD28" si="11">+N27+D27+AB27</f>
        <v>549</v>
      </c>
      <c r="AE27" s="1335">
        <f t="shared" ref="AE27:AE28" si="12">SUM(AC27:AD27)</f>
        <v>1244</v>
      </c>
    </row>
    <row r="28" spans="1:31" ht="21.75" customHeight="1">
      <c r="A28" s="245" t="s">
        <v>1660</v>
      </c>
      <c r="B28" s="293" t="s">
        <v>1662</v>
      </c>
      <c r="C28" s="1332">
        <f t="shared" ref="C28" si="13">+E28+G28+I28+K28</f>
        <v>85</v>
      </c>
      <c r="D28" s="1333">
        <f t="shared" ref="D28" si="14">+F28+H28+J28+L28</f>
        <v>61</v>
      </c>
      <c r="E28" s="913">
        <v>62</v>
      </c>
      <c r="F28" s="913">
        <v>40</v>
      </c>
      <c r="G28" s="929">
        <v>9</v>
      </c>
      <c r="H28" s="930">
        <v>7</v>
      </c>
      <c r="I28" s="929">
        <v>10</v>
      </c>
      <c r="J28" s="930">
        <v>11</v>
      </c>
      <c r="K28" s="913">
        <v>4</v>
      </c>
      <c r="L28" s="913">
        <v>3</v>
      </c>
      <c r="M28" s="1324">
        <f t="shared" si="8"/>
        <v>6</v>
      </c>
      <c r="N28" s="1325">
        <f t="shared" si="9"/>
        <v>1</v>
      </c>
      <c r="O28" s="913">
        <v>5</v>
      </c>
      <c r="P28" s="913">
        <v>1</v>
      </c>
      <c r="Q28" s="929"/>
      <c r="R28" s="930"/>
      <c r="S28" s="913"/>
      <c r="T28" s="913"/>
      <c r="U28" s="929"/>
      <c r="V28" s="930"/>
      <c r="W28" s="913">
        <v>1</v>
      </c>
      <c r="X28" s="913"/>
      <c r="Y28" s="929"/>
      <c r="Z28" s="930"/>
      <c r="AA28" s="913">
        <v>26</v>
      </c>
      <c r="AB28" s="913">
        <v>23</v>
      </c>
      <c r="AC28" s="1324">
        <f t="shared" si="10"/>
        <v>117</v>
      </c>
      <c r="AD28" s="1325">
        <f t="shared" si="11"/>
        <v>85</v>
      </c>
      <c r="AE28" s="1335">
        <f t="shared" si="12"/>
        <v>202</v>
      </c>
    </row>
    <row r="29" spans="1:31" ht="27.75" customHeight="1">
      <c r="A29" s="245" t="s">
        <v>1661</v>
      </c>
      <c r="B29" s="293" t="s">
        <v>1663</v>
      </c>
      <c r="C29" s="1332">
        <f t="shared" si="4"/>
        <v>3</v>
      </c>
      <c r="D29" s="1333">
        <f t="shared" si="4"/>
        <v>5</v>
      </c>
      <c r="E29" s="913">
        <v>3</v>
      </c>
      <c r="F29" s="913">
        <v>3</v>
      </c>
      <c r="G29" s="929"/>
      <c r="H29" s="930">
        <v>1</v>
      </c>
      <c r="I29" s="929"/>
      <c r="J29" s="930">
        <v>1</v>
      </c>
      <c r="K29" s="913"/>
      <c r="L29" s="913"/>
      <c r="M29" s="1324">
        <f t="shared" ref="M29:N29" si="15">+O29+Q29+S29+U29+W29+Y29</f>
        <v>0</v>
      </c>
      <c r="N29" s="1325">
        <f t="shared" si="15"/>
        <v>0</v>
      </c>
      <c r="O29" s="913"/>
      <c r="P29" s="913"/>
      <c r="Q29" s="929"/>
      <c r="R29" s="930"/>
      <c r="S29" s="913"/>
      <c r="T29" s="913"/>
      <c r="U29" s="929"/>
      <c r="V29" s="930"/>
      <c r="W29" s="913"/>
      <c r="X29" s="913"/>
      <c r="Y29" s="929"/>
      <c r="Z29" s="930"/>
      <c r="AA29" s="913">
        <v>1</v>
      </c>
      <c r="AB29" s="913">
        <v>3</v>
      </c>
      <c r="AC29" s="1324">
        <f t="shared" si="5"/>
        <v>4</v>
      </c>
      <c r="AD29" s="1325">
        <f t="shared" si="5"/>
        <v>8</v>
      </c>
      <c r="AE29" s="1335">
        <f t="shared" si="7"/>
        <v>12</v>
      </c>
    </row>
    <row r="30" spans="1:31" ht="21.75" customHeight="1" thickBot="1">
      <c r="A30" s="885"/>
      <c r="B30" s="885" t="s">
        <v>832</v>
      </c>
      <c r="C30" s="1326">
        <f>SUM(C10:C29)</f>
        <v>1771</v>
      </c>
      <c r="D30" s="1327">
        <f>SUM(D10:D29)</f>
        <v>2640</v>
      </c>
      <c r="E30" s="924">
        <f>SUM(E10:E29)</f>
        <v>1141</v>
      </c>
      <c r="F30" s="924">
        <f t="shared" ref="F30:AE30" si="16">SUM(F10:F29)</f>
        <v>1677</v>
      </c>
      <c r="G30" s="1295">
        <f t="shared" si="16"/>
        <v>274</v>
      </c>
      <c r="H30" s="1296">
        <f t="shared" si="16"/>
        <v>396</v>
      </c>
      <c r="I30" s="1295">
        <f t="shared" si="16"/>
        <v>223</v>
      </c>
      <c r="J30" s="1296">
        <f t="shared" si="16"/>
        <v>319</v>
      </c>
      <c r="K30" s="924">
        <f t="shared" si="16"/>
        <v>133</v>
      </c>
      <c r="L30" s="924">
        <f t="shared" si="16"/>
        <v>248</v>
      </c>
      <c r="M30" s="1326">
        <f t="shared" si="16"/>
        <v>512</v>
      </c>
      <c r="N30" s="1327">
        <f t="shared" si="16"/>
        <v>440</v>
      </c>
      <c r="O30" s="924">
        <f t="shared" si="16"/>
        <v>266</v>
      </c>
      <c r="P30" s="924">
        <f t="shared" si="16"/>
        <v>221</v>
      </c>
      <c r="Q30" s="1295">
        <f t="shared" si="16"/>
        <v>52</v>
      </c>
      <c r="R30" s="1296">
        <f t="shared" si="16"/>
        <v>46</v>
      </c>
      <c r="S30" s="924">
        <f t="shared" si="16"/>
        <v>54</v>
      </c>
      <c r="T30" s="924">
        <f t="shared" si="16"/>
        <v>55</v>
      </c>
      <c r="U30" s="1295">
        <f t="shared" si="16"/>
        <v>24</v>
      </c>
      <c r="V30" s="1296">
        <f t="shared" si="16"/>
        <v>17</v>
      </c>
      <c r="W30" s="924">
        <f t="shared" si="16"/>
        <v>77</v>
      </c>
      <c r="X30" s="924">
        <f t="shared" si="16"/>
        <v>71</v>
      </c>
      <c r="Y30" s="1295">
        <f t="shared" si="16"/>
        <v>39</v>
      </c>
      <c r="Z30" s="1296">
        <f t="shared" si="16"/>
        <v>30</v>
      </c>
      <c r="AA30" s="924">
        <f t="shared" si="16"/>
        <v>557</v>
      </c>
      <c r="AB30" s="924">
        <f t="shared" si="16"/>
        <v>887</v>
      </c>
      <c r="AC30" s="1326">
        <f t="shared" si="16"/>
        <v>2840</v>
      </c>
      <c r="AD30" s="1327">
        <f t="shared" si="16"/>
        <v>3967</v>
      </c>
      <c r="AE30" s="1336">
        <f t="shared" si="16"/>
        <v>6807</v>
      </c>
    </row>
    <row r="31" spans="1:31" ht="21.75" customHeight="1">
      <c r="A31" s="888"/>
      <c r="B31" s="888"/>
      <c r="C31" s="889"/>
      <c r="D31" s="889"/>
      <c r="E31" s="915"/>
      <c r="F31" s="915"/>
      <c r="G31" s="915"/>
      <c r="H31" s="915"/>
      <c r="I31" s="915"/>
      <c r="J31" s="915"/>
      <c r="K31" s="915"/>
      <c r="L31" s="915"/>
      <c r="M31" s="915"/>
      <c r="N31" s="915"/>
      <c r="O31" s="915"/>
      <c r="P31" s="915"/>
      <c r="Q31" s="915"/>
      <c r="R31" s="915"/>
      <c r="S31" s="915"/>
      <c r="T31" s="915"/>
      <c r="U31" s="915"/>
      <c r="V31" s="915"/>
      <c r="W31" s="915"/>
      <c r="X31" s="915"/>
      <c r="Y31" s="925"/>
      <c r="Z31" s="925"/>
      <c r="AA31" s="913"/>
      <c r="AB31" s="913"/>
      <c r="AC31" s="913"/>
      <c r="AD31" s="913"/>
    </row>
    <row r="32" spans="1:31" ht="19.5" customHeight="1">
      <c r="A32" s="1711" t="s">
        <v>211</v>
      </c>
      <c r="B32" s="1711"/>
      <c r="C32" s="1711"/>
      <c r="D32" s="1711"/>
      <c r="E32" s="1711"/>
      <c r="F32" s="1711"/>
      <c r="G32" s="1711"/>
      <c r="H32" s="1711"/>
      <c r="I32" s="1711"/>
      <c r="J32" s="1711"/>
      <c r="K32" s="1711"/>
      <c r="L32" s="1711"/>
      <c r="M32" s="1711"/>
      <c r="N32" s="1711"/>
      <c r="O32" s="1711"/>
      <c r="P32" s="1711"/>
      <c r="Q32" s="1711"/>
      <c r="R32" s="1711"/>
      <c r="S32" s="1711"/>
      <c r="T32" s="1711"/>
      <c r="U32" s="1711"/>
      <c r="V32" s="1711"/>
      <c r="W32" s="1711"/>
      <c r="X32" s="1319"/>
      <c r="Y32" s="927"/>
      <c r="Z32" s="927"/>
      <c r="AA32" s="913"/>
      <c r="AB32" s="913"/>
      <c r="AC32" s="913"/>
      <c r="AD32" s="913"/>
    </row>
    <row r="33" spans="1:30">
      <c r="A33" s="926"/>
      <c r="B33" s="926"/>
      <c r="C33" s="928"/>
      <c r="D33" s="928"/>
      <c r="E33" s="928"/>
      <c r="F33" s="928"/>
      <c r="G33" s="928"/>
      <c r="H33" s="928"/>
      <c r="I33" s="928"/>
      <c r="J33" s="928"/>
      <c r="K33" s="913"/>
      <c r="L33" s="913"/>
      <c r="M33" s="913"/>
      <c r="N33" s="913"/>
      <c r="O33" s="913"/>
      <c r="P33" s="913"/>
      <c r="Q33" s="913"/>
      <c r="R33" s="913"/>
      <c r="S33" s="913"/>
      <c r="T33" s="913"/>
      <c r="U33" s="913"/>
      <c r="V33" s="913"/>
      <c r="W33" s="913"/>
      <c r="X33" s="913"/>
      <c r="Y33" s="913"/>
      <c r="Z33" s="913"/>
      <c r="AA33" s="913"/>
      <c r="AB33" s="913"/>
      <c r="AC33" s="913"/>
      <c r="AD33" s="913"/>
    </row>
    <row r="34" spans="1:30">
      <c r="A34" s="1711" t="str">
        <f>+A3</f>
        <v>SERVICIO DE SALUD   ACONCAGUA   2020</v>
      </c>
      <c r="B34" s="1711"/>
      <c r="C34" s="1711"/>
      <c r="D34" s="1711"/>
      <c r="E34" s="1711"/>
      <c r="F34" s="1711"/>
      <c r="G34" s="1711"/>
      <c r="H34" s="1711"/>
      <c r="I34" s="1711"/>
      <c r="J34" s="1711"/>
      <c r="K34" s="1711"/>
      <c r="L34" s="1711"/>
      <c r="M34" s="1711"/>
      <c r="N34" s="1711"/>
      <c r="O34" s="1711"/>
      <c r="P34" s="1711"/>
      <c r="Q34" s="1711"/>
      <c r="R34" s="1711"/>
      <c r="S34" s="1711"/>
      <c r="T34" s="1711"/>
      <c r="U34" s="1711"/>
      <c r="V34" s="1711"/>
      <c r="W34" s="1711"/>
      <c r="X34" s="1319"/>
      <c r="Y34" s="913"/>
      <c r="Z34" s="913"/>
      <c r="AA34" s="913"/>
      <c r="AB34" s="913"/>
      <c r="AC34" s="913"/>
      <c r="AD34" s="913"/>
    </row>
    <row r="35" spans="1:30">
      <c r="A35" s="908"/>
      <c r="B35" s="908"/>
      <c r="C35" s="908"/>
      <c r="D35" s="908"/>
      <c r="E35" s="922"/>
      <c r="F35" s="1315"/>
      <c r="G35" s="922"/>
      <c r="H35" s="1315"/>
      <c r="I35" s="922"/>
      <c r="J35" s="1315"/>
      <c r="K35" s="913"/>
      <c r="L35" s="913"/>
      <c r="M35" s="913"/>
      <c r="N35" s="913"/>
      <c r="O35" s="913"/>
      <c r="P35" s="913"/>
      <c r="Q35" s="913"/>
      <c r="R35" s="913"/>
      <c r="S35" s="913"/>
      <c r="T35" s="913"/>
      <c r="U35" s="913"/>
      <c r="V35" s="913"/>
      <c r="W35" s="913"/>
      <c r="X35" s="913"/>
      <c r="Y35" s="913"/>
      <c r="Z35" s="913"/>
      <c r="AA35" s="913"/>
      <c r="AB35" s="913"/>
      <c r="AC35" s="913"/>
      <c r="AD35" s="913"/>
    </row>
    <row r="36" spans="1:30">
      <c r="A36" s="1710" t="s">
        <v>915</v>
      </c>
      <c r="B36" s="1710"/>
      <c r="C36" s="1710"/>
      <c r="D36" s="1710"/>
      <c r="E36" s="1710"/>
      <c r="F36" s="1710"/>
      <c r="G36" s="1710"/>
      <c r="H36" s="1710"/>
      <c r="I36" s="1710"/>
      <c r="J36" s="1710"/>
      <c r="K36" s="1710"/>
      <c r="L36" s="1710"/>
      <c r="M36" s="1710"/>
      <c r="N36" s="1710"/>
      <c r="O36" s="1710"/>
      <c r="P36" s="1710"/>
      <c r="Q36" s="1710"/>
      <c r="R36" s="1710"/>
      <c r="S36" s="1710"/>
      <c r="T36" s="1710"/>
      <c r="U36" s="1710"/>
      <c r="V36" s="1710"/>
      <c r="W36" s="1710"/>
      <c r="X36" s="1315"/>
      <c r="Y36" s="913"/>
      <c r="Z36" s="913"/>
      <c r="AA36" s="913"/>
      <c r="AB36" s="913"/>
      <c r="AC36" s="913"/>
      <c r="AD36" s="913"/>
    </row>
    <row r="37" spans="1:30">
      <c r="E37" s="913"/>
      <c r="F37" s="913"/>
      <c r="G37" s="913"/>
      <c r="H37" s="913"/>
      <c r="I37" s="913"/>
      <c r="J37" s="913"/>
      <c r="K37" s="913"/>
      <c r="L37" s="913"/>
      <c r="M37" s="913"/>
      <c r="N37" s="913"/>
      <c r="O37" s="913"/>
      <c r="P37" s="913"/>
      <c r="Q37" s="913"/>
      <c r="R37" s="913"/>
      <c r="S37" s="913"/>
      <c r="T37" s="913"/>
      <c r="U37" s="913"/>
      <c r="V37" s="913"/>
      <c r="W37" s="913"/>
      <c r="X37" s="913"/>
      <c r="Y37" s="913"/>
      <c r="Z37" s="913"/>
      <c r="AA37" s="913"/>
      <c r="AB37" s="913"/>
      <c r="AC37" s="913"/>
      <c r="AD37" s="913"/>
    </row>
    <row r="38" spans="1:30" ht="21.75" customHeight="1">
      <c r="A38" s="1299" t="s">
        <v>680</v>
      </c>
      <c r="B38" s="868"/>
      <c r="C38" s="1708" t="s">
        <v>726</v>
      </c>
      <c r="D38" s="1709"/>
      <c r="E38" s="1709"/>
      <c r="F38" s="1709"/>
      <c r="G38" s="1709"/>
      <c r="H38" s="1709"/>
      <c r="I38" s="1709"/>
      <c r="J38" s="1709"/>
      <c r="K38" s="1709"/>
      <c r="L38" s="1709"/>
      <c r="M38" s="1709"/>
      <c r="N38" s="1709"/>
      <c r="O38" s="1709"/>
      <c r="P38" s="1709"/>
      <c r="Q38" s="1709"/>
      <c r="R38" s="1709"/>
      <c r="S38" s="1709"/>
      <c r="T38" s="1709"/>
      <c r="U38" s="1709"/>
      <c r="V38" s="1709"/>
      <c r="W38" s="1307"/>
      <c r="X38" s="1307"/>
      <c r="Y38" s="898"/>
      <c r="Z38" s="910"/>
      <c r="AA38" s="913"/>
      <c r="AB38" s="913"/>
      <c r="AC38" s="913"/>
      <c r="AD38" s="913"/>
    </row>
    <row r="39" spans="1:30" ht="23.25" customHeight="1">
      <c r="A39" s="1300" t="s">
        <v>682</v>
      </c>
      <c r="B39" s="1337" t="s">
        <v>683</v>
      </c>
      <c r="C39" s="1700" t="s">
        <v>728</v>
      </c>
      <c r="D39" s="1700"/>
      <c r="E39" s="1700" t="s">
        <v>729</v>
      </c>
      <c r="F39" s="1700"/>
      <c r="G39" s="1700" t="s">
        <v>730</v>
      </c>
      <c r="H39" s="1700"/>
      <c r="I39" s="1700" t="s">
        <v>731</v>
      </c>
      <c r="J39" s="1700"/>
      <c r="K39" s="1700" t="s">
        <v>732</v>
      </c>
      <c r="L39" s="1700"/>
      <c r="M39" s="1700" t="s">
        <v>733</v>
      </c>
      <c r="N39" s="1700"/>
      <c r="O39" s="1700" t="s">
        <v>734</v>
      </c>
      <c r="P39" s="1700"/>
      <c r="Q39" s="1700" t="s">
        <v>735</v>
      </c>
      <c r="R39" s="1700"/>
      <c r="S39" s="1700" t="s">
        <v>736</v>
      </c>
      <c r="T39" s="1700"/>
      <c r="U39" s="1700" t="s">
        <v>737</v>
      </c>
      <c r="V39" s="1700"/>
      <c r="W39" s="1700" t="s">
        <v>517</v>
      </c>
      <c r="X39" s="1700"/>
      <c r="Y39" s="1700"/>
      <c r="Z39" s="913"/>
      <c r="AA39" s="913"/>
      <c r="AB39" s="913"/>
      <c r="AC39" s="913"/>
      <c r="AD39" s="913"/>
    </row>
    <row r="40" spans="1:30">
      <c r="A40" s="1302"/>
      <c r="B40" s="1338"/>
      <c r="C40" s="1316" t="s">
        <v>1461</v>
      </c>
      <c r="D40" s="1318" t="s">
        <v>1462</v>
      </c>
      <c r="E40" s="1317" t="s">
        <v>1461</v>
      </c>
      <c r="F40" s="1318" t="s">
        <v>1462</v>
      </c>
      <c r="G40" s="1317" t="s">
        <v>1461</v>
      </c>
      <c r="H40" s="1318" t="s">
        <v>1462</v>
      </c>
      <c r="I40" s="1317" t="s">
        <v>1461</v>
      </c>
      <c r="J40" s="1318" t="s">
        <v>1462</v>
      </c>
      <c r="K40" s="1317" t="s">
        <v>1461</v>
      </c>
      <c r="L40" s="1318" t="s">
        <v>1462</v>
      </c>
      <c r="M40" s="1317" t="s">
        <v>1461</v>
      </c>
      <c r="N40" s="1318" t="s">
        <v>1462</v>
      </c>
      <c r="O40" s="1317" t="s">
        <v>1461</v>
      </c>
      <c r="P40" s="1318" t="s">
        <v>1462</v>
      </c>
      <c r="Q40" s="1317" t="s">
        <v>1461</v>
      </c>
      <c r="R40" s="1318" t="s">
        <v>1462</v>
      </c>
      <c r="S40" s="1317" t="s">
        <v>1461</v>
      </c>
      <c r="T40" s="1318" t="s">
        <v>1462</v>
      </c>
      <c r="U40" s="1317" t="s">
        <v>1461</v>
      </c>
      <c r="V40" s="1318" t="s">
        <v>1462</v>
      </c>
      <c r="W40" s="1317" t="s">
        <v>1461</v>
      </c>
      <c r="X40" s="1318" t="s">
        <v>1462</v>
      </c>
      <c r="Y40" s="1304" t="s">
        <v>491</v>
      </c>
      <c r="Z40" s="913"/>
      <c r="AA40" s="913"/>
      <c r="AB40" s="913"/>
      <c r="AC40" s="913"/>
      <c r="AD40" s="913"/>
    </row>
    <row r="41" spans="1:30" ht="20.25" customHeight="1">
      <c r="A41" s="880" t="s">
        <v>716</v>
      </c>
      <c r="B41" s="881" t="s">
        <v>717</v>
      </c>
      <c r="E41" s="1320"/>
      <c r="F41" s="871"/>
      <c r="G41" s="910">
        <v>4</v>
      </c>
      <c r="H41" s="910">
        <v>5</v>
      </c>
      <c r="I41" s="1320">
        <v>9</v>
      </c>
      <c r="J41" s="871">
        <v>8</v>
      </c>
      <c r="K41" s="910"/>
      <c r="L41" s="910">
        <v>1</v>
      </c>
      <c r="M41" s="1320">
        <v>1</v>
      </c>
      <c r="N41" s="871">
        <v>1</v>
      </c>
      <c r="O41" s="913">
        <v>2</v>
      </c>
      <c r="P41" s="913"/>
      <c r="Q41" s="1320">
        <v>13</v>
      </c>
      <c r="R41" s="871">
        <v>8</v>
      </c>
      <c r="S41" s="913">
        <v>16</v>
      </c>
      <c r="T41" s="913">
        <v>17</v>
      </c>
      <c r="U41" s="1320">
        <v>33</v>
      </c>
      <c r="V41" s="871">
        <v>46</v>
      </c>
      <c r="W41" s="1309">
        <f>+C41+E41+G41+I41+K41+M41+O41+Q41+S41+U41</f>
        <v>78</v>
      </c>
      <c r="X41" s="1341">
        <f>+D41+F41+H41+J41+L41+N41+P41+R41+T41+V41</f>
        <v>86</v>
      </c>
      <c r="Y41" s="937">
        <f t="shared" ref="Y41:Y44" si="17">SUM(W41:X41)</f>
        <v>164</v>
      </c>
      <c r="Z41" s="913"/>
      <c r="AA41" s="913"/>
      <c r="AB41" s="913"/>
      <c r="AC41" s="913"/>
      <c r="AD41" s="913"/>
    </row>
    <row r="42" spans="1:30" ht="19.5" customHeight="1">
      <c r="A42" s="880" t="s">
        <v>693</v>
      </c>
      <c r="B42" s="881" t="s">
        <v>694</v>
      </c>
      <c r="E42" s="929"/>
      <c r="F42" s="930"/>
      <c r="G42" s="913"/>
      <c r="H42" s="913"/>
      <c r="I42" s="929"/>
      <c r="J42" s="930"/>
      <c r="K42" s="913">
        <v>1</v>
      </c>
      <c r="L42" s="913">
        <v>1</v>
      </c>
      <c r="M42" s="929">
        <v>1</v>
      </c>
      <c r="N42" s="930"/>
      <c r="O42" s="913"/>
      <c r="P42" s="913">
        <v>3</v>
      </c>
      <c r="Q42" s="929">
        <v>22</v>
      </c>
      <c r="R42" s="930">
        <v>45</v>
      </c>
      <c r="S42" s="913">
        <v>55</v>
      </c>
      <c r="T42" s="913">
        <v>89</v>
      </c>
      <c r="U42" s="929">
        <v>104</v>
      </c>
      <c r="V42" s="930">
        <v>71</v>
      </c>
      <c r="W42" s="1293">
        <f>+C42+E42+G42+I42+K42+M42+O42+Q42+S42+U42</f>
        <v>183</v>
      </c>
      <c r="X42" s="937">
        <f>+D42+F42+H42+J42+L42+N42+P42+R42+T42+V42</f>
        <v>209</v>
      </c>
      <c r="Y42" s="937">
        <f t="shared" si="17"/>
        <v>392</v>
      </c>
      <c r="Z42" s="913"/>
      <c r="AA42" s="913"/>
      <c r="AB42" s="913"/>
      <c r="AC42" s="913"/>
      <c r="AD42" s="913"/>
    </row>
    <row r="43" spans="1:30" ht="18" customHeight="1">
      <c r="A43" s="880" t="s">
        <v>196</v>
      </c>
      <c r="B43" s="881" t="s">
        <v>197</v>
      </c>
      <c r="C43" s="913"/>
      <c r="D43" s="913"/>
      <c r="E43" s="929"/>
      <c r="F43" s="930"/>
      <c r="G43" s="913"/>
      <c r="H43" s="913"/>
      <c r="I43" s="929"/>
      <c r="J43" s="930"/>
      <c r="K43" s="913"/>
      <c r="L43" s="913"/>
      <c r="M43" s="929"/>
      <c r="N43" s="930"/>
      <c r="O43" s="913"/>
      <c r="P43" s="913"/>
      <c r="Q43" s="929">
        <v>3</v>
      </c>
      <c r="R43" s="930">
        <v>5</v>
      </c>
      <c r="S43" s="913">
        <v>2</v>
      </c>
      <c r="T43" s="913">
        <v>4</v>
      </c>
      <c r="U43" s="929">
        <v>11</v>
      </c>
      <c r="V43" s="930">
        <v>6</v>
      </c>
      <c r="W43" s="1293">
        <f t="shared" ref="W43:X60" si="18">+C43+E43+G43+I43+K43+M43+O43+Q43+S43+U43</f>
        <v>16</v>
      </c>
      <c r="X43" s="937">
        <f t="shared" si="18"/>
        <v>15</v>
      </c>
      <c r="Y43" s="937">
        <f t="shared" si="17"/>
        <v>31</v>
      </c>
      <c r="Z43" s="913"/>
      <c r="AA43" s="913"/>
      <c r="AB43" s="913"/>
      <c r="AC43" s="913"/>
      <c r="AD43" s="913"/>
    </row>
    <row r="44" spans="1:30" ht="17.25" customHeight="1">
      <c r="A44" s="880" t="s">
        <v>720</v>
      </c>
      <c r="B44" s="881" t="s">
        <v>721</v>
      </c>
      <c r="E44" s="929"/>
      <c r="F44" s="930"/>
      <c r="G44" s="913"/>
      <c r="H44" s="913"/>
      <c r="I44" s="929">
        <v>1</v>
      </c>
      <c r="J44" s="930">
        <v>1</v>
      </c>
      <c r="K44" s="913"/>
      <c r="L44" s="913"/>
      <c r="M44" s="929"/>
      <c r="N44" s="930">
        <v>1</v>
      </c>
      <c r="O44" s="913">
        <v>2</v>
      </c>
      <c r="P44" s="913">
        <v>1</v>
      </c>
      <c r="Q44" s="929">
        <v>13</v>
      </c>
      <c r="R44" s="930">
        <v>11</v>
      </c>
      <c r="S44" s="913">
        <v>31</v>
      </c>
      <c r="T44" s="913">
        <v>32</v>
      </c>
      <c r="U44" s="929">
        <v>22</v>
      </c>
      <c r="V44" s="930">
        <v>30</v>
      </c>
      <c r="W44" s="1293">
        <f t="shared" si="18"/>
        <v>69</v>
      </c>
      <c r="X44" s="937">
        <f t="shared" si="18"/>
        <v>76</v>
      </c>
      <c r="Y44" s="937">
        <f t="shared" si="17"/>
        <v>145</v>
      </c>
      <c r="Z44" s="913"/>
      <c r="AA44" s="913"/>
      <c r="AB44" s="913"/>
      <c r="AC44" s="913"/>
      <c r="AD44" s="913"/>
    </row>
    <row r="45" spans="1:30" ht="17.25" customHeight="1">
      <c r="A45" s="880" t="s">
        <v>198</v>
      </c>
      <c r="B45" s="881" t="s">
        <v>199</v>
      </c>
      <c r="E45" s="929"/>
      <c r="F45" s="930"/>
      <c r="G45" s="913"/>
      <c r="H45" s="913"/>
      <c r="I45" s="929"/>
      <c r="J45" s="930"/>
      <c r="K45" s="913"/>
      <c r="L45" s="913"/>
      <c r="M45" s="929"/>
      <c r="N45" s="930">
        <v>7</v>
      </c>
      <c r="O45" s="913">
        <v>1</v>
      </c>
      <c r="P45" s="913">
        <v>3</v>
      </c>
      <c r="Q45" s="929">
        <v>1</v>
      </c>
      <c r="R45" s="930">
        <v>5</v>
      </c>
      <c r="S45" s="913">
        <v>1</v>
      </c>
      <c r="T45" s="913">
        <v>5</v>
      </c>
      <c r="U45" s="929">
        <v>2</v>
      </c>
      <c r="V45" s="930">
        <v>2</v>
      </c>
      <c r="W45" s="1293">
        <f t="shared" si="18"/>
        <v>5</v>
      </c>
      <c r="X45" s="937">
        <f t="shared" si="18"/>
        <v>22</v>
      </c>
      <c r="Y45" s="937">
        <f>SUM(W45:X45)</f>
        <v>27</v>
      </c>
      <c r="Z45" s="913"/>
      <c r="AA45" s="913"/>
      <c r="AB45" s="913"/>
      <c r="AC45" s="913"/>
      <c r="AD45" s="913"/>
    </row>
    <row r="46" spans="1:30" ht="17.25" customHeight="1">
      <c r="A46" s="880" t="s">
        <v>200</v>
      </c>
      <c r="B46" s="881" t="s">
        <v>201</v>
      </c>
      <c r="E46" s="929"/>
      <c r="F46" s="930"/>
      <c r="G46" s="913"/>
      <c r="H46" s="913"/>
      <c r="I46" s="929"/>
      <c r="J46" s="930">
        <v>1</v>
      </c>
      <c r="K46" s="913"/>
      <c r="L46" s="913">
        <v>1</v>
      </c>
      <c r="M46" s="929"/>
      <c r="N46" s="930"/>
      <c r="O46" s="913">
        <v>1</v>
      </c>
      <c r="P46" s="913"/>
      <c r="Q46" s="929">
        <v>3</v>
      </c>
      <c r="R46" s="930">
        <v>1</v>
      </c>
      <c r="S46" s="913">
        <v>4</v>
      </c>
      <c r="T46" s="913">
        <v>3</v>
      </c>
      <c r="U46" s="929">
        <v>14</v>
      </c>
      <c r="V46" s="930">
        <v>11</v>
      </c>
      <c r="W46" s="1293">
        <f t="shared" si="18"/>
        <v>22</v>
      </c>
      <c r="X46" s="937">
        <f t="shared" si="18"/>
        <v>17</v>
      </c>
      <c r="Y46" s="937">
        <f t="shared" ref="Y46:Y60" si="19">SUM(W46:X46)</f>
        <v>39</v>
      </c>
      <c r="Z46" s="913"/>
      <c r="AA46" s="913"/>
      <c r="AB46" s="913"/>
      <c r="AC46" s="913"/>
      <c r="AD46" s="913"/>
    </row>
    <row r="47" spans="1:30" ht="17.25" customHeight="1">
      <c r="A47" s="880" t="s">
        <v>202</v>
      </c>
      <c r="B47" s="881" t="s">
        <v>203</v>
      </c>
      <c r="E47" s="929"/>
      <c r="F47" s="930"/>
      <c r="G47" s="913"/>
      <c r="H47" s="913"/>
      <c r="I47" s="929"/>
      <c r="J47" s="930"/>
      <c r="K47" s="913"/>
      <c r="L47" s="913">
        <v>1</v>
      </c>
      <c r="M47" s="929"/>
      <c r="N47" s="930"/>
      <c r="O47" s="913"/>
      <c r="P47" s="913"/>
      <c r="Q47" s="929">
        <v>2</v>
      </c>
      <c r="R47" s="930">
        <v>4</v>
      </c>
      <c r="S47" s="913"/>
      <c r="T47" s="913">
        <v>1</v>
      </c>
      <c r="U47" s="929">
        <v>1</v>
      </c>
      <c r="V47" s="930">
        <v>4</v>
      </c>
      <c r="W47" s="1293">
        <f t="shared" si="18"/>
        <v>3</v>
      </c>
      <c r="X47" s="937">
        <f t="shared" si="18"/>
        <v>10</v>
      </c>
      <c r="Y47" s="937">
        <f t="shared" si="19"/>
        <v>13</v>
      </c>
      <c r="Z47" s="913"/>
      <c r="AA47" s="913"/>
      <c r="AB47" s="913"/>
      <c r="AC47" s="913"/>
      <c r="AD47" s="913"/>
    </row>
    <row r="48" spans="1:30" ht="21" customHeight="1">
      <c r="A48" s="880" t="s">
        <v>691</v>
      </c>
      <c r="B48" s="881" t="s">
        <v>692</v>
      </c>
      <c r="E48" s="929"/>
      <c r="F48" s="930"/>
      <c r="G48" s="913"/>
      <c r="H48" s="913"/>
      <c r="I48" s="929">
        <v>1</v>
      </c>
      <c r="J48" s="930"/>
      <c r="K48" s="913"/>
      <c r="L48" s="913"/>
      <c r="M48" s="929"/>
      <c r="N48" s="930"/>
      <c r="O48" s="913">
        <v>1</v>
      </c>
      <c r="P48" s="913">
        <v>1</v>
      </c>
      <c r="Q48" s="929">
        <v>22</v>
      </c>
      <c r="R48" s="930">
        <v>23</v>
      </c>
      <c r="S48" s="913">
        <v>101</v>
      </c>
      <c r="T48" s="913">
        <v>62</v>
      </c>
      <c r="U48" s="929">
        <v>195</v>
      </c>
      <c r="V48" s="930">
        <v>160</v>
      </c>
      <c r="W48" s="1293">
        <f t="shared" si="18"/>
        <v>320</v>
      </c>
      <c r="X48" s="937">
        <f t="shared" si="18"/>
        <v>246</v>
      </c>
      <c r="Y48" s="937">
        <f t="shared" si="19"/>
        <v>566</v>
      </c>
      <c r="Z48" s="913"/>
      <c r="AA48" s="913"/>
      <c r="AB48" s="913"/>
      <c r="AC48" s="913"/>
      <c r="AD48" s="913"/>
    </row>
    <row r="49" spans="1:30" ht="23.25" customHeight="1">
      <c r="A49" s="880" t="s">
        <v>695</v>
      </c>
      <c r="B49" s="881" t="s">
        <v>696</v>
      </c>
      <c r="E49" s="929"/>
      <c r="F49" s="930"/>
      <c r="G49" s="913">
        <v>4</v>
      </c>
      <c r="H49" s="913">
        <v>5</v>
      </c>
      <c r="I49" s="929">
        <v>5</v>
      </c>
      <c r="J49" s="930">
        <v>2</v>
      </c>
      <c r="K49" s="913">
        <v>1</v>
      </c>
      <c r="L49" s="913"/>
      <c r="M49" s="929">
        <v>1</v>
      </c>
      <c r="N49" s="930">
        <v>1</v>
      </c>
      <c r="O49" s="913">
        <v>6</v>
      </c>
      <c r="P49" s="913"/>
      <c r="Q49" s="929">
        <v>12</v>
      </c>
      <c r="R49" s="930">
        <v>9</v>
      </c>
      <c r="S49" s="913">
        <v>32</v>
      </c>
      <c r="T49" s="913">
        <v>35</v>
      </c>
      <c r="U49" s="929">
        <v>111</v>
      </c>
      <c r="V49" s="930">
        <v>113</v>
      </c>
      <c r="W49" s="1293">
        <f t="shared" si="18"/>
        <v>172</v>
      </c>
      <c r="X49" s="937">
        <f t="shared" si="18"/>
        <v>165</v>
      </c>
      <c r="Y49" s="937">
        <f t="shared" si="19"/>
        <v>337</v>
      </c>
      <c r="Z49" s="913"/>
      <c r="AA49" s="913"/>
      <c r="AB49" s="913"/>
      <c r="AC49" s="913"/>
      <c r="AD49" s="913"/>
    </row>
    <row r="50" spans="1:30" ht="19.5" customHeight="1">
      <c r="A50" s="880" t="s">
        <v>712</v>
      </c>
      <c r="B50" s="881" t="s">
        <v>713</v>
      </c>
      <c r="E50" s="929"/>
      <c r="F50" s="930"/>
      <c r="G50" s="913"/>
      <c r="H50" s="913"/>
      <c r="I50" s="929">
        <v>2</v>
      </c>
      <c r="J50" s="930"/>
      <c r="K50" s="913">
        <v>4</v>
      </c>
      <c r="L50" s="913">
        <v>3</v>
      </c>
      <c r="M50" s="929">
        <v>7</v>
      </c>
      <c r="N50" s="930">
        <v>3</v>
      </c>
      <c r="O50" s="913">
        <v>23</v>
      </c>
      <c r="P50" s="913">
        <v>30</v>
      </c>
      <c r="Q50" s="929">
        <v>131</v>
      </c>
      <c r="R50" s="930">
        <v>202</v>
      </c>
      <c r="S50" s="913">
        <v>135</v>
      </c>
      <c r="T50" s="913">
        <v>164</v>
      </c>
      <c r="U50" s="929">
        <v>145</v>
      </c>
      <c r="V50" s="930">
        <v>119</v>
      </c>
      <c r="W50" s="1293">
        <f t="shared" si="18"/>
        <v>447</v>
      </c>
      <c r="X50" s="937">
        <f t="shared" si="18"/>
        <v>521</v>
      </c>
      <c r="Y50" s="937">
        <f t="shared" si="19"/>
        <v>968</v>
      </c>
      <c r="Z50" s="913"/>
      <c r="AA50" s="913"/>
      <c r="AB50" s="913"/>
      <c r="AC50" s="913"/>
      <c r="AD50" s="913"/>
    </row>
    <row r="51" spans="1:30" ht="18" customHeight="1">
      <c r="A51" s="880" t="s">
        <v>204</v>
      </c>
      <c r="B51" s="881" t="s">
        <v>205</v>
      </c>
      <c r="C51" s="897">
        <v>1</v>
      </c>
      <c r="E51" s="929"/>
      <c r="F51" s="930">
        <v>1</v>
      </c>
      <c r="G51" s="913"/>
      <c r="H51" s="913"/>
      <c r="I51" s="929">
        <v>1</v>
      </c>
      <c r="J51" s="930"/>
      <c r="K51" s="913">
        <v>1</v>
      </c>
      <c r="L51" s="913">
        <v>1</v>
      </c>
      <c r="M51" s="929">
        <v>2</v>
      </c>
      <c r="N51" s="930"/>
      <c r="O51" s="913">
        <v>1</v>
      </c>
      <c r="P51" s="913"/>
      <c r="Q51" s="929">
        <v>19</v>
      </c>
      <c r="R51" s="930">
        <v>9</v>
      </c>
      <c r="S51" s="913">
        <v>13</v>
      </c>
      <c r="T51" s="913">
        <v>8</v>
      </c>
      <c r="U51" s="929">
        <v>11</v>
      </c>
      <c r="V51" s="930">
        <v>11</v>
      </c>
      <c r="W51" s="1293">
        <f t="shared" si="18"/>
        <v>49</v>
      </c>
      <c r="X51" s="937">
        <f t="shared" si="18"/>
        <v>30</v>
      </c>
      <c r="Y51" s="937">
        <f t="shared" si="19"/>
        <v>79</v>
      </c>
      <c r="Z51" s="913"/>
      <c r="AA51" s="913"/>
      <c r="AB51" s="913"/>
      <c r="AC51" s="913"/>
      <c r="AD51" s="913"/>
    </row>
    <row r="52" spans="1:30" ht="19.5" customHeight="1">
      <c r="A52" s="880" t="s">
        <v>206</v>
      </c>
      <c r="B52" s="881" t="s">
        <v>207</v>
      </c>
      <c r="E52" s="929"/>
      <c r="F52" s="930"/>
      <c r="G52" s="913"/>
      <c r="H52" s="913"/>
      <c r="I52" s="929"/>
      <c r="J52" s="930">
        <v>1</v>
      </c>
      <c r="K52" s="913">
        <v>1</v>
      </c>
      <c r="L52" s="913">
        <v>2</v>
      </c>
      <c r="M52" s="929">
        <v>3</v>
      </c>
      <c r="N52" s="930">
        <v>6</v>
      </c>
      <c r="O52" s="913">
        <v>1</v>
      </c>
      <c r="P52" s="913">
        <v>3</v>
      </c>
      <c r="Q52" s="929">
        <v>34</v>
      </c>
      <c r="R52" s="930">
        <v>56</v>
      </c>
      <c r="S52" s="913">
        <v>56</v>
      </c>
      <c r="T52" s="913">
        <v>101</v>
      </c>
      <c r="U52" s="929">
        <v>42</v>
      </c>
      <c r="V52" s="930">
        <v>60</v>
      </c>
      <c r="W52" s="1293">
        <f t="shared" si="18"/>
        <v>137</v>
      </c>
      <c r="X52" s="937">
        <f t="shared" si="18"/>
        <v>229</v>
      </c>
      <c r="Y52" s="937">
        <f t="shared" si="19"/>
        <v>366</v>
      </c>
      <c r="Z52" s="913"/>
      <c r="AA52" s="913"/>
      <c r="AB52" s="913"/>
      <c r="AC52" s="913"/>
      <c r="AD52" s="913"/>
    </row>
    <row r="53" spans="1:30" ht="18.75" customHeight="1">
      <c r="A53" s="880" t="s">
        <v>714</v>
      </c>
      <c r="B53" s="881" t="s">
        <v>715</v>
      </c>
      <c r="E53" s="929"/>
      <c r="F53" s="930"/>
      <c r="G53" s="913">
        <v>2</v>
      </c>
      <c r="H53" s="913">
        <v>5</v>
      </c>
      <c r="I53" s="929">
        <v>1</v>
      </c>
      <c r="J53" s="1344">
        <v>6</v>
      </c>
      <c r="K53" s="913">
        <v>2</v>
      </c>
      <c r="L53" s="913">
        <v>2</v>
      </c>
      <c r="M53" s="929">
        <v>1</v>
      </c>
      <c r="N53" s="930">
        <v>2</v>
      </c>
      <c r="O53" s="913">
        <v>4</v>
      </c>
      <c r="P53" s="913">
        <v>13</v>
      </c>
      <c r="Q53" s="929">
        <v>54</v>
      </c>
      <c r="R53" s="930">
        <v>124</v>
      </c>
      <c r="S53" s="913">
        <v>142</v>
      </c>
      <c r="T53" s="913">
        <v>122</v>
      </c>
      <c r="U53" s="929">
        <v>166</v>
      </c>
      <c r="V53" s="930">
        <v>107</v>
      </c>
      <c r="W53" s="1293">
        <f t="shared" si="18"/>
        <v>372</v>
      </c>
      <c r="X53" s="937">
        <f t="shared" si="18"/>
        <v>381</v>
      </c>
      <c r="Y53" s="937">
        <f t="shared" si="19"/>
        <v>753</v>
      </c>
      <c r="Z53" s="913"/>
      <c r="AA53" s="913"/>
      <c r="AB53" s="913"/>
      <c r="AC53" s="913"/>
      <c r="AD53" s="913"/>
    </row>
    <row r="54" spans="1:30" ht="18.75" customHeight="1">
      <c r="A54" s="880" t="s">
        <v>208</v>
      </c>
      <c r="B54" s="881" t="s">
        <v>209</v>
      </c>
      <c r="E54" s="929"/>
      <c r="F54" s="930"/>
      <c r="G54" s="971"/>
      <c r="H54" s="971"/>
      <c r="I54" s="1345"/>
      <c r="J54" s="1346"/>
      <c r="K54" s="971"/>
      <c r="L54" s="971"/>
      <c r="M54" s="929"/>
      <c r="N54" s="930">
        <v>3</v>
      </c>
      <c r="O54" s="913"/>
      <c r="P54" s="913">
        <v>83</v>
      </c>
      <c r="Q54" s="929"/>
      <c r="R54" s="930">
        <v>1090</v>
      </c>
      <c r="S54" s="914"/>
      <c r="T54" s="914">
        <v>4</v>
      </c>
      <c r="U54" s="1345"/>
      <c r="V54" s="1346"/>
      <c r="W54" s="1293">
        <f t="shared" si="18"/>
        <v>0</v>
      </c>
      <c r="X54" s="937">
        <f t="shared" si="18"/>
        <v>1180</v>
      </c>
      <c r="Y54" s="937">
        <f t="shared" si="19"/>
        <v>1180</v>
      </c>
      <c r="Z54" s="913"/>
      <c r="AA54" s="913"/>
      <c r="AB54" s="913"/>
      <c r="AC54" s="913"/>
      <c r="AD54" s="913"/>
    </row>
    <row r="55" spans="1:30" ht="18" customHeight="1">
      <c r="A55" s="880" t="s">
        <v>722</v>
      </c>
      <c r="B55" s="881" t="s">
        <v>723</v>
      </c>
      <c r="C55" s="913">
        <v>86</v>
      </c>
      <c r="D55" s="913">
        <v>62</v>
      </c>
      <c r="E55" s="929">
        <v>26</v>
      </c>
      <c r="F55" s="930">
        <v>15</v>
      </c>
      <c r="G55" s="971"/>
      <c r="H55" s="971"/>
      <c r="I55" s="1345"/>
      <c r="J55" s="1346"/>
      <c r="K55" s="971"/>
      <c r="L55" s="971"/>
      <c r="M55" s="1345"/>
      <c r="N55" s="1346"/>
      <c r="O55" s="919"/>
      <c r="P55" s="919"/>
      <c r="Q55" s="1345"/>
      <c r="R55" s="1346"/>
      <c r="S55" s="919"/>
      <c r="T55" s="919"/>
      <c r="U55" s="1345"/>
      <c r="V55" s="1346"/>
      <c r="W55" s="1293">
        <f t="shared" si="18"/>
        <v>112</v>
      </c>
      <c r="X55" s="937">
        <f t="shared" si="18"/>
        <v>77</v>
      </c>
      <c r="Y55" s="937">
        <f t="shared" si="19"/>
        <v>189</v>
      </c>
      <c r="Z55" s="971"/>
      <c r="AA55" s="971"/>
      <c r="AB55" s="971"/>
      <c r="AC55" s="971"/>
      <c r="AD55" s="971"/>
    </row>
    <row r="56" spans="1:30" ht="20.25" customHeight="1">
      <c r="A56" s="880" t="s">
        <v>724</v>
      </c>
      <c r="B56" s="881" t="s">
        <v>725</v>
      </c>
      <c r="C56" s="913"/>
      <c r="D56" s="913"/>
      <c r="E56" s="929"/>
      <c r="F56" s="930">
        <v>2</v>
      </c>
      <c r="G56" s="913">
        <v>1</v>
      </c>
      <c r="H56" s="913">
        <v>1</v>
      </c>
      <c r="I56" s="929">
        <v>1</v>
      </c>
      <c r="J56" s="930">
        <v>1</v>
      </c>
      <c r="K56" s="913">
        <v>4</v>
      </c>
      <c r="L56" s="913"/>
      <c r="M56" s="929">
        <v>3</v>
      </c>
      <c r="N56" s="930">
        <v>1</v>
      </c>
      <c r="O56" s="913"/>
      <c r="P56" s="913"/>
      <c r="Q56" s="929"/>
      <c r="R56" s="930">
        <v>4</v>
      </c>
      <c r="S56" s="913">
        <v>1</v>
      </c>
      <c r="T56" s="913">
        <v>5</v>
      </c>
      <c r="U56" s="929">
        <v>1</v>
      </c>
      <c r="V56" s="930">
        <v>1</v>
      </c>
      <c r="W56" s="1293">
        <f t="shared" si="18"/>
        <v>11</v>
      </c>
      <c r="X56" s="937">
        <f t="shared" si="18"/>
        <v>15</v>
      </c>
      <c r="Y56" s="937">
        <f t="shared" si="19"/>
        <v>26</v>
      </c>
      <c r="Z56" s="913"/>
      <c r="AA56" s="913"/>
      <c r="AB56" s="913"/>
      <c r="AC56" s="913"/>
      <c r="AD56" s="913"/>
    </row>
    <row r="57" spans="1:30" ht="19.5" customHeight="1">
      <c r="A57" s="880" t="s">
        <v>718</v>
      </c>
      <c r="B57" s="881" t="s">
        <v>738</v>
      </c>
      <c r="C57" s="913"/>
      <c r="D57" s="913"/>
      <c r="E57" s="929"/>
      <c r="F57" s="930"/>
      <c r="G57" s="913">
        <v>1</v>
      </c>
      <c r="H57" s="913">
        <v>1</v>
      </c>
      <c r="I57" s="929"/>
      <c r="J57" s="930">
        <v>4</v>
      </c>
      <c r="K57" s="913"/>
      <c r="L57" s="913">
        <v>2</v>
      </c>
      <c r="M57" s="929"/>
      <c r="N57" s="930"/>
      <c r="O57" s="913"/>
      <c r="P57" s="913"/>
      <c r="Q57" s="929">
        <v>6</v>
      </c>
      <c r="R57" s="930">
        <v>14</v>
      </c>
      <c r="S57" s="913">
        <v>7</v>
      </c>
      <c r="T57" s="913">
        <v>8</v>
      </c>
      <c r="U57" s="929">
        <v>14</v>
      </c>
      <c r="V57" s="930">
        <v>17</v>
      </c>
      <c r="W57" s="1293">
        <f t="shared" si="18"/>
        <v>28</v>
      </c>
      <c r="X57" s="937">
        <f t="shared" si="18"/>
        <v>46</v>
      </c>
      <c r="Y57" s="937">
        <f t="shared" si="19"/>
        <v>74</v>
      </c>
      <c r="Z57" s="913"/>
      <c r="AA57" s="913"/>
      <c r="AB57" s="913"/>
      <c r="AC57" s="913"/>
      <c r="AD57" s="913"/>
    </row>
    <row r="58" spans="1:30" ht="19.5" customHeight="1">
      <c r="A58" s="880" t="s">
        <v>710</v>
      </c>
      <c r="B58" s="884" t="s">
        <v>210</v>
      </c>
      <c r="C58" s="913">
        <v>6</v>
      </c>
      <c r="D58" s="913">
        <v>1</v>
      </c>
      <c r="E58" s="929"/>
      <c r="F58" s="930"/>
      <c r="G58" s="913"/>
      <c r="H58" s="913"/>
      <c r="I58" s="929">
        <v>15</v>
      </c>
      <c r="J58" s="930">
        <v>9</v>
      </c>
      <c r="K58" s="913">
        <v>42</v>
      </c>
      <c r="L58" s="913">
        <v>16</v>
      </c>
      <c r="M58" s="929">
        <v>26</v>
      </c>
      <c r="N58" s="930">
        <v>15</v>
      </c>
      <c r="O58" s="913">
        <v>47</v>
      </c>
      <c r="P58" s="913">
        <v>15</v>
      </c>
      <c r="Q58" s="929">
        <v>305</v>
      </c>
      <c r="R58" s="930">
        <v>115</v>
      </c>
      <c r="S58" s="913">
        <v>140</v>
      </c>
      <c r="T58" s="913">
        <v>158</v>
      </c>
      <c r="U58" s="929">
        <v>114</v>
      </c>
      <c r="V58" s="930">
        <v>220</v>
      </c>
      <c r="W58" s="1293">
        <f t="shared" ref="W58:W59" si="20">+C58+E58+G58+I58+K58+M58+O58+Q58+S58+U58</f>
        <v>695</v>
      </c>
      <c r="X58" s="937">
        <f t="shared" ref="X58:X59" si="21">+D58+F58+H58+J58+L58+N58+P58+R58+T58+V58</f>
        <v>549</v>
      </c>
      <c r="Y58" s="937">
        <f t="shared" ref="Y58:Y59" si="22">SUM(W58:X58)</f>
        <v>1244</v>
      </c>
      <c r="Z58" s="913"/>
      <c r="AA58" s="913"/>
      <c r="AB58" s="913"/>
      <c r="AC58" s="913"/>
      <c r="AD58" s="913"/>
    </row>
    <row r="59" spans="1:30" ht="19.5" customHeight="1">
      <c r="A59" s="245" t="s">
        <v>1660</v>
      </c>
      <c r="B59" s="293" t="s">
        <v>1662</v>
      </c>
      <c r="C59" s="913"/>
      <c r="D59" s="913"/>
      <c r="E59" s="929">
        <v>1</v>
      </c>
      <c r="F59" s="930">
        <v>1</v>
      </c>
      <c r="G59" s="913"/>
      <c r="H59" s="913"/>
      <c r="I59" s="929"/>
      <c r="J59" s="930"/>
      <c r="K59" s="913"/>
      <c r="L59" s="913"/>
      <c r="M59" s="929"/>
      <c r="N59" s="930"/>
      <c r="O59" s="913"/>
      <c r="P59" s="913">
        <v>1</v>
      </c>
      <c r="Q59" s="929">
        <v>11</v>
      </c>
      <c r="R59" s="930">
        <v>14</v>
      </c>
      <c r="S59" s="913">
        <v>37</v>
      </c>
      <c r="T59" s="913">
        <v>22</v>
      </c>
      <c r="U59" s="929">
        <v>68</v>
      </c>
      <c r="V59" s="930">
        <v>47</v>
      </c>
      <c r="W59" s="1293">
        <f t="shared" si="20"/>
        <v>117</v>
      </c>
      <c r="X59" s="937">
        <f t="shared" si="21"/>
        <v>85</v>
      </c>
      <c r="Y59" s="937">
        <f t="shared" si="22"/>
        <v>202</v>
      </c>
      <c r="Z59" s="913"/>
      <c r="AA59" s="913"/>
      <c r="AB59" s="913"/>
      <c r="AC59" s="913"/>
      <c r="AD59" s="913"/>
    </row>
    <row r="60" spans="1:30" ht="27.75" customHeight="1">
      <c r="A60" s="245" t="s">
        <v>1661</v>
      </c>
      <c r="B60" s="293" t="s">
        <v>1663</v>
      </c>
      <c r="C60" s="913"/>
      <c r="D60" s="913">
        <v>1</v>
      </c>
      <c r="E60" s="929"/>
      <c r="F60" s="930"/>
      <c r="G60" s="913"/>
      <c r="H60" s="913"/>
      <c r="I60" s="929"/>
      <c r="J60" s="930"/>
      <c r="K60" s="913"/>
      <c r="L60" s="913"/>
      <c r="M60" s="929"/>
      <c r="N60" s="930"/>
      <c r="O60" s="913"/>
      <c r="P60" s="913"/>
      <c r="Q60" s="929"/>
      <c r="R60" s="930"/>
      <c r="S60" s="913"/>
      <c r="T60" s="913"/>
      <c r="U60" s="929">
        <v>4</v>
      </c>
      <c r="V60" s="930">
        <v>7</v>
      </c>
      <c r="W60" s="1293">
        <f t="shared" si="18"/>
        <v>4</v>
      </c>
      <c r="X60" s="937">
        <f t="shared" si="18"/>
        <v>8</v>
      </c>
      <c r="Y60" s="937">
        <f t="shared" si="19"/>
        <v>12</v>
      </c>
      <c r="Z60" s="913"/>
      <c r="AA60" s="913"/>
      <c r="AB60" s="913"/>
      <c r="AC60" s="913"/>
      <c r="AD60" s="913"/>
    </row>
    <row r="61" spans="1:30" ht="19.5" customHeight="1">
      <c r="A61" s="885"/>
      <c r="B61" s="885" t="s">
        <v>832</v>
      </c>
      <c r="C61" s="1308">
        <f t="shared" ref="C61" si="23">SUM(C41:C60)</f>
        <v>93</v>
      </c>
      <c r="D61" s="931">
        <f>SUM(D41:D60)</f>
        <v>64</v>
      </c>
      <c r="E61" s="1308">
        <f>SUM(E41:E60)</f>
        <v>27</v>
      </c>
      <c r="F61" s="1312">
        <f t="shared" ref="F61:X61" si="24">SUM(F41:F60)</f>
        <v>19</v>
      </c>
      <c r="G61" s="931">
        <f t="shared" si="24"/>
        <v>12</v>
      </c>
      <c r="H61" s="931">
        <f t="shared" si="24"/>
        <v>17</v>
      </c>
      <c r="I61" s="1308">
        <f t="shared" si="24"/>
        <v>36</v>
      </c>
      <c r="J61" s="1312">
        <f t="shared" si="24"/>
        <v>33</v>
      </c>
      <c r="K61" s="931">
        <f t="shared" si="24"/>
        <v>56</v>
      </c>
      <c r="L61" s="931">
        <f t="shared" si="24"/>
        <v>30</v>
      </c>
      <c r="M61" s="1308">
        <f t="shared" si="24"/>
        <v>45</v>
      </c>
      <c r="N61" s="1312">
        <f t="shared" si="24"/>
        <v>40</v>
      </c>
      <c r="O61" s="931">
        <f t="shared" si="24"/>
        <v>89</v>
      </c>
      <c r="P61" s="931">
        <f t="shared" si="24"/>
        <v>153</v>
      </c>
      <c r="Q61" s="1308">
        <f t="shared" si="24"/>
        <v>651</v>
      </c>
      <c r="R61" s="1312">
        <f t="shared" si="24"/>
        <v>1739</v>
      </c>
      <c r="S61" s="931">
        <f t="shared" si="24"/>
        <v>773</v>
      </c>
      <c r="T61" s="931">
        <f t="shared" si="24"/>
        <v>840</v>
      </c>
      <c r="U61" s="1308">
        <f t="shared" si="24"/>
        <v>1058</v>
      </c>
      <c r="V61" s="1312">
        <f t="shared" si="24"/>
        <v>1032</v>
      </c>
      <c r="W61" s="1308">
        <f t="shared" si="24"/>
        <v>2840</v>
      </c>
      <c r="X61" s="1312">
        <f t="shared" si="24"/>
        <v>3967</v>
      </c>
      <c r="Y61" s="932">
        <f>SUM(Y41:Y60)</f>
        <v>6807</v>
      </c>
      <c r="Z61" s="913"/>
      <c r="AA61" s="913"/>
      <c r="AB61" s="913"/>
      <c r="AC61" s="913"/>
      <c r="AD61" s="913"/>
    </row>
    <row r="62" spans="1:30">
      <c r="E62" s="913"/>
      <c r="F62" s="913"/>
      <c r="G62" s="913"/>
      <c r="H62" s="913"/>
      <c r="I62" s="913"/>
      <c r="J62" s="913"/>
      <c r="K62" s="913"/>
      <c r="L62" s="913"/>
      <c r="M62" s="913"/>
      <c r="N62" s="913"/>
      <c r="O62" s="913"/>
      <c r="P62" s="913"/>
      <c r="Q62" s="913"/>
      <c r="R62" s="913"/>
      <c r="S62" s="913"/>
      <c r="T62" s="913"/>
      <c r="U62" s="913"/>
      <c r="V62" s="913"/>
      <c r="W62" s="997"/>
      <c r="X62" s="997"/>
      <c r="Y62" s="913"/>
      <c r="Z62" s="913"/>
      <c r="AA62" s="913"/>
      <c r="AB62" s="913"/>
      <c r="AC62" s="913"/>
      <c r="AD62" s="913"/>
    </row>
    <row r="63" spans="1:30">
      <c r="E63" s="913"/>
      <c r="F63" s="913"/>
      <c r="G63" s="913"/>
      <c r="H63" s="913"/>
      <c r="I63" s="913"/>
      <c r="J63" s="913"/>
      <c r="K63" s="913"/>
      <c r="L63" s="913"/>
      <c r="M63" s="913"/>
      <c r="N63" s="913"/>
      <c r="O63" s="913"/>
      <c r="P63" s="913"/>
      <c r="Q63" s="914"/>
      <c r="R63" s="914"/>
      <c r="S63" s="913"/>
      <c r="T63" s="913"/>
      <c r="U63" s="913"/>
      <c r="V63" s="913"/>
      <c r="W63" s="913"/>
      <c r="X63" s="913"/>
      <c r="Y63" s="913"/>
      <c r="Z63" s="913"/>
      <c r="AA63" s="913"/>
      <c r="AB63" s="913"/>
      <c r="AC63" s="913"/>
      <c r="AD63" s="913"/>
    </row>
    <row r="64" spans="1:30">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row>
    <row r="65" spans="5:30">
      <c r="E65" s="913"/>
      <c r="F65" s="913"/>
      <c r="G65" s="913"/>
      <c r="H65" s="913"/>
      <c r="I65" s="913"/>
      <c r="J65" s="913"/>
      <c r="K65" s="913"/>
      <c r="L65" s="913"/>
      <c r="M65" s="913"/>
      <c r="N65" s="913"/>
      <c r="O65" s="913"/>
      <c r="P65" s="913"/>
      <c r="Q65" s="913"/>
      <c r="R65" s="913"/>
      <c r="S65" s="913"/>
      <c r="T65" s="913"/>
      <c r="U65" s="913"/>
      <c r="V65" s="913"/>
      <c r="W65" s="913"/>
      <c r="X65" s="913"/>
      <c r="Y65" s="913"/>
      <c r="Z65" s="913"/>
      <c r="AA65" s="913"/>
      <c r="AB65" s="913"/>
      <c r="AC65" s="913"/>
      <c r="AD65" s="913"/>
    </row>
    <row r="66" spans="5:30">
      <c r="E66" s="913"/>
      <c r="F66" s="913"/>
      <c r="G66" s="913"/>
      <c r="H66" s="913"/>
      <c r="I66" s="913"/>
      <c r="J66" s="913"/>
      <c r="K66" s="913"/>
      <c r="L66" s="913"/>
      <c r="M66" s="913"/>
      <c r="N66" s="913"/>
      <c r="O66" s="913"/>
      <c r="P66" s="913"/>
      <c r="Q66" s="913"/>
      <c r="R66" s="913"/>
      <c r="S66" s="913"/>
      <c r="T66" s="913"/>
      <c r="U66" s="913"/>
      <c r="V66" s="913"/>
      <c r="W66" s="997"/>
      <c r="X66" s="997"/>
      <c r="Y66" s="997"/>
      <c r="Z66" s="913"/>
      <c r="AA66" s="913"/>
      <c r="AB66" s="913"/>
      <c r="AC66" s="913"/>
      <c r="AD66" s="913"/>
    </row>
    <row r="67" spans="5:30">
      <c r="E67" s="913"/>
      <c r="F67" s="913"/>
      <c r="G67" s="913"/>
      <c r="H67" s="913"/>
      <c r="I67" s="913"/>
      <c r="J67" s="913"/>
      <c r="K67" s="913"/>
      <c r="L67" s="913"/>
      <c r="M67" s="913"/>
      <c r="N67" s="913"/>
      <c r="O67" s="913"/>
      <c r="P67" s="913"/>
      <c r="Q67" s="913"/>
      <c r="R67" s="913"/>
      <c r="S67" s="913"/>
      <c r="T67" s="913"/>
      <c r="U67" s="913"/>
      <c r="V67" s="913"/>
      <c r="W67" s="913"/>
      <c r="X67" s="913"/>
      <c r="Y67" s="913"/>
      <c r="Z67" s="913"/>
      <c r="AA67" s="913"/>
      <c r="AB67" s="913"/>
      <c r="AC67" s="913"/>
      <c r="AD67" s="913"/>
    </row>
    <row r="68" spans="5:30">
      <c r="E68" s="913"/>
      <c r="F68" s="913"/>
      <c r="G68" s="913"/>
      <c r="H68" s="913"/>
      <c r="I68" s="913"/>
      <c r="J68" s="913"/>
      <c r="K68" s="913"/>
      <c r="L68" s="913"/>
      <c r="M68" s="913"/>
      <c r="N68" s="913"/>
      <c r="O68" s="913"/>
      <c r="P68" s="913"/>
      <c r="Q68" s="913"/>
      <c r="R68" s="913"/>
      <c r="S68" s="913"/>
      <c r="T68" s="913"/>
      <c r="U68" s="913"/>
      <c r="V68" s="913"/>
      <c r="W68" s="913"/>
      <c r="X68" s="913"/>
      <c r="Y68" s="913"/>
      <c r="Z68" s="913"/>
      <c r="AA68" s="913"/>
      <c r="AB68" s="913"/>
      <c r="AC68" s="913"/>
      <c r="AD68" s="913"/>
    </row>
    <row r="69" spans="5:30">
      <c r="E69" s="913"/>
      <c r="F69" s="913"/>
      <c r="G69" s="913"/>
      <c r="H69" s="913"/>
      <c r="I69" s="913"/>
      <c r="J69" s="913"/>
      <c r="K69" s="913"/>
      <c r="L69" s="913"/>
      <c r="M69" s="913"/>
      <c r="N69" s="913"/>
      <c r="O69" s="913"/>
      <c r="P69" s="913"/>
      <c r="Q69" s="913"/>
      <c r="R69" s="913"/>
      <c r="S69" s="913"/>
      <c r="T69" s="913"/>
      <c r="U69" s="913"/>
      <c r="V69" s="913"/>
      <c r="W69" s="913"/>
      <c r="X69" s="913"/>
      <c r="Y69" s="913"/>
      <c r="Z69" s="913"/>
      <c r="AA69" s="913"/>
      <c r="AB69" s="913"/>
      <c r="AC69" s="913"/>
      <c r="AD69" s="913"/>
    </row>
    <row r="70" spans="5:30">
      <c r="E70" s="913"/>
      <c r="F70" s="913"/>
      <c r="G70" s="913"/>
      <c r="H70" s="913"/>
      <c r="I70" s="913"/>
      <c r="J70" s="913"/>
      <c r="K70" s="913"/>
      <c r="L70" s="913"/>
      <c r="M70" s="913"/>
      <c r="N70" s="913"/>
      <c r="O70" s="913"/>
      <c r="P70" s="913"/>
      <c r="Q70" s="913"/>
      <c r="R70" s="913"/>
      <c r="S70" s="913"/>
      <c r="T70" s="913"/>
      <c r="U70" s="913"/>
      <c r="V70" s="913"/>
      <c r="W70" s="913"/>
      <c r="X70" s="913"/>
      <c r="Y70" s="913"/>
      <c r="Z70" s="913"/>
      <c r="AA70" s="913"/>
      <c r="AB70" s="913"/>
      <c r="AC70" s="913"/>
      <c r="AD70" s="913"/>
    </row>
    <row r="71" spans="5:30">
      <c r="E71" s="913"/>
      <c r="F71" s="913"/>
      <c r="G71" s="913"/>
      <c r="H71" s="913"/>
      <c r="I71" s="913"/>
      <c r="J71" s="913"/>
      <c r="K71" s="913"/>
      <c r="L71" s="913"/>
      <c r="M71" s="913"/>
      <c r="N71" s="913"/>
      <c r="O71" s="913"/>
      <c r="P71" s="913"/>
      <c r="Q71" s="913"/>
      <c r="R71" s="913"/>
      <c r="S71" s="913"/>
      <c r="T71" s="913"/>
      <c r="U71" s="913"/>
      <c r="V71" s="913"/>
      <c r="W71" s="913"/>
      <c r="X71" s="913"/>
      <c r="Y71" s="913"/>
      <c r="Z71" s="913"/>
      <c r="AA71" s="913"/>
      <c r="AB71" s="913"/>
      <c r="AC71" s="913"/>
      <c r="AD71" s="913"/>
    </row>
    <row r="72" spans="5:30">
      <c r="E72" s="913"/>
      <c r="F72" s="913"/>
      <c r="G72" s="913"/>
      <c r="H72" s="913"/>
      <c r="I72" s="913"/>
      <c r="J72" s="913"/>
      <c r="K72" s="913"/>
      <c r="L72" s="913"/>
      <c r="M72" s="913"/>
      <c r="N72" s="913"/>
      <c r="O72" s="913"/>
      <c r="P72" s="913"/>
      <c r="Q72" s="913"/>
      <c r="R72" s="913"/>
      <c r="S72" s="913"/>
      <c r="T72" s="913"/>
      <c r="U72" s="913"/>
      <c r="V72" s="913"/>
      <c r="W72" s="913"/>
      <c r="X72" s="913"/>
      <c r="Y72" s="913"/>
      <c r="Z72" s="913"/>
      <c r="AA72" s="913"/>
      <c r="AB72" s="913"/>
      <c r="AC72" s="913"/>
      <c r="AD72" s="913"/>
    </row>
    <row r="73" spans="5:30">
      <c r="E73" s="913"/>
      <c r="F73" s="913"/>
      <c r="G73" s="913"/>
      <c r="H73" s="913"/>
      <c r="I73" s="913"/>
      <c r="J73" s="913"/>
      <c r="K73" s="913"/>
      <c r="L73" s="913"/>
      <c r="M73" s="913"/>
      <c r="N73" s="913"/>
      <c r="O73" s="913"/>
      <c r="P73" s="913"/>
      <c r="Q73" s="913"/>
      <c r="R73" s="913"/>
      <c r="S73" s="913"/>
      <c r="T73" s="913"/>
      <c r="U73" s="913"/>
      <c r="V73" s="913"/>
      <c r="W73" s="913"/>
      <c r="X73" s="913"/>
      <c r="Y73" s="913"/>
      <c r="Z73" s="913"/>
      <c r="AA73" s="913"/>
      <c r="AB73" s="913"/>
      <c r="AC73" s="913"/>
      <c r="AD73" s="913"/>
    </row>
    <row r="74" spans="5:30">
      <c r="E74" s="913"/>
      <c r="F74" s="913"/>
      <c r="G74" s="913"/>
      <c r="H74" s="913"/>
      <c r="I74" s="913"/>
      <c r="J74" s="913"/>
      <c r="K74" s="913"/>
      <c r="L74" s="913"/>
      <c r="M74" s="913"/>
      <c r="N74" s="913"/>
      <c r="O74" s="913"/>
      <c r="P74" s="913"/>
      <c r="Q74" s="913"/>
      <c r="R74" s="913"/>
      <c r="S74" s="913"/>
      <c r="T74" s="913"/>
      <c r="U74" s="913"/>
      <c r="V74" s="913"/>
      <c r="W74" s="913"/>
      <c r="X74" s="913"/>
      <c r="Y74" s="913"/>
      <c r="Z74" s="913"/>
      <c r="AA74" s="913"/>
      <c r="AB74" s="913"/>
      <c r="AC74" s="913"/>
      <c r="AD74" s="913"/>
    </row>
    <row r="75" spans="5:30">
      <c r="E75" s="913"/>
      <c r="F75" s="913"/>
      <c r="G75" s="913"/>
      <c r="H75" s="913"/>
      <c r="I75" s="913"/>
      <c r="J75" s="913"/>
      <c r="K75" s="913"/>
      <c r="L75" s="913"/>
      <c r="M75" s="913"/>
      <c r="N75" s="913"/>
      <c r="O75" s="913"/>
      <c r="P75" s="913"/>
      <c r="Q75" s="913"/>
      <c r="R75" s="913"/>
      <c r="S75" s="913"/>
      <c r="T75" s="913"/>
      <c r="U75" s="913"/>
      <c r="V75" s="913"/>
      <c r="W75" s="913"/>
      <c r="X75" s="913"/>
      <c r="Y75" s="913"/>
      <c r="Z75" s="913"/>
      <c r="AA75" s="913"/>
      <c r="AB75" s="913"/>
      <c r="AC75" s="913"/>
      <c r="AD75" s="913"/>
    </row>
    <row r="76" spans="5:30">
      <c r="E76" s="913"/>
      <c r="F76" s="913"/>
      <c r="G76" s="913"/>
      <c r="H76" s="913"/>
      <c r="I76" s="913"/>
      <c r="J76" s="913"/>
      <c r="K76" s="913"/>
      <c r="L76" s="913"/>
      <c r="M76" s="913"/>
      <c r="N76" s="913"/>
      <c r="O76" s="913"/>
      <c r="P76" s="913"/>
      <c r="Q76" s="913"/>
      <c r="R76" s="913"/>
      <c r="S76" s="913"/>
      <c r="T76" s="913"/>
      <c r="U76" s="913"/>
      <c r="V76" s="913"/>
      <c r="W76" s="913"/>
      <c r="X76" s="913"/>
      <c r="Y76" s="913"/>
      <c r="Z76" s="913"/>
      <c r="AA76" s="913"/>
      <c r="AB76" s="913"/>
      <c r="AC76" s="913"/>
      <c r="AD76" s="913"/>
    </row>
    <row r="77" spans="5:30">
      <c r="E77" s="913"/>
      <c r="F77" s="913"/>
      <c r="G77" s="913"/>
      <c r="H77" s="913"/>
      <c r="I77" s="913"/>
      <c r="J77" s="913"/>
      <c r="K77" s="913"/>
      <c r="L77" s="913"/>
      <c r="M77" s="913"/>
      <c r="N77" s="913"/>
      <c r="O77" s="913"/>
      <c r="P77" s="913"/>
      <c r="Q77" s="913"/>
      <c r="R77" s="913"/>
      <c r="S77" s="913"/>
      <c r="T77" s="913"/>
      <c r="U77" s="913"/>
      <c r="V77" s="913"/>
      <c r="W77" s="913"/>
      <c r="X77" s="913"/>
      <c r="Y77" s="913"/>
      <c r="Z77" s="913"/>
      <c r="AA77" s="913"/>
      <c r="AB77" s="913"/>
      <c r="AC77" s="913"/>
      <c r="AD77" s="913"/>
    </row>
    <row r="78" spans="5:30">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row>
    <row r="79" spans="5:30">
      <c r="E79" s="913"/>
      <c r="F79" s="913"/>
      <c r="G79" s="913"/>
      <c r="H79" s="913"/>
      <c r="I79" s="913"/>
      <c r="J79" s="913"/>
      <c r="K79" s="913"/>
      <c r="L79" s="913"/>
      <c r="M79" s="913"/>
      <c r="N79" s="913"/>
      <c r="O79" s="913"/>
      <c r="P79" s="913"/>
      <c r="Q79" s="913"/>
      <c r="R79" s="913"/>
      <c r="S79" s="913"/>
      <c r="T79" s="913"/>
      <c r="U79" s="913"/>
      <c r="V79" s="913"/>
      <c r="W79" s="913"/>
      <c r="X79" s="913"/>
      <c r="Y79" s="913"/>
      <c r="Z79" s="913"/>
      <c r="AA79" s="913"/>
      <c r="AB79" s="913"/>
      <c r="AC79" s="913"/>
      <c r="AD79" s="913"/>
    </row>
    <row r="80" spans="5:30">
      <c r="E80" s="913"/>
      <c r="F80" s="913"/>
      <c r="G80" s="913"/>
      <c r="H80" s="913"/>
      <c r="I80" s="913"/>
      <c r="J80" s="913"/>
      <c r="K80" s="913"/>
      <c r="L80" s="913"/>
      <c r="M80" s="913"/>
      <c r="N80" s="913"/>
      <c r="O80" s="913"/>
      <c r="P80" s="913"/>
      <c r="Q80" s="913"/>
      <c r="R80" s="913"/>
      <c r="S80" s="913"/>
      <c r="T80" s="913"/>
      <c r="U80" s="913"/>
      <c r="V80" s="913"/>
      <c r="W80" s="913"/>
      <c r="X80" s="913"/>
      <c r="Y80" s="913"/>
      <c r="Z80" s="913"/>
      <c r="AA80" s="913"/>
      <c r="AB80" s="913"/>
      <c r="AC80" s="913"/>
      <c r="AD80" s="913"/>
    </row>
    <row r="81" spans="5:30">
      <c r="E81" s="913"/>
      <c r="F81" s="913"/>
      <c r="G81" s="913"/>
      <c r="H81" s="913"/>
      <c r="I81" s="913"/>
      <c r="J81" s="913"/>
      <c r="K81" s="913"/>
      <c r="L81" s="913"/>
      <c r="M81" s="913"/>
      <c r="N81" s="913"/>
      <c r="O81" s="913"/>
      <c r="P81" s="913"/>
      <c r="Q81" s="913"/>
      <c r="R81" s="913"/>
      <c r="S81" s="913"/>
      <c r="T81" s="913"/>
      <c r="U81" s="913"/>
      <c r="V81" s="913"/>
      <c r="W81" s="913"/>
      <c r="X81" s="913"/>
      <c r="Y81" s="913"/>
      <c r="Z81" s="913"/>
      <c r="AA81" s="913"/>
      <c r="AB81" s="913"/>
      <c r="AC81" s="913"/>
      <c r="AD81" s="913"/>
    </row>
    <row r="82" spans="5:30">
      <c r="E82" s="913"/>
      <c r="F82" s="913"/>
      <c r="G82" s="913"/>
      <c r="H82" s="913"/>
      <c r="I82" s="913"/>
      <c r="J82" s="913"/>
      <c r="K82" s="913"/>
      <c r="L82" s="913"/>
      <c r="M82" s="913"/>
      <c r="N82" s="913"/>
      <c r="O82" s="913"/>
      <c r="P82" s="913"/>
      <c r="Q82" s="913"/>
      <c r="R82" s="913"/>
      <c r="S82" s="913"/>
      <c r="T82" s="913"/>
      <c r="U82" s="913"/>
      <c r="V82" s="913"/>
      <c r="W82" s="913"/>
      <c r="X82" s="913"/>
      <c r="Y82" s="913"/>
      <c r="Z82" s="913"/>
      <c r="AA82" s="913"/>
      <c r="AB82" s="913"/>
      <c r="AC82" s="913"/>
      <c r="AD82" s="913"/>
    </row>
    <row r="83" spans="5:30">
      <c r="E83" s="913"/>
      <c r="F83" s="913"/>
      <c r="G83" s="913"/>
      <c r="H83" s="913"/>
      <c r="I83" s="913"/>
      <c r="J83" s="913"/>
      <c r="K83" s="913"/>
      <c r="L83" s="913"/>
      <c r="M83" s="913"/>
      <c r="N83" s="913"/>
      <c r="O83" s="913"/>
      <c r="P83" s="913"/>
      <c r="Q83" s="913"/>
      <c r="R83" s="913"/>
      <c r="S83" s="913"/>
      <c r="T83" s="913"/>
      <c r="U83" s="913"/>
      <c r="V83" s="913"/>
      <c r="W83" s="913"/>
      <c r="X83" s="913"/>
      <c r="Y83" s="913"/>
      <c r="Z83" s="913"/>
      <c r="AA83" s="913"/>
      <c r="AB83" s="913"/>
      <c r="AC83" s="913"/>
      <c r="AD83" s="913"/>
    </row>
    <row r="84" spans="5:30">
      <c r="E84" s="913"/>
      <c r="F84" s="913"/>
      <c r="G84" s="913"/>
      <c r="H84" s="913"/>
      <c r="I84" s="913"/>
      <c r="J84" s="913"/>
      <c r="K84" s="913"/>
      <c r="L84" s="913"/>
      <c r="M84" s="913"/>
      <c r="N84" s="913"/>
      <c r="O84" s="913"/>
      <c r="P84" s="913"/>
      <c r="Q84" s="913"/>
      <c r="R84" s="913"/>
      <c r="S84" s="913"/>
      <c r="T84" s="913"/>
      <c r="U84" s="913"/>
      <c r="V84" s="913"/>
      <c r="W84" s="913"/>
      <c r="X84" s="913"/>
      <c r="Y84" s="913"/>
      <c r="Z84" s="913"/>
      <c r="AA84" s="913"/>
      <c r="AB84" s="913"/>
      <c r="AC84" s="913"/>
      <c r="AD84" s="913"/>
    </row>
    <row r="85" spans="5:30">
      <c r="E85" s="913"/>
      <c r="F85" s="913"/>
      <c r="G85" s="913"/>
      <c r="H85" s="913"/>
      <c r="I85" s="913"/>
      <c r="J85" s="913"/>
      <c r="K85" s="913"/>
      <c r="L85" s="913"/>
      <c r="M85" s="913"/>
      <c r="N85" s="913"/>
      <c r="O85" s="913"/>
      <c r="P85" s="913"/>
      <c r="Q85" s="913"/>
      <c r="R85" s="913"/>
      <c r="S85" s="913"/>
      <c r="T85" s="913"/>
      <c r="U85" s="913"/>
      <c r="V85" s="913"/>
      <c r="W85" s="913"/>
      <c r="X85" s="913"/>
      <c r="Y85" s="913"/>
      <c r="Z85" s="913"/>
      <c r="AA85" s="913"/>
      <c r="AB85" s="913"/>
      <c r="AC85" s="913"/>
      <c r="AD85" s="913"/>
    </row>
    <row r="86" spans="5:30">
      <c r="E86" s="913"/>
      <c r="F86" s="913"/>
      <c r="G86" s="913"/>
      <c r="H86" s="913"/>
      <c r="I86" s="913"/>
      <c r="J86" s="913"/>
      <c r="K86" s="913"/>
      <c r="L86" s="913"/>
      <c r="M86" s="913"/>
      <c r="N86" s="913"/>
      <c r="O86" s="913"/>
      <c r="P86" s="913"/>
      <c r="Q86" s="913"/>
      <c r="R86" s="913"/>
      <c r="S86" s="913"/>
      <c r="T86" s="913"/>
      <c r="U86" s="913"/>
      <c r="V86" s="913"/>
      <c r="W86" s="913"/>
      <c r="X86" s="913"/>
      <c r="Y86" s="913"/>
      <c r="Z86" s="913"/>
      <c r="AA86" s="913"/>
      <c r="AB86" s="913"/>
      <c r="AC86" s="913"/>
      <c r="AD86" s="913"/>
    </row>
    <row r="87" spans="5:30">
      <c r="E87" s="913"/>
      <c r="F87" s="913"/>
      <c r="G87" s="913"/>
      <c r="H87" s="913"/>
      <c r="I87" s="913"/>
      <c r="J87" s="913"/>
      <c r="K87" s="913"/>
      <c r="L87" s="913"/>
      <c r="M87" s="913"/>
      <c r="N87" s="913"/>
      <c r="O87" s="913"/>
      <c r="P87" s="913"/>
      <c r="Q87" s="913"/>
      <c r="R87" s="913"/>
      <c r="S87" s="913"/>
      <c r="T87" s="913"/>
      <c r="U87" s="913"/>
      <c r="V87" s="913"/>
      <c r="W87" s="913"/>
      <c r="X87" s="913"/>
      <c r="Y87" s="913"/>
      <c r="Z87" s="913"/>
      <c r="AA87" s="913"/>
      <c r="AB87" s="913"/>
      <c r="AC87" s="913"/>
      <c r="AD87" s="913"/>
    </row>
    <row r="88" spans="5:30">
      <c r="E88" s="913"/>
      <c r="F88" s="913"/>
      <c r="G88" s="913"/>
      <c r="H88" s="913"/>
      <c r="I88" s="913"/>
      <c r="J88" s="913"/>
      <c r="K88" s="913"/>
      <c r="L88" s="913"/>
      <c r="M88" s="913"/>
      <c r="N88" s="913"/>
      <c r="O88" s="913"/>
      <c r="P88" s="913"/>
      <c r="Q88" s="913"/>
      <c r="R88" s="913"/>
      <c r="S88" s="913"/>
      <c r="T88" s="913"/>
      <c r="U88" s="913"/>
      <c r="V88" s="913"/>
      <c r="W88" s="913"/>
      <c r="X88" s="913"/>
      <c r="Y88" s="913"/>
      <c r="Z88" s="913"/>
      <c r="AA88" s="913"/>
      <c r="AB88" s="913"/>
      <c r="AC88" s="913"/>
      <c r="AD88" s="913"/>
    </row>
    <row r="89" spans="5:30">
      <c r="E89" s="913"/>
      <c r="F89" s="913"/>
      <c r="G89" s="913"/>
      <c r="H89" s="913"/>
      <c r="I89" s="913"/>
      <c r="J89" s="913"/>
      <c r="K89" s="913"/>
      <c r="L89" s="913"/>
      <c r="M89" s="913"/>
      <c r="N89" s="913"/>
      <c r="O89" s="913"/>
      <c r="P89" s="913"/>
      <c r="Q89" s="913"/>
      <c r="R89" s="913"/>
      <c r="S89" s="913"/>
      <c r="T89" s="913"/>
      <c r="U89" s="913"/>
      <c r="V89" s="913"/>
      <c r="W89" s="913"/>
      <c r="X89" s="913"/>
      <c r="Y89" s="913"/>
      <c r="Z89" s="913"/>
      <c r="AA89" s="913"/>
      <c r="AB89" s="913"/>
      <c r="AC89" s="913"/>
      <c r="AD89" s="913"/>
    </row>
    <row r="90" spans="5:30">
      <c r="E90" s="913"/>
      <c r="F90" s="913"/>
      <c r="G90" s="913"/>
      <c r="H90" s="913"/>
      <c r="I90" s="913"/>
      <c r="J90" s="913"/>
      <c r="K90" s="913"/>
      <c r="L90" s="913"/>
      <c r="M90" s="913"/>
      <c r="N90" s="913"/>
      <c r="O90" s="913"/>
      <c r="P90" s="913"/>
      <c r="Q90" s="913"/>
      <c r="R90" s="913"/>
      <c r="S90" s="913"/>
      <c r="T90" s="913"/>
      <c r="U90" s="913"/>
      <c r="V90" s="913"/>
      <c r="W90" s="913"/>
      <c r="X90" s="913"/>
      <c r="Y90" s="913"/>
      <c r="Z90" s="913"/>
      <c r="AA90" s="913"/>
      <c r="AB90" s="913"/>
      <c r="AC90" s="913"/>
      <c r="AD90" s="913"/>
    </row>
    <row r="91" spans="5:30">
      <c r="E91" s="913"/>
      <c r="F91" s="913"/>
      <c r="G91" s="913"/>
      <c r="H91" s="913"/>
      <c r="I91" s="913"/>
      <c r="J91" s="913"/>
      <c r="K91" s="913"/>
      <c r="L91" s="913"/>
      <c r="M91" s="913"/>
      <c r="N91" s="913"/>
      <c r="O91" s="913"/>
      <c r="P91" s="913"/>
      <c r="Q91" s="913"/>
      <c r="R91" s="913"/>
      <c r="S91" s="913"/>
      <c r="T91" s="913"/>
      <c r="U91" s="913"/>
      <c r="V91" s="913"/>
      <c r="W91" s="913"/>
      <c r="X91" s="913"/>
      <c r="Y91" s="913"/>
      <c r="Z91" s="913"/>
      <c r="AA91" s="913"/>
      <c r="AB91" s="913"/>
      <c r="AC91" s="913"/>
      <c r="AD91" s="913"/>
    </row>
    <row r="92" spans="5:30">
      <c r="E92" s="913"/>
      <c r="F92" s="913"/>
      <c r="G92" s="913"/>
      <c r="H92" s="913"/>
      <c r="I92" s="913"/>
      <c r="J92" s="913"/>
      <c r="K92" s="913"/>
      <c r="L92" s="913"/>
      <c r="M92" s="913"/>
      <c r="N92" s="913"/>
      <c r="O92" s="913"/>
      <c r="P92" s="913"/>
      <c r="Q92" s="913"/>
      <c r="R92" s="913"/>
      <c r="S92" s="913"/>
      <c r="T92" s="913"/>
      <c r="U92" s="913"/>
      <c r="V92" s="913"/>
      <c r="W92" s="913"/>
      <c r="X92" s="913"/>
      <c r="Y92" s="913"/>
      <c r="Z92" s="913"/>
      <c r="AA92" s="913"/>
      <c r="AB92" s="913"/>
      <c r="AC92" s="913"/>
      <c r="AD92" s="913"/>
    </row>
    <row r="93" spans="5:30">
      <c r="E93" s="913"/>
      <c r="F93" s="913"/>
      <c r="G93" s="913"/>
      <c r="H93" s="913"/>
      <c r="I93" s="913"/>
      <c r="J93" s="913"/>
      <c r="K93" s="913"/>
      <c r="L93" s="913"/>
      <c r="M93" s="913"/>
      <c r="N93" s="913"/>
      <c r="O93" s="913"/>
      <c r="P93" s="913"/>
      <c r="Q93" s="913"/>
      <c r="R93" s="913"/>
      <c r="S93" s="913"/>
      <c r="T93" s="913"/>
      <c r="U93" s="913"/>
      <c r="V93" s="913"/>
      <c r="W93" s="913"/>
      <c r="X93" s="913"/>
      <c r="Y93" s="913"/>
      <c r="Z93" s="913"/>
      <c r="AA93" s="913"/>
      <c r="AB93" s="913"/>
      <c r="AC93" s="913"/>
      <c r="AD93" s="913"/>
    </row>
    <row r="94" spans="5:30">
      <c r="E94" s="913"/>
      <c r="F94" s="913"/>
      <c r="G94" s="913"/>
      <c r="H94" s="913"/>
      <c r="I94" s="913"/>
      <c r="J94" s="913"/>
      <c r="K94" s="913"/>
      <c r="L94" s="913"/>
      <c r="M94" s="913"/>
      <c r="N94" s="913"/>
      <c r="O94" s="913"/>
      <c r="P94" s="913"/>
      <c r="Q94" s="913"/>
      <c r="R94" s="913"/>
      <c r="S94" s="913"/>
      <c r="T94" s="913"/>
      <c r="U94" s="913"/>
      <c r="V94" s="913"/>
      <c r="W94" s="913"/>
      <c r="X94" s="913"/>
      <c r="Y94" s="913"/>
      <c r="Z94" s="913"/>
      <c r="AA94" s="913"/>
      <c r="AB94" s="913"/>
      <c r="AC94" s="913"/>
      <c r="AD94" s="913"/>
    </row>
    <row r="95" spans="5:30">
      <c r="E95" s="913"/>
      <c r="F95" s="913"/>
      <c r="G95" s="913"/>
      <c r="H95" s="913"/>
      <c r="I95" s="913"/>
      <c r="J95" s="913"/>
      <c r="K95" s="913"/>
      <c r="L95" s="913"/>
      <c r="M95" s="913"/>
      <c r="N95" s="913"/>
      <c r="O95" s="913"/>
      <c r="P95" s="913"/>
      <c r="Q95" s="913"/>
      <c r="R95" s="913"/>
      <c r="S95" s="913"/>
      <c r="T95" s="913"/>
      <c r="U95" s="913"/>
      <c r="V95" s="913"/>
      <c r="W95" s="913"/>
      <c r="X95" s="913"/>
      <c r="Y95" s="913"/>
      <c r="Z95" s="913"/>
      <c r="AA95" s="913"/>
      <c r="AB95" s="913"/>
      <c r="AC95" s="913"/>
      <c r="AD95" s="913"/>
    </row>
    <row r="96" spans="5:30">
      <c r="E96" s="913"/>
      <c r="F96" s="913"/>
      <c r="G96" s="913"/>
      <c r="H96" s="913"/>
      <c r="I96" s="913"/>
      <c r="J96" s="913"/>
      <c r="K96" s="913"/>
      <c r="L96" s="913"/>
      <c r="M96" s="913"/>
      <c r="N96" s="913"/>
      <c r="O96" s="913"/>
      <c r="P96" s="913"/>
      <c r="Q96" s="913"/>
      <c r="R96" s="913"/>
      <c r="S96" s="913"/>
      <c r="T96" s="913"/>
      <c r="U96" s="913"/>
      <c r="V96" s="913"/>
      <c r="W96" s="913"/>
      <c r="X96" s="913"/>
      <c r="Y96" s="913"/>
      <c r="Z96" s="913"/>
      <c r="AA96" s="913"/>
      <c r="AB96" s="913"/>
      <c r="AC96" s="913"/>
      <c r="AD96" s="913"/>
    </row>
    <row r="97" spans="5:30">
      <c r="E97" s="913"/>
      <c r="F97" s="913"/>
      <c r="G97" s="913"/>
      <c r="H97" s="913"/>
      <c r="I97" s="913"/>
      <c r="J97" s="913"/>
      <c r="K97" s="913"/>
      <c r="L97" s="913"/>
      <c r="M97" s="913"/>
      <c r="N97" s="913"/>
      <c r="O97" s="913"/>
      <c r="P97" s="913"/>
      <c r="Q97" s="913"/>
      <c r="R97" s="913"/>
      <c r="S97" s="913"/>
      <c r="T97" s="913"/>
      <c r="U97" s="913"/>
      <c r="V97" s="913"/>
      <c r="W97" s="913"/>
      <c r="X97" s="913"/>
      <c r="Y97" s="913"/>
      <c r="Z97" s="913"/>
      <c r="AA97" s="913"/>
      <c r="AB97" s="913"/>
      <c r="AC97" s="913"/>
      <c r="AD97" s="913"/>
    </row>
    <row r="98" spans="5:30">
      <c r="E98" s="913"/>
      <c r="F98" s="913"/>
      <c r="G98" s="913"/>
      <c r="H98" s="913"/>
      <c r="I98" s="913"/>
      <c r="J98" s="913"/>
      <c r="K98" s="913"/>
      <c r="L98" s="913"/>
      <c r="M98" s="913"/>
      <c r="N98" s="913"/>
      <c r="O98" s="913"/>
      <c r="P98" s="913"/>
      <c r="Q98" s="913"/>
      <c r="R98" s="913"/>
      <c r="S98" s="913"/>
      <c r="T98" s="913"/>
      <c r="U98" s="913"/>
      <c r="V98" s="913"/>
      <c r="W98" s="913"/>
      <c r="X98" s="913"/>
      <c r="Y98" s="913"/>
      <c r="Z98" s="913"/>
      <c r="AA98" s="913"/>
      <c r="AB98" s="913"/>
      <c r="AC98" s="913"/>
      <c r="AD98" s="913"/>
    </row>
    <row r="99" spans="5:30">
      <c r="E99" s="913"/>
      <c r="F99" s="913"/>
      <c r="G99" s="913"/>
      <c r="H99" s="913"/>
      <c r="I99" s="913"/>
      <c r="J99" s="913"/>
      <c r="K99" s="913"/>
      <c r="L99" s="913"/>
      <c r="M99" s="913"/>
      <c r="N99" s="913"/>
      <c r="O99" s="913"/>
      <c r="P99" s="913"/>
      <c r="Q99" s="913"/>
      <c r="R99" s="913"/>
      <c r="S99" s="913"/>
      <c r="T99" s="913"/>
      <c r="U99" s="913"/>
      <c r="V99" s="913"/>
      <c r="W99" s="913"/>
      <c r="X99" s="913"/>
      <c r="Y99" s="913"/>
      <c r="Z99" s="913"/>
      <c r="AA99" s="913"/>
      <c r="AB99" s="913"/>
      <c r="AC99" s="913"/>
      <c r="AD99" s="913"/>
    </row>
    <row r="100" spans="5:30">
      <c r="E100" s="913"/>
      <c r="F100" s="913"/>
      <c r="G100" s="913"/>
      <c r="H100" s="913"/>
      <c r="I100" s="913"/>
      <c r="J100" s="913"/>
      <c r="K100" s="913"/>
      <c r="L100" s="913"/>
      <c r="M100" s="913"/>
      <c r="N100" s="913"/>
      <c r="O100" s="913"/>
      <c r="P100" s="913"/>
      <c r="Q100" s="913"/>
      <c r="R100" s="913"/>
      <c r="S100" s="913"/>
      <c r="T100" s="913"/>
      <c r="U100" s="913"/>
      <c r="V100" s="913"/>
      <c r="W100" s="913"/>
      <c r="X100" s="913"/>
      <c r="Y100" s="913"/>
      <c r="Z100" s="913"/>
      <c r="AA100" s="913"/>
      <c r="AB100" s="913"/>
      <c r="AC100" s="913"/>
      <c r="AD100" s="913"/>
    </row>
    <row r="101" spans="5:30">
      <c r="E101" s="913"/>
      <c r="F101" s="913"/>
      <c r="G101" s="913"/>
      <c r="H101" s="913"/>
      <c r="I101" s="913"/>
      <c r="J101" s="913"/>
      <c r="K101" s="913"/>
      <c r="L101" s="913"/>
      <c r="M101" s="913"/>
      <c r="N101" s="913"/>
      <c r="O101" s="913"/>
      <c r="P101" s="913"/>
      <c r="Q101" s="913"/>
      <c r="R101" s="913"/>
      <c r="S101" s="913"/>
      <c r="T101" s="913"/>
      <c r="U101" s="913"/>
      <c r="V101" s="913"/>
      <c r="W101" s="913"/>
      <c r="X101" s="913"/>
      <c r="Y101" s="913"/>
      <c r="Z101" s="913"/>
      <c r="AA101" s="913"/>
      <c r="AB101" s="913"/>
      <c r="AC101" s="913"/>
      <c r="AD101" s="913"/>
    </row>
    <row r="102" spans="5:30">
      <c r="E102" s="913"/>
      <c r="F102" s="913"/>
      <c r="G102" s="913"/>
      <c r="H102" s="913"/>
      <c r="I102" s="913"/>
      <c r="J102" s="913"/>
      <c r="K102" s="913"/>
      <c r="L102" s="913"/>
      <c r="M102" s="913"/>
      <c r="N102" s="913"/>
      <c r="O102" s="913"/>
      <c r="P102" s="913"/>
      <c r="Q102" s="913"/>
      <c r="R102" s="913"/>
      <c r="S102" s="913"/>
      <c r="T102" s="913"/>
      <c r="U102" s="913"/>
      <c r="V102" s="913"/>
      <c r="W102" s="913"/>
      <c r="X102" s="913"/>
      <c r="Y102" s="913"/>
      <c r="Z102" s="913"/>
      <c r="AA102" s="913"/>
      <c r="AB102" s="913"/>
      <c r="AC102" s="913"/>
      <c r="AD102" s="913"/>
    </row>
    <row r="103" spans="5:30">
      <c r="E103" s="913"/>
      <c r="F103" s="913"/>
      <c r="G103" s="913"/>
      <c r="H103" s="913"/>
      <c r="I103" s="913"/>
      <c r="J103" s="913"/>
      <c r="K103" s="913"/>
      <c r="L103" s="913"/>
      <c r="M103" s="913"/>
      <c r="N103" s="913"/>
      <c r="O103" s="913"/>
      <c r="P103" s="913"/>
      <c r="Q103" s="913"/>
      <c r="R103" s="913"/>
      <c r="S103" s="913"/>
      <c r="T103" s="913"/>
      <c r="U103" s="913"/>
      <c r="V103" s="913"/>
      <c r="W103" s="913"/>
      <c r="X103" s="913"/>
      <c r="Y103" s="913"/>
      <c r="Z103" s="913"/>
      <c r="AA103" s="913"/>
      <c r="AB103" s="913"/>
      <c r="AC103" s="913"/>
      <c r="AD103" s="913"/>
    </row>
    <row r="104" spans="5:30">
      <c r="E104" s="913"/>
      <c r="F104" s="913"/>
      <c r="G104" s="913"/>
      <c r="H104" s="913"/>
      <c r="I104" s="913"/>
      <c r="J104" s="913"/>
      <c r="K104" s="913"/>
      <c r="L104" s="913"/>
      <c r="M104" s="913"/>
      <c r="N104" s="913"/>
      <c r="O104" s="913"/>
      <c r="P104" s="913"/>
      <c r="Q104" s="913"/>
      <c r="R104" s="913"/>
      <c r="S104" s="913"/>
      <c r="T104" s="913"/>
      <c r="U104" s="913"/>
      <c r="V104" s="913"/>
      <c r="W104" s="913"/>
      <c r="X104" s="913"/>
      <c r="Y104" s="913"/>
      <c r="Z104" s="913"/>
      <c r="AA104" s="913"/>
      <c r="AB104" s="913"/>
      <c r="AC104" s="913"/>
      <c r="AD104" s="913"/>
    </row>
    <row r="105" spans="5:30">
      <c r="E105" s="913"/>
      <c r="F105" s="913"/>
      <c r="G105" s="913"/>
      <c r="H105" s="913"/>
      <c r="I105" s="913"/>
      <c r="J105" s="913"/>
      <c r="K105" s="913"/>
      <c r="L105" s="913"/>
      <c r="M105" s="913"/>
      <c r="N105" s="913"/>
      <c r="O105" s="913"/>
      <c r="P105" s="913"/>
      <c r="Q105" s="913"/>
      <c r="R105" s="913"/>
      <c r="S105" s="913"/>
      <c r="T105" s="913"/>
      <c r="U105" s="913"/>
      <c r="V105" s="913"/>
      <c r="W105" s="913"/>
      <c r="X105" s="913"/>
      <c r="Y105" s="913"/>
      <c r="Z105" s="913"/>
      <c r="AA105" s="913"/>
      <c r="AB105" s="913"/>
      <c r="AC105" s="913"/>
      <c r="AD105" s="913"/>
    </row>
    <row r="106" spans="5:30">
      <c r="E106" s="913"/>
      <c r="F106" s="913"/>
      <c r="G106" s="913"/>
      <c r="H106" s="913"/>
      <c r="I106" s="913"/>
      <c r="J106" s="913"/>
      <c r="K106" s="913"/>
      <c r="L106" s="913"/>
      <c r="M106" s="913"/>
      <c r="N106" s="913"/>
      <c r="O106" s="913"/>
      <c r="P106" s="913"/>
      <c r="Q106" s="913"/>
      <c r="R106" s="913"/>
      <c r="S106" s="913"/>
      <c r="T106" s="913"/>
      <c r="U106" s="913"/>
      <c r="V106" s="913"/>
      <c r="W106" s="913"/>
      <c r="X106" s="913"/>
      <c r="Y106" s="913"/>
      <c r="Z106" s="913"/>
      <c r="AA106" s="913"/>
      <c r="AB106" s="913"/>
      <c r="AC106" s="913"/>
      <c r="AD106" s="913"/>
    </row>
    <row r="107" spans="5:30">
      <c r="E107" s="913"/>
      <c r="F107" s="913"/>
      <c r="G107" s="913"/>
      <c r="H107" s="913"/>
      <c r="I107" s="913"/>
      <c r="J107" s="913"/>
      <c r="K107" s="913"/>
      <c r="L107" s="913"/>
      <c r="M107" s="913"/>
      <c r="N107" s="913"/>
      <c r="O107" s="913"/>
      <c r="P107" s="913"/>
      <c r="Q107" s="913"/>
      <c r="R107" s="913"/>
      <c r="S107" s="913"/>
      <c r="T107" s="913"/>
      <c r="U107" s="913"/>
      <c r="V107" s="913"/>
      <c r="W107" s="913"/>
      <c r="X107" s="913"/>
      <c r="Y107" s="913"/>
      <c r="Z107" s="913"/>
      <c r="AA107" s="913"/>
      <c r="AB107" s="913"/>
      <c r="AC107" s="913"/>
      <c r="AD107" s="913"/>
    </row>
    <row r="108" spans="5:30">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row>
    <row r="109" spans="5:30">
      <c r="E109" s="913"/>
      <c r="F109" s="913"/>
      <c r="G109" s="913"/>
      <c r="H109" s="913"/>
      <c r="I109" s="913"/>
      <c r="J109" s="913"/>
      <c r="K109" s="913"/>
      <c r="L109" s="913"/>
      <c r="M109" s="913"/>
      <c r="N109" s="913"/>
      <c r="O109" s="913"/>
      <c r="P109" s="913"/>
      <c r="Q109" s="913"/>
      <c r="R109" s="913"/>
      <c r="S109" s="913"/>
      <c r="T109" s="913"/>
      <c r="U109" s="913"/>
      <c r="V109" s="913"/>
      <c r="W109" s="913"/>
      <c r="X109" s="913"/>
      <c r="Y109" s="913"/>
      <c r="Z109" s="913"/>
      <c r="AA109" s="913"/>
      <c r="AB109" s="913"/>
      <c r="AC109" s="913"/>
      <c r="AD109" s="913"/>
    </row>
    <row r="110" spans="5:30">
      <c r="E110" s="913"/>
      <c r="F110" s="913"/>
      <c r="G110" s="913"/>
      <c r="H110" s="913"/>
      <c r="I110" s="913"/>
      <c r="J110" s="913"/>
      <c r="K110" s="913"/>
      <c r="L110" s="913"/>
      <c r="M110" s="913"/>
      <c r="N110" s="913"/>
      <c r="O110" s="913"/>
      <c r="P110" s="913"/>
      <c r="Q110" s="913"/>
      <c r="R110" s="913"/>
      <c r="S110" s="913"/>
      <c r="T110" s="913"/>
      <c r="U110" s="913"/>
      <c r="V110" s="913"/>
      <c r="W110" s="913"/>
      <c r="X110" s="913"/>
      <c r="Y110" s="913"/>
      <c r="Z110" s="913"/>
      <c r="AA110" s="913"/>
      <c r="AB110" s="913"/>
      <c r="AC110" s="913"/>
      <c r="AD110" s="913"/>
    </row>
    <row r="111" spans="5:30">
      <c r="E111" s="913"/>
      <c r="F111" s="913"/>
      <c r="G111" s="913"/>
      <c r="H111" s="913"/>
      <c r="I111" s="913"/>
      <c r="J111" s="913"/>
      <c r="K111" s="913"/>
      <c r="L111" s="913"/>
      <c r="M111" s="913"/>
      <c r="N111" s="913"/>
      <c r="O111" s="913"/>
      <c r="P111" s="913"/>
      <c r="Q111" s="913"/>
      <c r="R111" s="913"/>
      <c r="S111" s="913"/>
      <c r="T111" s="913"/>
      <c r="U111" s="913"/>
      <c r="V111" s="913"/>
      <c r="W111" s="913"/>
      <c r="X111" s="913"/>
      <c r="Y111" s="913"/>
      <c r="Z111" s="913"/>
      <c r="AA111" s="913"/>
      <c r="AB111" s="913"/>
      <c r="AC111" s="913"/>
      <c r="AD111" s="913"/>
    </row>
    <row r="112" spans="5:30">
      <c r="E112" s="913"/>
      <c r="F112" s="913"/>
      <c r="G112" s="913"/>
      <c r="H112" s="913"/>
      <c r="I112" s="913"/>
      <c r="J112" s="913"/>
      <c r="K112" s="913"/>
      <c r="L112" s="913"/>
      <c r="M112" s="913"/>
      <c r="N112" s="913"/>
      <c r="O112" s="913"/>
      <c r="P112" s="913"/>
      <c r="Q112" s="913"/>
      <c r="R112" s="913"/>
      <c r="S112" s="913"/>
      <c r="T112" s="913"/>
      <c r="U112" s="913"/>
      <c r="V112" s="913"/>
      <c r="W112" s="913"/>
      <c r="X112" s="913"/>
      <c r="Y112" s="913"/>
      <c r="Z112" s="913"/>
      <c r="AA112" s="913"/>
      <c r="AB112" s="913"/>
      <c r="AC112" s="913"/>
      <c r="AD112" s="913"/>
    </row>
    <row r="113" spans="5:30">
      <c r="E113" s="913"/>
      <c r="F113" s="913"/>
      <c r="G113" s="913"/>
      <c r="H113" s="913"/>
      <c r="I113" s="913"/>
      <c r="J113" s="913"/>
      <c r="K113" s="913"/>
      <c r="L113" s="913"/>
      <c r="M113" s="913"/>
      <c r="N113" s="913"/>
      <c r="O113" s="913"/>
      <c r="P113" s="913"/>
      <c r="Q113" s="913"/>
      <c r="R113" s="913"/>
      <c r="S113" s="913"/>
      <c r="T113" s="913"/>
      <c r="U113" s="913"/>
      <c r="V113" s="913"/>
      <c r="W113" s="913"/>
      <c r="X113" s="913"/>
      <c r="Y113" s="913"/>
      <c r="Z113" s="913"/>
      <c r="AA113" s="913"/>
      <c r="AB113" s="913"/>
      <c r="AC113" s="913"/>
      <c r="AD113" s="913"/>
    </row>
    <row r="114" spans="5:30">
      <c r="E114" s="913"/>
      <c r="F114" s="913"/>
      <c r="G114" s="913"/>
      <c r="H114" s="913"/>
      <c r="I114" s="913"/>
      <c r="J114" s="913"/>
      <c r="K114" s="913"/>
      <c r="L114" s="913"/>
      <c r="M114" s="913"/>
      <c r="N114" s="913"/>
      <c r="O114" s="913"/>
      <c r="P114" s="913"/>
      <c r="Q114" s="913"/>
      <c r="R114" s="913"/>
      <c r="S114" s="913"/>
      <c r="T114" s="913"/>
      <c r="U114" s="913"/>
      <c r="V114" s="913"/>
      <c r="W114" s="913"/>
      <c r="X114" s="913"/>
      <c r="Y114" s="913"/>
      <c r="Z114" s="913"/>
      <c r="AA114" s="913"/>
      <c r="AB114" s="913"/>
      <c r="AC114" s="913"/>
      <c r="AD114" s="913"/>
    </row>
    <row r="115" spans="5:30">
      <c r="E115" s="913"/>
      <c r="F115" s="913"/>
      <c r="G115" s="913"/>
      <c r="H115" s="913"/>
      <c r="I115" s="913"/>
      <c r="J115" s="913"/>
      <c r="K115" s="913"/>
      <c r="L115" s="913"/>
      <c r="M115" s="913"/>
      <c r="N115" s="913"/>
      <c r="O115" s="913"/>
      <c r="P115" s="913"/>
      <c r="Q115" s="913"/>
      <c r="R115" s="913"/>
      <c r="S115" s="913"/>
      <c r="T115" s="913"/>
      <c r="U115" s="913"/>
      <c r="V115" s="913"/>
      <c r="W115" s="913"/>
      <c r="X115" s="913"/>
      <c r="Y115" s="913"/>
      <c r="Z115" s="913"/>
      <c r="AA115" s="913"/>
      <c r="AB115" s="913"/>
      <c r="AC115" s="913"/>
      <c r="AD115" s="913"/>
    </row>
    <row r="116" spans="5:30">
      <c r="E116" s="913"/>
      <c r="F116" s="913"/>
      <c r="G116" s="913"/>
      <c r="H116" s="913"/>
      <c r="I116" s="913"/>
      <c r="J116" s="913"/>
      <c r="K116" s="913"/>
      <c r="L116" s="913"/>
      <c r="M116" s="913"/>
      <c r="N116" s="913"/>
      <c r="O116" s="913"/>
      <c r="P116" s="913"/>
      <c r="Q116" s="913"/>
      <c r="R116" s="913"/>
      <c r="S116" s="913"/>
      <c r="T116" s="913"/>
      <c r="U116" s="913"/>
      <c r="V116" s="913"/>
      <c r="W116" s="913"/>
      <c r="X116" s="913"/>
      <c r="Y116" s="913"/>
      <c r="Z116" s="913"/>
      <c r="AA116" s="913"/>
      <c r="AB116" s="913"/>
      <c r="AC116" s="913"/>
      <c r="AD116" s="913"/>
    </row>
    <row r="117" spans="5:30">
      <c r="E117" s="913"/>
      <c r="F117" s="913"/>
      <c r="G117" s="913"/>
      <c r="H117" s="913"/>
      <c r="I117" s="913"/>
      <c r="J117" s="913"/>
      <c r="K117" s="913"/>
      <c r="L117" s="913"/>
      <c r="M117" s="913"/>
      <c r="N117" s="913"/>
      <c r="O117" s="913"/>
      <c r="P117" s="913"/>
      <c r="Q117" s="913"/>
      <c r="R117" s="913"/>
      <c r="S117" s="913"/>
      <c r="T117" s="913"/>
      <c r="U117" s="913"/>
      <c r="V117" s="913"/>
      <c r="W117" s="913"/>
      <c r="X117" s="913"/>
      <c r="Y117" s="913"/>
      <c r="Z117" s="913"/>
      <c r="AA117" s="913"/>
      <c r="AB117" s="913"/>
      <c r="AC117" s="913"/>
      <c r="AD117" s="913"/>
    </row>
    <row r="118" spans="5:30">
      <c r="E118" s="913"/>
      <c r="F118" s="913"/>
      <c r="G118" s="913"/>
      <c r="H118" s="913"/>
      <c r="I118" s="913"/>
      <c r="J118" s="913"/>
      <c r="K118" s="913"/>
      <c r="L118" s="913"/>
      <c r="M118" s="913"/>
      <c r="N118" s="913"/>
      <c r="O118" s="913"/>
      <c r="P118" s="913"/>
      <c r="Q118" s="913"/>
      <c r="R118" s="913"/>
      <c r="S118" s="913"/>
      <c r="T118" s="913"/>
      <c r="U118" s="913"/>
      <c r="V118" s="913"/>
      <c r="W118" s="913"/>
      <c r="X118" s="913"/>
      <c r="Y118" s="913"/>
      <c r="Z118" s="913"/>
      <c r="AA118" s="913"/>
      <c r="AB118" s="913"/>
      <c r="AC118" s="913"/>
      <c r="AD118" s="913"/>
    </row>
    <row r="119" spans="5:30">
      <c r="E119" s="913"/>
      <c r="F119" s="913"/>
      <c r="G119" s="913"/>
      <c r="H119" s="913"/>
      <c r="I119" s="913"/>
      <c r="J119" s="913"/>
      <c r="K119" s="913"/>
      <c r="L119" s="913"/>
      <c r="M119" s="913"/>
      <c r="N119" s="913"/>
      <c r="O119" s="913"/>
      <c r="P119" s="913"/>
      <c r="Q119" s="913"/>
      <c r="R119" s="913"/>
      <c r="S119" s="913"/>
      <c r="T119" s="913"/>
      <c r="U119" s="913"/>
      <c r="V119" s="913"/>
      <c r="W119" s="913"/>
      <c r="X119" s="913"/>
      <c r="Y119" s="913"/>
      <c r="Z119" s="913"/>
      <c r="AA119" s="913"/>
      <c r="AB119" s="913"/>
      <c r="AC119" s="913"/>
      <c r="AD119" s="913"/>
    </row>
    <row r="120" spans="5:30">
      <c r="E120" s="913"/>
      <c r="F120" s="913"/>
      <c r="G120" s="913"/>
      <c r="H120" s="913"/>
      <c r="I120" s="913"/>
      <c r="J120" s="913"/>
      <c r="K120" s="913"/>
      <c r="L120" s="913"/>
      <c r="M120" s="913"/>
      <c r="N120" s="913"/>
      <c r="O120" s="913"/>
      <c r="P120" s="913"/>
      <c r="Q120" s="913"/>
      <c r="R120" s="913"/>
      <c r="S120" s="913"/>
      <c r="T120" s="913"/>
      <c r="U120" s="913"/>
      <c r="V120" s="913"/>
      <c r="W120" s="913"/>
      <c r="X120" s="913"/>
      <c r="Y120" s="913"/>
      <c r="Z120" s="913"/>
      <c r="AA120" s="913"/>
      <c r="AB120" s="913"/>
      <c r="AC120" s="913"/>
      <c r="AD120" s="913"/>
    </row>
    <row r="121" spans="5:30">
      <c r="E121" s="913"/>
      <c r="F121" s="913"/>
      <c r="G121" s="913"/>
      <c r="H121" s="913"/>
      <c r="I121" s="913"/>
      <c r="J121" s="913"/>
      <c r="K121" s="913"/>
      <c r="L121" s="913"/>
      <c r="M121" s="913"/>
      <c r="N121" s="913"/>
      <c r="O121" s="913"/>
      <c r="P121" s="913"/>
      <c r="Q121" s="913"/>
      <c r="R121" s="913"/>
      <c r="S121" s="913"/>
      <c r="T121" s="913"/>
      <c r="U121" s="913"/>
      <c r="V121" s="913"/>
      <c r="W121" s="913"/>
      <c r="X121" s="913"/>
      <c r="Y121" s="913"/>
      <c r="Z121" s="913"/>
      <c r="AA121" s="913"/>
      <c r="AB121" s="913"/>
      <c r="AC121" s="913"/>
      <c r="AD121" s="913"/>
    </row>
    <row r="122" spans="5:30">
      <c r="E122" s="913"/>
      <c r="F122" s="913"/>
      <c r="G122" s="913"/>
      <c r="H122" s="913"/>
      <c r="I122" s="913"/>
      <c r="J122" s="913"/>
      <c r="K122" s="913"/>
      <c r="L122" s="913"/>
      <c r="M122" s="913"/>
      <c r="N122" s="913"/>
      <c r="O122" s="913"/>
      <c r="P122" s="913"/>
      <c r="Q122" s="913"/>
      <c r="R122" s="913"/>
      <c r="S122" s="913"/>
      <c r="T122" s="913"/>
      <c r="U122" s="913"/>
      <c r="V122" s="913"/>
      <c r="W122" s="913"/>
      <c r="X122" s="913"/>
      <c r="Y122" s="913"/>
      <c r="Z122" s="913"/>
      <c r="AA122" s="913"/>
      <c r="AB122" s="913"/>
      <c r="AC122" s="913"/>
      <c r="AD122" s="913"/>
    </row>
    <row r="123" spans="5:30">
      <c r="E123" s="913"/>
      <c r="F123" s="913"/>
      <c r="G123" s="913"/>
      <c r="H123" s="913"/>
      <c r="I123" s="913"/>
      <c r="J123" s="913"/>
      <c r="K123" s="913"/>
      <c r="L123" s="913"/>
      <c r="M123" s="913"/>
      <c r="N123" s="913"/>
      <c r="O123" s="913"/>
      <c r="P123" s="913"/>
      <c r="Q123" s="913"/>
      <c r="R123" s="913"/>
      <c r="S123" s="913"/>
      <c r="T123" s="913"/>
      <c r="U123" s="913"/>
      <c r="V123" s="913"/>
      <c r="W123" s="913"/>
      <c r="X123" s="913"/>
      <c r="Y123" s="913"/>
      <c r="Z123" s="913"/>
      <c r="AA123" s="913"/>
      <c r="AB123" s="913"/>
      <c r="AC123" s="913"/>
      <c r="AD123" s="913"/>
    </row>
    <row r="124" spans="5:30">
      <c r="E124" s="913"/>
      <c r="F124" s="913"/>
      <c r="G124" s="913"/>
      <c r="H124" s="913"/>
      <c r="I124" s="913"/>
      <c r="J124" s="913"/>
      <c r="K124" s="913"/>
      <c r="L124" s="913"/>
      <c r="M124" s="913"/>
      <c r="N124" s="913"/>
      <c r="O124" s="913"/>
      <c r="P124" s="913"/>
      <c r="Q124" s="913"/>
      <c r="R124" s="913"/>
      <c r="S124" s="913"/>
      <c r="T124" s="913"/>
      <c r="U124" s="913"/>
      <c r="V124" s="913"/>
      <c r="W124" s="913"/>
      <c r="X124" s="913"/>
      <c r="Y124" s="913"/>
      <c r="Z124" s="913"/>
      <c r="AA124" s="913"/>
      <c r="AB124" s="913"/>
      <c r="AC124" s="913"/>
      <c r="AD124" s="913"/>
    </row>
    <row r="125" spans="5:30">
      <c r="E125" s="913"/>
      <c r="F125" s="913"/>
      <c r="G125" s="913"/>
      <c r="H125" s="913"/>
      <c r="I125" s="913"/>
      <c r="J125" s="913"/>
      <c r="K125" s="913"/>
      <c r="L125" s="913"/>
      <c r="M125" s="913"/>
      <c r="N125" s="913"/>
      <c r="O125" s="913"/>
      <c r="P125" s="913"/>
      <c r="Q125" s="913"/>
      <c r="R125" s="913"/>
      <c r="S125" s="913"/>
      <c r="T125" s="913"/>
      <c r="U125" s="913"/>
      <c r="V125" s="913"/>
      <c r="W125" s="913"/>
      <c r="X125" s="913"/>
      <c r="Y125" s="913"/>
      <c r="Z125" s="913"/>
      <c r="AA125" s="913"/>
      <c r="AB125" s="913"/>
      <c r="AC125" s="913"/>
      <c r="AD125" s="913"/>
    </row>
    <row r="126" spans="5:30">
      <c r="E126" s="913"/>
      <c r="F126" s="913"/>
      <c r="G126" s="913"/>
      <c r="H126" s="913"/>
      <c r="I126" s="913"/>
      <c r="J126" s="913"/>
      <c r="K126" s="913"/>
      <c r="L126" s="913"/>
      <c r="M126" s="913"/>
      <c r="N126" s="913"/>
      <c r="O126" s="913"/>
      <c r="P126" s="913"/>
      <c r="Q126" s="913"/>
      <c r="R126" s="913"/>
      <c r="S126" s="913"/>
      <c r="T126" s="913"/>
      <c r="U126" s="913"/>
      <c r="V126" s="913"/>
      <c r="W126" s="913"/>
      <c r="X126" s="913"/>
      <c r="Y126" s="913"/>
      <c r="Z126" s="913"/>
      <c r="AA126" s="913"/>
      <c r="AB126" s="913"/>
      <c r="AC126" s="913"/>
      <c r="AD126" s="913"/>
    </row>
    <row r="127" spans="5:30">
      <c r="E127" s="913"/>
      <c r="F127" s="913"/>
      <c r="G127" s="913"/>
      <c r="H127" s="913"/>
      <c r="I127" s="913"/>
      <c r="J127" s="913"/>
      <c r="K127" s="913"/>
      <c r="L127" s="913"/>
      <c r="M127" s="913"/>
      <c r="N127" s="913"/>
      <c r="O127" s="913"/>
      <c r="P127" s="913"/>
      <c r="Q127" s="913"/>
      <c r="R127" s="913"/>
      <c r="S127" s="913"/>
      <c r="T127" s="913"/>
      <c r="U127" s="913"/>
      <c r="V127" s="913"/>
      <c r="W127" s="913"/>
      <c r="X127" s="913"/>
      <c r="Y127" s="913"/>
      <c r="Z127" s="913"/>
      <c r="AA127" s="913"/>
      <c r="AB127" s="913"/>
      <c r="AC127" s="913"/>
      <c r="AD127" s="913"/>
    </row>
    <row r="128" spans="5:30">
      <c r="E128" s="913"/>
      <c r="F128" s="913"/>
      <c r="G128" s="913"/>
      <c r="H128" s="913"/>
      <c r="I128" s="913"/>
      <c r="J128" s="913"/>
      <c r="K128" s="913"/>
      <c r="L128" s="913"/>
      <c r="M128" s="913"/>
      <c r="N128" s="913"/>
      <c r="O128" s="913"/>
      <c r="P128" s="913"/>
      <c r="Q128" s="913"/>
      <c r="R128" s="913"/>
      <c r="S128" s="913"/>
      <c r="T128" s="913"/>
      <c r="U128" s="913"/>
      <c r="V128" s="913"/>
      <c r="W128" s="913"/>
      <c r="X128" s="913"/>
      <c r="Y128" s="913"/>
      <c r="Z128" s="913"/>
      <c r="AA128" s="913"/>
      <c r="AB128" s="913"/>
      <c r="AC128" s="913"/>
      <c r="AD128" s="913"/>
    </row>
    <row r="129" spans="5:30">
      <c r="E129" s="913"/>
      <c r="F129" s="913"/>
      <c r="G129" s="913"/>
      <c r="H129" s="913"/>
      <c r="I129" s="913"/>
      <c r="J129" s="913"/>
      <c r="K129" s="913"/>
      <c r="L129" s="913"/>
      <c r="M129" s="913"/>
      <c r="N129" s="913"/>
      <c r="O129" s="913"/>
      <c r="P129" s="913"/>
      <c r="Q129" s="913"/>
      <c r="R129" s="913"/>
      <c r="S129" s="913"/>
      <c r="T129" s="913"/>
      <c r="U129" s="913"/>
      <c r="V129" s="913"/>
      <c r="W129" s="913"/>
      <c r="X129" s="913"/>
      <c r="Y129" s="913"/>
      <c r="Z129" s="913"/>
      <c r="AA129" s="913"/>
      <c r="AB129" s="913"/>
      <c r="AC129" s="913"/>
      <c r="AD129" s="913"/>
    </row>
    <row r="130" spans="5:30">
      <c r="E130" s="913"/>
      <c r="F130" s="913"/>
      <c r="G130" s="913"/>
      <c r="H130" s="913"/>
      <c r="I130" s="913"/>
      <c r="J130" s="913"/>
      <c r="K130" s="913"/>
      <c r="L130" s="913"/>
      <c r="M130" s="913"/>
      <c r="N130" s="913"/>
      <c r="O130" s="913"/>
      <c r="P130" s="913"/>
      <c r="Q130" s="913"/>
      <c r="R130" s="913"/>
      <c r="S130" s="913"/>
      <c r="T130" s="913"/>
      <c r="U130" s="913"/>
      <c r="V130" s="913"/>
      <c r="W130" s="913"/>
      <c r="X130" s="913"/>
      <c r="Y130" s="913"/>
      <c r="Z130" s="913"/>
      <c r="AA130" s="913"/>
      <c r="AB130" s="913"/>
      <c r="AC130" s="913"/>
      <c r="AD130" s="913"/>
    </row>
    <row r="131" spans="5:30">
      <c r="E131" s="913"/>
      <c r="F131" s="913"/>
      <c r="G131" s="913"/>
      <c r="H131" s="913"/>
      <c r="I131" s="913"/>
      <c r="J131" s="913"/>
      <c r="K131" s="913"/>
      <c r="L131" s="913"/>
      <c r="M131" s="913"/>
      <c r="N131" s="913"/>
      <c r="O131" s="913"/>
      <c r="P131" s="913"/>
      <c r="Q131" s="913"/>
      <c r="R131" s="913"/>
      <c r="S131" s="913"/>
      <c r="T131" s="913"/>
      <c r="U131" s="913"/>
      <c r="V131" s="913"/>
      <c r="W131" s="913"/>
      <c r="X131" s="913"/>
      <c r="Y131" s="913"/>
      <c r="Z131" s="913"/>
      <c r="AA131" s="913"/>
      <c r="AB131" s="913"/>
      <c r="AC131" s="913"/>
      <c r="AD131" s="913"/>
    </row>
    <row r="132" spans="5:30">
      <c r="E132" s="913"/>
      <c r="F132" s="913"/>
      <c r="G132" s="913"/>
      <c r="H132" s="913"/>
      <c r="I132" s="913"/>
      <c r="J132" s="913"/>
      <c r="K132" s="913"/>
      <c r="L132" s="913"/>
      <c r="M132" s="913"/>
      <c r="N132" s="913"/>
      <c r="O132" s="913"/>
      <c r="P132" s="913"/>
      <c r="Q132" s="913"/>
      <c r="R132" s="913"/>
      <c r="S132" s="913"/>
      <c r="T132" s="913"/>
      <c r="U132" s="913"/>
      <c r="V132" s="913"/>
      <c r="W132" s="913"/>
      <c r="X132" s="913"/>
      <c r="Y132" s="913"/>
      <c r="Z132" s="913"/>
      <c r="AA132" s="913"/>
      <c r="AB132" s="913"/>
      <c r="AC132" s="913"/>
      <c r="AD132" s="913"/>
    </row>
    <row r="133" spans="5:30">
      <c r="E133" s="913"/>
      <c r="F133" s="913"/>
      <c r="G133" s="913"/>
      <c r="H133" s="913"/>
      <c r="I133" s="913"/>
      <c r="J133" s="913"/>
      <c r="K133" s="913"/>
      <c r="L133" s="913"/>
      <c r="M133" s="913"/>
      <c r="N133" s="913"/>
      <c r="O133" s="913"/>
      <c r="P133" s="913"/>
      <c r="Q133" s="913"/>
      <c r="R133" s="913"/>
      <c r="S133" s="913"/>
      <c r="T133" s="913"/>
      <c r="U133" s="913"/>
      <c r="V133" s="913"/>
      <c r="W133" s="913"/>
      <c r="X133" s="913"/>
      <c r="Y133" s="913"/>
      <c r="Z133" s="913"/>
      <c r="AA133" s="913"/>
      <c r="AB133" s="913"/>
      <c r="AC133" s="913"/>
      <c r="AD133" s="913"/>
    </row>
    <row r="134" spans="5:30">
      <c r="E134" s="913"/>
      <c r="F134" s="913"/>
      <c r="G134" s="913"/>
      <c r="H134" s="913"/>
      <c r="I134" s="913"/>
      <c r="J134" s="913"/>
      <c r="K134" s="913"/>
      <c r="L134" s="913"/>
      <c r="M134" s="913"/>
      <c r="N134" s="913"/>
      <c r="O134" s="913"/>
      <c r="P134" s="913"/>
      <c r="Q134" s="913"/>
      <c r="R134" s="913"/>
      <c r="S134" s="913"/>
      <c r="T134" s="913"/>
      <c r="U134" s="913"/>
      <c r="V134" s="913"/>
      <c r="W134" s="913"/>
      <c r="X134" s="913"/>
      <c r="Y134" s="913"/>
      <c r="Z134" s="913"/>
      <c r="AA134" s="913"/>
      <c r="AB134" s="913"/>
      <c r="AC134" s="913"/>
      <c r="AD134" s="913"/>
    </row>
    <row r="135" spans="5:30">
      <c r="E135" s="913"/>
      <c r="F135" s="913"/>
      <c r="G135" s="913"/>
      <c r="H135" s="913"/>
      <c r="I135" s="913"/>
      <c r="J135" s="913"/>
      <c r="K135" s="913"/>
      <c r="L135" s="913"/>
      <c r="M135" s="913"/>
      <c r="N135" s="913"/>
      <c r="O135" s="913"/>
      <c r="P135" s="913"/>
      <c r="Q135" s="913"/>
      <c r="R135" s="913"/>
      <c r="S135" s="913"/>
      <c r="T135" s="913"/>
      <c r="U135" s="913"/>
      <c r="V135" s="913"/>
      <c r="W135" s="913"/>
      <c r="X135" s="913"/>
      <c r="Y135" s="913"/>
      <c r="Z135" s="913"/>
      <c r="AA135" s="913"/>
      <c r="AB135" s="913"/>
      <c r="AC135" s="913"/>
      <c r="AD135" s="913"/>
    </row>
    <row r="136" spans="5:30">
      <c r="E136" s="913"/>
      <c r="F136" s="913"/>
      <c r="G136" s="913"/>
      <c r="H136" s="913"/>
      <c r="I136" s="913"/>
      <c r="J136" s="913"/>
      <c r="K136" s="913"/>
      <c r="L136" s="913"/>
      <c r="M136" s="913"/>
      <c r="N136" s="913"/>
      <c r="O136" s="913"/>
      <c r="P136" s="913"/>
      <c r="Q136" s="913"/>
      <c r="R136" s="913"/>
      <c r="S136" s="913"/>
      <c r="T136" s="913"/>
      <c r="U136" s="913"/>
      <c r="V136" s="913"/>
      <c r="W136" s="913"/>
      <c r="X136" s="913"/>
      <c r="Y136" s="913"/>
      <c r="Z136" s="913"/>
      <c r="AA136" s="913"/>
      <c r="AB136" s="913"/>
      <c r="AC136" s="913"/>
      <c r="AD136" s="913"/>
    </row>
    <row r="137" spans="5:30">
      <c r="E137" s="913"/>
      <c r="F137" s="913"/>
      <c r="G137" s="913"/>
      <c r="H137" s="913"/>
      <c r="I137" s="913"/>
      <c r="J137" s="913"/>
      <c r="K137" s="913"/>
      <c r="L137" s="913"/>
      <c r="M137" s="913"/>
      <c r="N137" s="913"/>
      <c r="O137" s="913"/>
      <c r="P137" s="913"/>
      <c r="Q137" s="913"/>
      <c r="R137" s="913"/>
      <c r="S137" s="913"/>
      <c r="T137" s="913"/>
      <c r="U137" s="913"/>
      <c r="V137" s="913"/>
      <c r="W137" s="913"/>
      <c r="X137" s="913"/>
      <c r="Y137" s="913"/>
      <c r="Z137" s="913"/>
      <c r="AA137" s="913"/>
      <c r="AB137" s="913"/>
      <c r="AC137" s="913"/>
      <c r="AD137" s="913"/>
    </row>
    <row r="138" spans="5:30">
      <c r="E138" s="913"/>
      <c r="F138" s="913"/>
      <c r="G138" s="913"/>
      <c r="H138" s="913"/>
      <c r="I138" s="913"/>
      <c r="J138" s="913"/>
      <c r="K138" s="913"/>
      <c r="L138" s="913"/>
      <c r="M138" s="913"/>
      <c r="N138" s="913"/>
      <c r="O138" s="913"/>
      <c r="P138" s="913"/>
      <c r="Q138" s="913"/>
      <c r="R138" s="913"/>
      <c r="S138" s="913"/>
      <c r="T138" s="913"/>
      <c r="U138" s="913"/>
      <c r="V138" s="913"/>
      <c r="W138" s="913"/>
      <c r="X138" s="913"/>
      <c r="Y138" s="913"/>
      <c r="Z138" s="913"/>
      <c r="AA138" s="913"/>
      <c r="AB138" s="913"/>
      <c r="AC138" s="913"/>
      <c r="AD138" s="913"/>
    </row>
    <row r="139" spans="5:30">
      <c r="E139" s="913"/>
      <c r="F139" s="913"/>
      <c r="G139" s="913"/>
      <c r="H139" s="913"/>
      <c r="I139" s="913"/>
      <c r="J139" s="913"/>
      <c r="K139" s="913"/>
      <c r="L139" s="913"/>
      <c r="M139" s="913"/>
      <c r="N139" s="913"/>
      <c r="O139" s="913"/>
      <c r="P139" s="913"/>
      <c r="Q139" s="913"/>
      <c r="R139" s="913"/>
      <c r="S139" s="913"/>
      <c r="T139" s="913"/>
      <c r="U139" s="913"/>
      <c r="V139" s="913"/>
      <c r="W139" s="913"/>
      <c r="X139" s="913"/>
      <c r="Y139" s="913"/>
      <c r="Z139" s="913"/>
      <c r="AA139" s="913"/>
      <c r="AB139" s="913"/>
      <c r="AC139" s="913"/>
      <c r="AD139" s="913"/>
    </row>
    <row r="140" spans="5:30">
      <c r="E140" s="913"/>
      <c r="F140" s="913"/>
      <c r="G140" s="913"/>
      <c r="H140" s="913"/>
      <c r="I140" s="913"/>
      <c r="J140" s="913"/>
      <c r="K140" s="913"/>
      <c r="L140" s="913"/>
      <c r="M140" s="913"/>
      <c r="N140" s="913"/>
      <c r="O140" s="913"/>
      <c r="P140" s="913"/>
      <c r="Q140" s="913"/>
      <c r="R140" s="913"/>
      <c r="S140" s="913"/>
      <c r="T140" s="913"/>
      <c r="U140" s="913"/>
      <c r="V140" s="913"/>
      <c r="W140" s="913"/>
      <c r="X140" s="913"/>
      <c r="Y140" s="913"/>
      <c r="Z140" s="913"/>
      <c r="AA140" s="913"/>
      <c r="AB140" s="913"/>
      <c r="AC140" s="913"/>
      <c r="AD140" s="913"/>
    </row>
    <row r="141" spans="5:30">
      <c r="E141" s="913"/>
      <c r="F141" s="913"/>
      <c r="G141" s="913"/>
      <c r="H141" s="913"/>
      <c r="I141" s="913"/>
      <c r="J141" s="913"/>
      <c r="K141" s="913"/>
      <c r="L141" s="913"/>
      <c r="M141" s="913"/>
      <c r="N141" s="913"/>
      <c r="O141" s="913"/>
      <c r="P141" s="913"/>
      <c r="Q141" s="913"/>
      <c r="R141" s="913"/>
      <c r="S141" s="913"/>
      <c r="T141" s="913"/>
      <c r="U141" s="913"/>
      <c r="V141" s="913"/>
      <c r="W141" s="913"/>
      <c r="X141" s="913"/>
      <c r="Y141" s="913"/>
      <c r="Z141" s="913"/>
      <c r="AA141" s="913"/>
      <c r="AB141" s="913"/>
      <c r="AC141" s="913"/>
      <c r="AD141" s="913"/>
    </row>
    <row r="142" spans="5:30">
      <c r="E142" s="913"/>
      <c r="F142" s="913"/>
      <c r="G142" s="913"/>
      <c r="H142" s="913"/>
      <c r="I142" s="913"/>
      <c r="J142" s="913"/>
      <c r="K142" s="913"/>
      <c r="L142" s="913"/>
      <c r="M142" s="913"/>
      <c r="N142" s="913"/>
      <c r="O142" s="913"/>
      <c r="P142" s="913"/>
      <c r="Q142" s="913"/>
      <c r="R142" s="913"/>
      <c r="S142" s="913"/>
      <c r="T142" s="913"/>
      <c r="U142" s="913"/>
      <c r="V142" s="913"/>
      <c r="W142" s="913"/>
      <c r="X142" s="913"/>
      <c r="Y142" s="913"/>
      <c r="Z142" s="913"/>
      <c r="AA142" s="913"/>
      <c r="AB142" s="913"/>
      <c r="AC142" s="913"/>
      <c r="AD142" s="913"/>
    </row>
    <row r="143" spans="5:30">
      <c r="E143" s="913"/>
      <c r="F143" s="913"/>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row>
    <row r="144" spans="5:30">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row>
    <row r="145" spans="5:30">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row>
    <row r="146" spans="5:30">
      <c r="E146" s="913"/>
      <c r="F146" s="913"/>
      <c r="G146" s="913"/>
      <c r="H146" s="913"/>
      <c r="I146" s="913"/>
      <c r="J146" s="913"/>
      <c r="K146" s="913"/>
      <c r="L146" s="913"/>
      <c r="M146" s="913"/>
      <c r="N146" s="913"/>
      <c r="O146" s="913"/>
      <c r="P146" s="913"/>
      <c r="Q146" s="913"/>
      <c r="R146" s="913"/>
      <c r="S146" s="913"/>
      <c r="T146" s="913"/>
      <c r="U146" s="913"/>
      <c r="V146" s="913"/>
      <c r="W146" s="913"/>
      <c r="X146" s="913"/>
      <c r="Y146" s="913"/>
      <c r="Z146" s="913"/>
      <c r="AA146" s="913"/>
      <c r="AB146" s="913"/>
      <c r="AC146" s="913"/>
      <c r="AD146" s="913"/>
    </row>
    <row r="147" spans="5:30">
      <c r="E147" s="913"/>
      <c r="F147" s="913"/>
      <c r="G147" s="913"/>
      <c r="H147" s="913"/>
      <c r="I147" s="913"/>
      <c r="J147" s="913"/>
      <c r="K147" s="913"/>
      <c r="L147" s="913"/>
      <c r="M147" s="913"/>
      <c r="N147" s="913"/>
      <c r="O147" s="913"/>
      <c r="P147" s="913"/>
      <c r="Q147" s="913"/>
      <c r="R147" s="913"/>
      <c r="S147" s="913"/>
      <c r="T147" s="913"/>
      <c r="U147" s="913"/>
      <c r="V147" s="913"/>
      <c r="W147" s="913"/>
      <c r="X147" s="913"/>
      <c r="Y147" s="913"/>
      <c r="Z147" s="913"/>
      <c r="AA147" s="913"/>
      <c r="AB147" s="913"/>
      <c r="AC147" s="913"/>
      <c r="AD147" s="913"/>
    </row>
    <row r="148" spans="5:30">
      <c r="E148" s="913"/>
      <c r="F148" s="913"/>
      <c r="G148" s="913"/>
      <c r="H148" s="913"/>
      <c r="I148" s="913"/>
      <c r="J148" s="913"/>
      <c r="K148" s="913"/>
      <c r="L148" s="913"/>
      <c r="M148" s="913"/>
      <c r="N148" s="913"/>
      <c r="O148" s="913"/>
      <c r="P148" s="913"/>
      <c r="Q148" s="913"/>
      <c r="R148" s="913"/>
      <c r="S148" s="913"/>
      <c r="T148" s="913"/>
      <c r="U148" s="913"/>
      <c r="V148" s="913"/>
      <c r="W148" s="913"/>
      <c r="X148" s="913"/>
      <c r="Y148" s="913"/>
      <c r="Z148" s="913"/>
      <c r="AA148" s="913"/>
      <c r="AB148" s="913"/>
      <c r="AC148" s="913"/>
      <c r="AD148" s="913"/>
    </row>
    <row r="149" spans="5:30">
      <c r="E149" s="913"/>
      <c r="F149" s="913"/>
      <c r="G149" s="913"/>
      <c r="H149" s="913"/>
      <c r="I149" s="913"/>
      <c r="J149" s="913"/>
      <c r="K149" s="913"/>
      <c r="L149" s="913"/>
      <c r="M149" s="913"/>
      <c r="N149" s="913"/>
      <c r="O149" s="913"/>
      <c r="P149" s="913"/>
      <c r="Q149" s="913"/>
      <c r="R149" s="913"/>
      <c r="S149" s="913"/>
      <c r="T149" s="913"/>
      <c r="U149" s="913"/>
      <c r="V149" s="913"/>
      <c r="W149" s="913"/>
      <c r="X149" s="913"/>
      <c r="Y149" s="913"/>
      <c r="Z149" s="913"/>
      <c r="AA149" s="913"/>
      <c r="AB149" s="913"/>
      <c r="AC149" s="913"/>
      <c r="AD149" s="913"/>
    </row>
    <row r="150" spans="5:30">
      <c r="E150" s="913"/>
      <c r="F150" s="913"/>
      <c r="G150" s="913"/>
      <c r="H150" s="913"/>
      <c r="I150" s="913"/>
      <c r="J150" s="913"/>
      <c r="K150" s="913"/>
      <c r="L150" s="913"/>
      <c r="M150" s="913"/>
      <c r="N150" s="913"/>
      <c r="O150" s="913"/>
      <c r="P150" s="913"/>
      <c r="Q150" s="913"/>
      <c r="R150" s="913"/>
      <c r="S150" s="913"/>
      <c r="T150" s="913"/>
      <c r="U150" s="913"/>
      <c r="V150" s="913"/>
      <c r="W150" s="913"/>
      <c r="X150" s="913"/>
      <c r="Y150" s="913"/>
      <c r="Z150" s="913"/>
      <c r="AA150" s="913"/>
      <c r="AB150" s="913"/>
      <c r="AC150" s="913"/>
      <c r="AD150" s="913"/>
    </row>
    <row r="151" spans="5:30">
      <c r="E151" s="913"/>
      <c r="F151" s="913"/>
      <c r="G151" s="913"/>
      <c r="H151" s="913"/>
      <c r="I151" s="913"/>
      <c r="J151" s="913"/>
      <c r="K151" s="913"/>
      <c r="L151" s="913"/>
      <c r="M151" s="913"/>
      <c r="N151" s="913"/>
      <c r="O151" s="913"/>
      <c r="P151" s="913"/>
      <c r="Q151" s="913"/>
      <c r="R151" s="913"/>
      <c r="S151" s="913"/>
      <c r="T151" s="913"/>
      <c r="U151" s="913"/>
      <c r="V151" s="913"/>
      <c r="W151" s="913"/>
      <c r="X151" s="913"/>
      <c r="Y151" s="913"/>
      <c r="Z151" s="913"/>
      <c r="AA151" s="913"/>
      <c r="AB151" s="913"/>
      <c r="AC151" s="913"/>
      <c r="AD151" s="913"/>
    </row>
    <row r="152" spans="5:30">
      <c r="E152" s="913"/>
      <c r="F152" s="913"/>
      <c r="G152" s="913"/>
      <c r="H152" s="913"/>
      <c r="I152" s="913"/>
      <c r="J152" s="913"/>
      <c r="K152" s="913"/>
      <c r="L152" s="913"/>
      <c r="M152" s="913"/>
      <c r="N152" s="913"/>
      <c r="O152" s="913"/>
      <c r="P152" s="913"/>
      <c r="Q152" s="913"/>
      <c r="R152" s="913"/>
      <c r="S152" s="913"/>
      <c r="T152" s="913"/>
      <c r="U152" s="913"/>
      <c r="V152" s="913"/>
      <c r="W152" s="913"/>
      <c r="X152" s="913"/>
      <c r="Y152" s="913"/>
      <c r="Z152" s="913"/>
      <c r="AA152" s="913"/>
      <c r="AB152" s="913"/>
      <c r="AC152" s="913"/>
      <c r="AD152" s="913"/>
    </row>
    <row r="153" spans="5:30">
      <c r="E153" s="913"/>
      <c r="F153" s="913"/>
      <c r="G153" s="913"/>
      <c r="H153" s="913"/>
      <c r="I153" s="913"/>
      <c r="J153" s="913"/>
      <c r="K153" s="913"/>
      <c r="L153" s="913"/>
      <c r="M153" s="913"/>
      <c r="N153" s="913"/>
      <c r="O153" s="913"/>
      <c r="P153" s="913"/>
      <c r="Q153" s="913"/>
      <c r="R153" s="913"/>
      <c r="S153" s="913"/>
      <c r="T153" s="913"/>
      <c r="U153" s="913"/>
      <c r="V153" s="913"/>
      <c r="W153" s="913"/>
      <c r="X153" s="913"/>
      <c r="Y153" s="913"/>
      <c r="Z153" s="913"/>
      <c r="AA153" s="913"/>
      <c r="AB153" s="913"/>
      <c r="AC153" s="913"/>
      <c r="AD153" s="913"/>
    </row>
    <row r="154" spans="5:30">
      <c r="E154" s="913"/>
      <c r="F154" s="913"/>
      <c r="G154" s="913"/>
      <c r="H154" s="913"/>
      <c r="I154" s="913"/>
      <c r="J154" s="913"/>
      <c r="K154" s="913"/>
      <c r="L154" s="913"/>
      <c r="M154" s="913"/>
      <c r="N154" s="913"/>
      <c r="O154" s="913"/>
      <c r="P154" s="913"/>
      <c r="Q154" s="913"/>
      <c r="R154" s="913"/>
      <c r="S154" s="913"/>
      <c r="T154" s="913"/>
      <c r="U154" s="913"/>
      <c r="V154" s="913"/>
      <c r="W154" s="913"/>
      <c r="X154" s="913"/>
      <c r="Y154" s="913"/>
      <c r="Z154" s="913"/>
      <c r="AA154" s="913"/>
      <c r="AB154" s="913"/>
      <c r="AC154" s="913"/>
      <c r="AD154" s="913"/>
    </row>
    <row r="155" spans="5:30">
      <c r="E155" s="913"/>
      <c r="F155" s="913"/>
      <c r="G155" s="913"/>
      <c r="H155" s="913"/>
      <c r="I155" s="913"/>
      <c r="J155" s="913"/>
      <c r="K155" s="913"/>
      <c r="L155" s="913"/>
      <c r="M155" s="913"/>
      <c r="N155" s="913"/>
      <c r="O155" s="913"/>
      <c r="P155" s="913"/>
      <c r="Q155" s="913"/>
      <c r="R155" s="913"/>
      <c r="S155" s="913"/>
      <c r="T155" s="913"/>
      <c r="U155" s="913"/>
      <c r="V155" s="913"/>
      <c r="W155" s="913"/>
      <c r="X155" s="913"/>
      <c r="Y155" s="913"/>
      <c r="Z155" s="913"/>
      <c r="AA155" s="913"/>
      <c r="AB155" s="913"/>
      <c r="AC155" s="913"/>
      <c r="AD155" s="913"/>
    </row>
    <row r="156" spans="5:30">
      <c r="E156" s="913"/>
      <c r="F156" s="913"/>
      <c r="G156" s="913"/>
      <c r="H156" s="913"/>
      <c r="I156" s="913"/>
      <c r="J156" s="913"/>
      <c r="K156" s="913"/>
      <c r="L156" s="913"/>
      <c r="M156" s="913"/>
      <c r="N156" s="913"/>
      <c r="O156" s="913"/>
      <c r="P156" s="913"/>
      <c r="Q156" s="913"/>
      <c r="R156" s="913"/>
      <c r="S156" s="913"/>
      <c r="T156" s="913"/>
      <c r="U156" s="913"/>
      <c r="V156" s="913"/>
      <c r="W156" s="913"/>
      <c r="X156" s="913"/>
      <c r="Y156" s="913"/>
      <c r="Z156" s="913"/>
      <c r="AA156" s="913"/>
      <c r="AB156" s="913"/>
      <c r="AC156" s="913"/>
      <c r="AD156" s="913"/>
    </row>
    <row r="157" spans="5:30">
      <c r="E157" s="913"/>
      <c r="F157" s="913"/>
      <c r="G157" s="913"/>
      <c r="H157" s="913"/>
      <c r="I157" s="913"/>
      <c r="J157" s="913"/>
      <c r="K157" s="913"/>
      <c r="L157" s="913"/>
      <c r="M157" s="913"/>
      <c r="N157" s="913"/>
      <c r="O157" s="913"/>
      <c r="P157" s="913"/>
      <c r="Q157" s="913"/>
      <c r="R157" s="913"/>
      <c r="S157" s="913"/>
      <c r="T157" s="913"/>
      <c r="U157" s="913"/>
      <c r="V157" s="913"/>
      <c r="W157" s="913"/>
      <c r="X157" s="913"/>
      <c r="Y157" s="913"/>
      <c r="Z157" s="913"/>
      <c r="AA157" s="913"/>
      <c r="AB157" s="913"/>
      <c r="AC157" s="913"/>
      <c r="AD157" s="913"/>
    </row>
    <row r="158" spans="5:30">
      <c r="E158" s="913"/>
      <c r="F158" s="913"/>
      <c r="G158" s="913"/>
      <c r="H158" s="913"/>
      <c r="I158" s="913"/>
      <c r="J158" s="913"/>
      <c r="K158" s="913"/>
      <c r="L158" s="913"/>
      <c r="M158" s="913"/>
      <c r="N158" s="913"/>
      <c r="O158" s="913"/>
      <c r="P158" s="913"/>
      <c r="Q158" s="913"/>
      <c r="R158" s="913"/>
      <c r="S158" s="913"/>
      <c r="T158" s="913"/>
      <c r="U158" s="913"/>
      <c r="V158" s="913"/>
      <c r="W158" s="913"/>
      <c r="X158" s="913"/>
      <c r="Y158" s="913"/>
      <c r="Z158" s="913"/>
      <c r="AA158" s="913"/>
      <c r="AB158" s="913"/>
      <c r="AC158" s="913"/>
      <c r="AD158" s="913"/>
    </row>
    <row r="159" spans="5:30">
      <c r="E159" s="913"/>
      <c r="F159" s="913"/>
      <c r="G159" s="913"/>
      <c r="H159" s="913"/>
      <c r="I159" s="913"/>
      <c r="J159" s="913"/>
      <c r="K159" s="913"/>
      <c r="L159" s="913"/>
      <c r="M159" s="913"/>
      <c r="N159" s="913"/>
      <c r="O159" s="913"/>
      <c r="P159" s="913"/>
      <c r="Q159" s="913"/>
      <c r="R159" s="913"/>
      <c r="S159" s="913"/>
      <c r="T159" s="913"/>
      <c r="U159" s="913"/>
      <c r="V159" s="913"/>
      <c r="W159" s="913"/>
      <c r="X159" s="913"/>
      <c r="Y159" s="913"/>
      <c r="Z159" s="913"/>
      <c r="AA159" s="913"/>
      <c r="AB159" s="913"/>
      <c r="AC159" s="913"/>
      <c r="AD159" s="913"/>
    </row>
    <row r="160" spans="5:30">
      <c r="E160" s="913"/>
      <c r="F160" s="913"/>
      <c r="G160" s="913"/>
      <c r="H160" s="913"/>
      <c r="I160" s="913"/>
      <c r="J160" s="913"/>
      <c r="K160" s="913"/>
      <c r="L160" s="913"/>
      <c r="M160" s="913"/>
      <c r="N160" s="913"/>
      <c r="O160" s="913"/>
      <c r="P160" s="913"/>
      <c r="Q160" s="913"/>
      <c r="R160" s="913"/>
      <c r="S160" s="913"/>
      <c r="T160" s="913"/>
      <c r="U160" s="913"/>
      <c r="V160" s="913"/>
      <c r="W160" s="913"/>
      <c r="X160" s="913"/>
      <c r="Y160" s="913"/>
      <c r="Z160" s="913"/>
      <c r="AA160" s="913"/>
      <c r="AB160" s="913"/>
      <c r="AC160" s="913"/>
      <c r="AD160" s="913"/>
    </row>
    <row r="161" spans="5:30">
      <c r="E161" s="913"/>
      <c r="F161" s="913"/>
      <c r="G161" s="913"/>
      <c r="H161" s="913"/>
      <c r="I161" s="913"/>
      <c r="J161" s="913"/>
      <c r="K161" s="913"/>
      <c r="L161" s="913"/>
      <c r="M161" s="913"/>
      <c r="N161" s="913"/>
      <c r="O161" s="913"/>
      <c r="P161" s="913"/>
      <c r="Q161" s="913"/>
      <c r="R161" s="913"/>
      <c r="S161" s="913"/>
      <c r="T161" s="913"/>
      <c r="U161" s="913"/>
      <c r="V161" s="913"/>
      <c r="W161" s="913"/>
      <c r="X161" s="913"/>
      <c r="Y161" s="913"/>
      <c r="Z161" s="913"/>
      <c r="AA161" s="913"/>
      <c r="AB161" s="913"/>
      <c r="AC161" s="913"/>
      <c r="AD161" s="913"/>
    </row>
    <row r="162" spans="5:30">
      <c r="E162" s="913"/>
      <c r="F162" s="913"/>
      <c r="G162" s="913"/>
      <c r="H162" s="913"/>
      <c r="I162" s="913"/>
      <c r="J162" s="913"/>
      <c r="K162" s="913"/>
      <c r="L162" s="913"/>
      <c r="M162" s="913"/>
      <c r="N162" s="913"/>
      <c r="O162" s="913"/>
      <c r="P162" s="913"/>
      <c r="Q162" s="913"/>
      <c r="R162" s="913"/>
      <c r="S162" s="913"/>
      <c r="T162" s="913"/>
      <c r="U162" s="913"/>
      <c r="V162" s="913"/>
      <c r="W162" s="913"/>
      <c r="X162" s="913"/>
      <c r="Y162" s="913"/>
      <c r="Z162" s="913"/>
      <c r="AA162" s="913"/>
      <c r="AB162" s="913"/>
      <c r="AC162" s="913"/>
      <c r="AD162" s="913"/>
    </row>
    <row r="163" spans="5:30">
      <c r="E163" s="913"/>
      <c r="F163" s="913"/>
      <c r="G163" s="913"/>
      <c r="H163" s="913"/>
      <c r="I163" s="913"/>
      <c r="J163" s="913"/>
      <c r="K163" s="913"/>
      <c r="L163" s="913"/>
      <c r="M163" s="913"/>
      <c r="N163" s="913"/>
      <c r="O163" s="913"/>
      <c r="P163" s="913"/>
      <c r="Q163" s="913"/>
      <c r="R163" s="913"/>
      <c r="S163" s="913"/>
      <c r="T163" s="913"/>
      <c r="U163" s="913"/>
      <c r="V163" s="913"/>
      <c r="W163" s="913"/>
      <c r="X163" s="913"/>
      <c r="Y163" s="913"/>
      <c r="Z163" s="913"/>
      <c r="AA163" s="913"/>
      <c r="AB163" s="913"/>
      <c r="AC163" s="913"/>
      <c r="AD163" s="913"/>
    </row>
    <row r="164" spans="5:30">
      <c r="E164" s="913"/>
      <c r="F164" s="913"/>
      <c r="G164" s="913"/>
      <c r="H164" s="913"/>
      <c r="I164" s="913"/>
      <c r="J164" s="913"/>
      <c r="K164" s="913"/>
      <c r="L164" s="913"/>
      <c r="M164" s="913"/>
      <c r="N164" s="913"/>
      <c r="O164" s="913"/>
      <c r="P164" s="913"/>
      <c r="Q164" s="913"/>
      <c r="R164" s="913"/>
      <c r="S164" s="913"/>
      <c r="T164" s="913"/>
      <c r="U164" s="913"/>
      <c r="V164" s="913"/>
      <c r="W164" s="913"/>
      <c r="X164" s="913"/>
      <c r="Y164" s="913"/>
      <c r="Z164" s="913"/>
      <c r="AA164" s="913"/>
      <c r="AB164" s="913"/>
      <c r="AC164" s="913"/>
      <c r="AD164" s="913"/>
    </row>
    <row r="165" spans="5:30">
      <c r="E165" s="913"/>
      <c r="F165" s="913"/>
      <c r="G165" s="913"/>
      <c r="H165" s="913"/>
      <c r="I165" s="913"/>
      <c r="J165" s="913"/>
      <c r="K165" s="913"/>
      <c r="L165" s="913"/>
      <c r="M165" s="913"/>
      <c r="N165" s="913"/>
      <c r="O165" s="913"/>
      <c r="P165" s="913"/>
      <c r="Q165" s="913"/>
      <c r="R165" s="913"/>
      <c r="S165" s="913"/>
      <c r="T165" s="913"/>
      <c r="U165" s="913"/>
      <c r="V165" s="913"/>
      <c r="W165" s="913"/>
      <c r="X165" s="913"/>
      <c r="Y165" s="913"/>
      <c r="Z165" s="913"/>
      <c r="AA165" s="913"/>
      <c r="AB165" s="913"/>
      <c r="AC165" s="913"/>
      <c r="AD165" s="913"/>
    </row>
    <row r="166" spans="5:30">
      <c r="E166" s="913"/>
      <c r="F166" s="913"/>
      <c r="G166" s="913"/>
      <c r="H166" s="913"/>
      <c r="I166" s="913"/>
      <c r="J166" s="913"/>
      <c r="K166" s="913"/>
      <c r="L166" s="913"/>
      <c r="M166" s="913"/>
      <c r="N166" s="913"/>
      <c r="O166" s="913"/>
      <c r="P166" s="913"/>
      <c r="Q166" s="913"/>
      <c r="R166" s="913"/>
      <c r="S166" s="913"/>
      <c r="T166" s="913"/>
      <c r="U166" s="913"/>
      <c r="V166" s="913"/>
      <c r="W166" s="913"/>
      <c r="X166" s="913"/>
      <c r="Y166" s="913"/>
      <c r="Z166" s="913"/>
      <c r="AA166" s="913"/>
      <c r="AB166" s="913"/>
      <c r="AC166" s="913"/>
      <c r="AD166" s="913"/>
    </row>
    <row r="167" spans="5:30">
      <c r="E167" s="913"/>
      <c r="F167" s="913"/>
      <c r="G167" s="913"/>
      <c r="H167" s="913"/>
      <c r="I167" s="913"/>
      <c r="J167" s="913"/>
      <c r="K167" s="913"/>
      <c r="L167" s="913"/>
      <c r="M167" s="913"/>
      <c r="N167" s="913"/>
      <c r="O167" s="913"/>
      <c r="P167" s="913"/>
      <c r="Q167" s="913"/>
      <c r="R167" s="913"/>
      <c r="S167" s="913"/>
      <c r="T167" s="913"/>
      <c r="U167" s="913"/>
      <c r="V167" s="913"/>
      <c r="W167" s="913"/>
      <c r="X167" s="913"/>
      <c r="Y167" s="913"/>
      <c r="Z167" s="913"/>
      <c r="AA167" s="913"/>
      <c r="AB167" s="913"/>
      <c r="AC167" s="913"/>
      <c r="AD167" s="913"/>
    </row>
    <row r="168" spans="5:30">
      <c r="E168" s="913"/>
      <c r="F168" s="913"/>
      <c r="G168" s="913"/>
      <c r="H168" s="913"/>
      <c r="I168" s="913"/>
      <c r="J168" s="913"/>
      <c r="K168" s="913"/>
      <c r="L168" s="913"/>
      <c r="M168" s="913"/>
      <c r="N168" s="913"/>
      <c r="O168" s="913"/>
      <c r="P168" s="913"/>
      <c r="Q168" s="913"/>
      <c r="R168" s="913"/>
      <c r="S168" s="913"/>
      <c r="T168" s="913"/>
      <c r="U168" s="913"/>
      <c r="V168" s="913"/>
      <c r="W168" s="913"/>
      <c r="X168" s="913"/>
      <c r="Y168" s="913"/>
      <c r="Z168" s="913"/>
      <c r="AA168" s="913"/>
      <c r="AB168" s="913"/>
      <c r="AC168" s="913"/>
      <c r="AD168" s="913"/>
    </row>
    <row r="169" spans="5:30">
      <c r="E169" s="913"/>
      <c r="F169" s="913"/>
      <c r="G169" s="913"/>
      <c r="H169" s="913"/>
      <c r="I169" s="913"/>
      <c r="J169" s="913"/>
      <c r="K169" s="913"/>
      <c r="L169" s="913"/>
      <c r="M169" s="913"/>
      <c r="N169" s="913"/>
      <c r="O169" s="913"/>
      <c r="P169" s="913"/>
      <c r="Q169" s="913"/>
      <c r="R169" s="913"/>
      <c r="S169" s="913"/>
      <c r="T169" s="913"/>
      <c r="U169" s="913"/>
      <c r="V169" s="913"/>
      <c r="W169" s="913"/>
      <c r="X169" s="913"/>
      <c r="Y169" s="913"/>
      <c r="Z169" s="913"/>
      <c r="AA169" s="913"/>
      <c r="AB169" s="913"/>
      <c r="AC169" s="913"/>
      <c r="AD169" s="913"/>
    </row>
    <row r="170" spans="5:30">
      <c r="E170" s="913"/>
      <c r="F170" s="913"/>
      <c r="G170" s="913"/>
      <c r="H170" s="913"/>
      <c r="I170" s="913"/>
      <c r="J170" s="913"/>
      <c r="K170" s="913"/>
      <c r="L170" s="913"/>
      <c r="M170" s="913"/>
      <c r="N170" s="913"/>
      <c r="O170" s="913"/>
      <c r="P170" s="913"/>
      <c r="Q170" s="913"/>
      <c r="R170" s="913"/>
      <c r="S170" s="913"/>
      <c r="T170" s="913"/>
      <c r="U170" s="913"/>
      <c r="V170" s="913"/>
      <c r="W170" s="913"/>
      <c r="X170" s="913"/>
      <c r="Y170" s="913"/>
      <c r="Z170" s="913"/>
      <c r="AA170" s="913"/>
      <c r="AB170" s="913"/>
      <c r="AC170" s="913"/>
      <c r="AD170" s="913"/>
    </row>
    <row r="171" spans="5:30">
      <c r="E171" s="913"/>
      <c r="F171" s="913"/>
      <c r="G171" s="913"/>
      <c r="H171" s="913"/>
      <c r="I171" s="913"/>
      <c r="J171" s="913"/>
      <c r="K171" s="913"/>
      <c r="L171" s="913"/>
      <c r="M171" s="913"/>
      <c r="N171" s="913"/>
      <c r="O171" s="913"/>
      <c r="P171" s="913"/>
      <c r="Q171" s="913"/>
      <c r="R171" s="913"/>
      <c r="S171" s="913"/>
      <c r="T171" s="913"/>
      <c r="U171" s="913"/>
      <c r="V171" s="913"/>
      <c r="W171" s="913"/>
      <c r="X171" s="913"/>
      <c r="Y171" s="913"/>
      <c r="Z171" s="913"/>
      <c r="AA171" s="913"/>
      <c r="AB171" s="913"/>
      <c r="AC171" s="913"/>
      <c r="AD171" s="913"/>
    </row>
    <row r="172" spans="5:30">
      <c r="E172" s="913"/>
      <c r="F172" s="913"/>
      <c r="G172" s="913"/>
      <c r="H172" s="913"/>
      <c r="I172" s="913"/>
      <c r="J172" s="913"/>
      <c r="K172" s="913"/>
      <c r="L172" s="913"/>
      <c r="M172" s="913"/>
      <c r="N172" s="913"/>
      <c r="O172" s="913"/>
      <c r="P172" s="913"/>
      <c r="Q172" s="913"/>
      <c r="R172" s="913"/>
      <c r="S172" s="913"/>
      <c r="T172" s="913"/>
      <c r="U172" s="913"/>
      <c r="V172" s="913"/>
      <c r="W172" s="913"/>
      <c r="X172" s="913"/>
      <c r="Y172" s="913"/>
      <c r="Z172" s="913"/>
      <c r="AA172" s="913"/>
      <c r="AB172" s="913"/>
      <c r="AC172" s="913"/>
      <c r="AD172" s="913"/>
    </row>
    <row r="173" spans="5:30">
      <c r="E173" s="913"/>
      <c r="F173" s="913"/>
      <c r="G173" s="913"/>
      <c r="H173" s="913"/>
      <c r="I173" s="913"/>
      <c r="J173" s="913"/>
      <c r="K173" s="913"/>
      <c r="L173" s="913"/>
      <c r="M173" s="913"/>
      <c r="N173" s="913"/>
      <c r="O173" s="913"/>
      <c r="P173" s="913"/>
      <c r="Q173" s="913"/>
      <c r="R173" s="913"/>
      <c r="S173" s="913"/>
      <c r="T173" s="913"/>
      <c r="U173" s="913"/>
      <c r="V173" s="913"/>
      <c r="W173" s="913"/>
      <c r="X173" s="913"/>
      <c r="Y173" s="913"/>
      <c r="Z173" s="913"/>
      <c r="AA173" s="913"/>
      <c r="AB173" s="913"/>
      <c r="AC173" s="913"/>
      <c r="AD173" s="913"/>
    </row>
    <row r="174" spans="5:30">
      <c r="E174" s="913"/>
      <c r="F174" s="913"/>
      <c r="G174" s="913"/>
      <c r="H174" s="913"/>
      <c r="I174" s="913"/>
      <c r="J174" s="913"/>
      <c r="K174" s="913"/>
      <c r="L174" s="913"/>
      <c r="M174" s="913"/>
      <c r="N174" s="913"/>
      <c r="O174" s="913"/>
      <c r="P174" s="913"/>
      <c r="Q174" s="913"/>
      <c r="R174" s="913"/>
      <c r="S174" s="913"/>
      <c r="T174" s="913"/>
      <c r="U174" s="913"/>
      <c r="V174" s="913"/>
      <c r="W174" s="913"/>
      <c r="X174" s="913"/>
      <c r="Y174" s="913"/>
      <c r="Z174" s="913"/>
      <c r="AA174" s="913"/>
      <c r="AB174" s="913"/>
      <c r="AC174" s="913"/>
      <c r="AD174" s="913"/>
    </row>
    <row r="175" spans="5:30">
      <c r="E175" s="913"/>
      <c r="F175" s="913"/>
      <c r="G175" s="913"/>
      <c r="H175" s="913"/>
      <c r="I175" s="913"/>
      <c r="J175" s="913"/>
      <c r="K175" s="913"/>
      <c r="L175" s="913"/>
      <c r="M175" s="913"/>
      <c r="N175" s="913"/>
      <c r="O175" s="913"/>
      <c r="P175" s="913"/>
      <c r="Q175" s="913"/>
      <c r="R175" s="913"/>
      <c r="S175" s="913"/>
      <c r="T175" s="913"/>
      <c r="U175" s="913"/>
      <c r="V175" s="913"/>
      <c r="W175" s="913"/>
      <c r="X175" s="913"/>
      <c r="Y175" s="913"/>
      <c r="Z175" s="913"/>
      <c r="AA175" s="913"/>
      <c r="AB175" s="913"/>
      <c r="AC175" s="913"/>
      <c r="AD175" s="913"/>
    </row>
    <row r="176" spans="5:30">
      <c r="E176" s="913"/>
      <c r="F176" s="913"/>
      <c r="G176" s="913"/>
      <c r="H176" s="913"/>
      <c r="I176" s="913"/>
      <c r="J176" s="913"/>
      <c r="K176" s="913"/>
      <c r="L176" s="913"/>
      <c r="M176" s="913"/>
      <c r="N176" s="913"/>
      <c r="O176" s="913"/>
      <c r="P176" s="913"/>
      <c r="Q176" s="913"/>
      <c r="R176" s="913"/>
      <c r="S176" s="913"/>
      <c r="T176" s="913"/>
      <c r="U176" s="913"/>
      <c r="V176" s="913"/>
      <c r="W176" s="913"/>
      <c r="X176" s="913"/>
      <c r="Y176" s="913"/>
      <c r="Z176" s="913"/>
      <c r="AA176" s="913"/>
      <c r="AB176" s="913"/>
      <c r="AC176" s="913"/>
      <c r="AD176" s="913"/>
    </row>
    <row r="177" spans="5:30">
      <c r="E177" s="913"/>
      <c r="F177" s="913"/>
      <c r="G177" s="913"/>
      <c r="H177" s="913"/>
      <c r="I177" s="913"/>
      <c r="J177" s="913"/>
      <c r="K177" s="913"/>
      <c r="L177" s="913"/>
      <c r="M177" s="913"/>
      <c r="N177" s="913"/>
      <c r="O177" s="913"/>
      <c r="P177" s="913"/>
      <c r="Q177" s="913"/>
      <c r="R177" s="913"/>
      <c r="S177" s="913"/>
      <c r="T177" s="913"/>
      <c r="U177" s="913"/>
      <c r="V177" s="913"/>
      <c r="W177" s="913"/>
      <c r="X177" s="913"/>
      <c r="Y177" s="913"/>
      <c r="Z177" s="913"/>
      <c r="AA177" s="913"/>
      <c r="AB177" s="913"/>
      <c r="AC177" s="913"/>
      <c r="AD177" s="913"/>
    </row>
    <row r="178" spans="5:30">
      <c r="E178" s="913"/>
      <c r="F178" s="913"/>
      <c r="G178" s="913"/>
      <c r="H178" s="913"/>
      <c r="I178" s="913"/>
      <c r="J178" s="913"/>
      <c r="K178" s="913"/>
      <c r="L178" s="913"/>
      <c r="M178" s="913"/>
      <c r="N178" s="913"/>
      <c r="O178" s="913"/>
      <c r="P178" s="913"/>
      <c r="Q178" s="913"/>
      <c r="R178" s="913"/>
      <c r="S178" s="913"/>
      <c r="T178" s="913"/>
      <c r="U178" s="913"/>
      <c r="V178" s="913"/>
      <c r="W178" s="913"/>
      <c r="X178" s="913"/>
      <c r="Y178" s="913"/>
      <c r="Z178" s="913"/>
      <c r="AA178" s="913"/>
      <c r="AB178" s="913"/>
      <c r="AC178" s="913"/>
      <c r="AD178" s="913"/>
    </row>
    <row r="179" spans="5:30">
      <c r="E179" s="913"/>
      <c r="F179" s="913"/>
      <c r="G179" s="913"/>
      <c r="H179" s="913"/>
      <c r="I179" s="913"/>
      <c r="J179" s="913"/>
      <c r="K179" s="913"/>
      <c r="L179" s="913"/>
      <c r="M179" s="913"/>
      <c r="N179" s="913"/>
      <c r="O179" s="913"/>
      <c r="P179" s="913"/>
      <c r="Q179" s="913"/>
      <c r="R179" s="913"/>
      <c r="S179" s="913"/>
      <c r="T179" s="913"/>
      <c r="U179" s="913"/>
      <c r="V179" s="913"/>
      <c r="W179" s="913"/>
      <c r="X179" s="913"/>
      <c r="Y179" s="913"/>
      <c r="Z179" s="913"/>
      <c r="AA179" s="913"/>
      <c r="AB179" s="913"/>
      <c r="AC179" s="913"/>
      <c r="AD179" s="913"/>
    </row>
    <row r="180" spans="5:30">
      <c r="E180" s="913"/>
      <c r="F180" s="913"/>
      <c r="G180" s="913"/>
      <c r="H180" s="913"/>
      <c r="I180" s="913"/>
      <c r="J180" s="913"/>
      <c r="K180" s="913"/>
      <c r="L180" s="913"/>
      <c r="M180" s="913"/>
      <c r="N180" s="913"/>
      <c r="O180" s="913"/>
      <c r="P180" s="913"/>
      <c r="Q180" s="913"/>
      <c r="R180" s="913"/>
      <c r="S180" s="913"/>
      <c r="T180" s="913"/>
      <c r="U180" s="913"/>
      <c r="V180" s="913"/>
      <c r="W180" s="913"/>
      <c r="X180" s="913"/>
      <c r="Y180" s="913"/>
      <c r="Z180" s="913"/>
      <c r="AA180" s="913"/>
      <c r="AB180" s="913"/>
      <c r="AC180" s="913"/>
      <c r="AD180" s="913"/>
    </row>
    <row r="181" spans="5:30">
      <c r="E181" s="913"/>
      <c r="F181" s="913"/>
      <c r="G181" s="913"/>
      <c r="H181" s="913"/>
      <c r="I181" s="913"/>
      <c r="J181" s="913"/>
      <c r="K181" s="913"/>
      <c r="L181" s="913"/>
      <c r="M181" s="913"/>
      <c r="N181" s="913"/>
      <c r="O181" s="913"/>
      <c r="P181" s="913"/>
      <c r="Q181" s="913"/>
      <c r="R181" s="913"/>
      <c r="S181" s="913"/>
      <c r="T181" s="913"/>
      <c r="U181" s="913"/>
      <c r="V181" s="913"/>
      <c r="W181" s="913"/>
      <c r="X181" s="913"/>
      <c r="Y181" s="913"/>
      <c r="Z181" s="913"/>
      <c r="AA181" s="913"/>
      <c r="AB181" s="913"/>
      <c r="AC181" s="913"/>
      <c r="AD181" s="913"/>
    </row>
    <row r="182" spans="5:30">
      <c r="E182" s="913"/>
      <c r="F182" s="913"/>
      <c r="G182" s="913"/>
      <c r="H182" s="913"/>
      <c r="I182" s="913"/>
      <c r="J182" s="913"/>
      <c r="K182" s="913"/>
      <c r="L182" s="913"/>
      <c r="M182" s="913"/>
      <c r="N182" s="913"/>
      <c r="O182" s="913"/>
      <c r="P182" s="913"/>
      <c r="Q182" s="913"/>
      <c r="R182" s="913"/>
      <c r="S182" s="913"/>
      <c r="T182" s="913"/>
      <c r="U182" s="913"/>
      <c r="V182" s="913"/>
      <c r="W182" s="913"/>
      <c r="X182" s="913"/>
      <c r="Y182" s="913"/>
      <c r="Z182" s="913"/>
      <c r="AA182" s="913"/>
      <c r="AB182" s="913"/>
      <c r="AC182" s="913"/>
      <c r="AD182" s="913"/>
    </row>
    <row r="183" spans="5:30">
      <c r="E183" s="913"/>
      <c r="F183" s="913"/>
      <c r="G183" s="913"/>
      <c r="H183" s="913"/>
      <c r="I183" s="913"/>
      <c r="J183" s="913"/>
      <c r="K183" s="913"/>
      <c r="L183" s="913"/>
      <c r="M183" s="913"/>
      <c r="N183" s="913"/>
      <c r="O183" s="913"/>
      <c r="P183" s="913"/>
      <c r="Q183" s="913"/>
      <c r="R183" s="913"/>
      <c r="S183" s="913"/>
      <c r="T183" s="913"/>
      <c r="U183" s="913"/>
      <c r="V183" s="913"/>
      <c r="W183" s="913"/>
      <c r="X183" s="913"/>
      <c r="Y183" s="913"/>
      <c r="Z183" s="913"/>
      <c r="AA183" s="913"/>
      <c r="AB183" s="913"/>
      <c r="AC183" s="913"/>
      <c r="AD183" s="913"/>
    </row>
    <row r="184" spans="5:30">
      <c r="E184" s="913"/>
      <c r="F184" s="913"/>
      <c r="G184" s="913"/>
      <c r="H184" s="913"/>
      <c r="I184" s="913"/>
      <c r="J184" s="913"/>
      <c r="K184" s="913"/>
      <c r="L184" s="913"/>
      <c r="M184" s="913"/>
      <c r="N184" s="913"/>
      <c r="O184" s="913"/>
      <c r="P184" s="913"/>
      <c r="Q184" s="913"/>
      <c r="R184" s="913"/>
      <c r="S184" s="913"/>
      <c r="T184" s="913"/>
      <c r="U184" s="913"/>
      <c r="V184" s="913"/>
      <c r="W184" s="913"/>
      <c r="X184" s="913"/>
      <c r="Y184" s="913"/>
      <c r="Z184" s="913"/>
      <c r="AA184" s="913"/>
      <c r="AB184" s="913"/>
      <c r="AC184" s="913"/>
      <c r="AD184" s="913"/>
    </row>
    <row r="185" spans="5:30">
      <c r="E185" s="913"/>
      <c r="F185" s="913"/>
      <c r="G185" s="913"/>
      <c r="H185" s="913"/>
      <c r="I185" s="913"/>
      <c r="J185" s="913"/>
      <c r="K185" s="913"/>
      <c r="L185" s="913"/>
      <c r="M185" s="913"/>
      <c r="N185" s="913"/>
      <c r="O185" s="913"/>
      <c r="P185" s="913"/>
      <c r="Q185" s="913"/>
      <c r="R185" s="913"/>
      <c r="S185" s="913"/>
      <c r="T185" s="913"/>
      <c r="U185" s="913"/>
      <c r="V185" s="913"/>
      <c r="W185" s="913"/>
      <c r="X185" s="913"/>
      <c r="Y185" s="913"/>
      <c r="Z185" s="913"/>
      <c r="AA185" s="913"/>
      <c r="AB185" s="913"/>
      <c r="AC185" s="913"/>
      <c r="AD185" s="913"/>
    </row>
    <row r="186" spans="5:30">
      <c r="E186" s="913"/>
      <c r="F186" s="913"/>
      <c r="G186" s="913"/>
      <c r="H186" s="913"/>
      <c r="I186" s="913"/>
      <c r="J186" s="913"/>
      <c r="K186" s="913"/>
      <c r="L186" s="913"/>
      <c r="M186" s="913"/>
      <c r="N186" s="913"/>
      <c r="O186" s="913"/>
      <c r="P186" s="913"/>
      <c r="Q186" s="913"/>
      <c r="R186" s="913"/>
      <c r="S186" s="913"/>
      <c r="T186" s="913"/>
      <c r="U186" s="913"/>
      <c r="V186" s="913"/>
      <c r="W186" s="913"/>
      <c r="X186" s="913"/>
      <c r="Y186" s="913"/>
      <c r="Z186" s="913"/>
      <c r="AA186" s="913"/>
      <c r="AB186" s="913"/>
      <c r="AC186" s="913"/>
      <c r="AD186" s="913"/>
    </row>
    <row r="187" spans="5:30">
      <c r="E187" s="913"/>
      <c r="F187" s="913"/>
      <c r="G187" s="913"/>
      <c r="H187" s="913"/>
      <c r="I187" s="913"/>
      <c r="J187" s="913"/>
      <c r="K187" s="913"/>
      <c r="L187" s="913"/>
      <c r="M187" s="913"/>
      <c r="N187" s="913"/>
      <c r="O187" s="913"/>
      <c r="P187" s="913"/>
      <c r="Q187" s="913"/>
      <c r="R187" s="913"/>
      <c r="S187" s="913"/>
      <c r="T187" s="913"/>
      <c r="U187" s="913"/>
      <c r="V187" s="913"/>
      <c r="W187" s="913"/>
      <c r="X187" s="913"/>
      <c r="Y187" s="913"/>
      <c r="Z187" s="913"/>
      <c r="AA187" s="913"/>
      <c r="AB187" s="913"/>
      <c r="AC187" s="913"/>
      <c r="AD187" s="913"/>
    </row>
    <row r="188" spans="5:30">
      <c r="E188" s="913"/>
      <c r="F188" s="913"/>
      <c r="G188" s="913"/>
      <c r="H188" s="913"/>
      <c r="I188" s="913"/>
      <c r="J188" s="913"/>
      <c r="K188" s="913"/>
      <c r="L188" s="913"/>
      <c r="M188" s="913"/>
      <c r="N188" s="913"/>
      <c r="O188" s="913"/>
      <c r="P188" s="913"/>
      <c r="Q188" s="913"/>
      <c r="R188" s="913"/>
      <c r="S188" s="913"/>
      <c r="T188" s="913"/>
      <c r="U188" s="913"/>
      <c r="V188" s="913"/>
      <c r="W188" s="913"/>
      <c r="X188" s="913"/>
      <c r="Y188" s="913"/>
      <c r="Z188" s="913"/>
      <c r="AA188" s="913"/>
      <c r="AB188" s="913"/>
      <c r="AC188" s="913"/>
      <c r="AD188" s="913"/>
    </row>
    <row r="189" spans="5:30">
      <c r="E189" s="913"/>
      <c r="F189" s="913"/>
      <c r="G189" s="913"/>
      <c r="H189" s="913"/>
      <c r="I189" s="913"/>
      <c r="J189" s="913"/>
      <c r="K189" s="913"/>
      <c r="L189" s="913"/>
      <c r="M189" s="913"/>
      <c r="N189" s="913"/>
      <c r="O189" s="913"/>
      <c r="P189" s="913"/>
      <c r="Q189" s="913"/>
      <c r="R189" s="913"/>
      <c r="S189" s="913"/>
      <c r="T189" s="913"/>
      <c r="U189" s="913"/>
      <c r="V189" s="913"/>
      <c r="W189" s="913"/>
      <c r="X189" s="913"/>
      <c r="Y189" s="913"/>
      <c r="Z189" s="913"/>
      <c r="AA189" s="913"/>
      <c r="AB189" s="913"/>
      <c r="AC189" s="913"/>
      <c r="AD189" s="913"/>
    </row>
    <row r="190" spans="5:30">
      <c r="E190" s="913"/>
      <c r="F190" s="913"/>
      <c r="G190" s="913"/>
      <c r="H190" s="913"/>
      <c r="I190" s="913"/>
      <c r="J190" s="913"/>
      <c r="K190" s="913"/>
      <c r="L190" s="913"/>
      <c r="M190" s="913"/>
      <c r="N190" s="913"/>
      <c r="O190" s="913"/>
      <c r="P190" s="913"/>
      <c r="Q190" s="913"/>
      <c r="R190" s="913"/>
      <c r="S190" s="913"/>
      <c r="T190" s="913"/>
      <c r="U190" s="913"/>
      <c r="V190" s="913"/>
      <c r="W190" s="913"/>
      <c r="X190" s="913"/>
      <c r="Y190" s="913"/>
      <c r="Z190" s="913"/>
      <c r="AA190" s="913"/>
      <c r="AB190" s="913"/>
      <c r="AC190" s="913"/>
      <c r="AD190" s="913"/>
    </row>
    <row r="191" spans="5:30">
      <c r="E191" s="913"/>
      <c r="F191" s="913"/>
      <c r="G191" s="913"/>
      <c r="H191" s="913"/>
      <c r="I191" s="913"/>
      <c r="J191" s="913"/>
      <c r="K191" s="913"/>
      <c r="L191" s="913"/>
      <c r="M191" s="913"/>
      <c r="N191" s="913"/>
      <c r="O191" s="913"/>
      <c r="P191" s="913"/>
      <c r="Q191" s="913"/>
      <c r="R191" s="913"/>
      <c r="S191" s="913"/>
      <c r="T191" s="913"/>
      <c r="U191" s="913"/>
      <c r="V191" s="913"/>
      <c r="W191" s="913"/>
      <c r="X191" s="913"/>
      <c r="Y191" s="913"/>
      <c r="Z191" s="913"/>
      <c r="AA191" s="913"/>
      <c r="AB191" s="913"/>
      <c r="AC191" s="913"/>
      <c r="AD191" s="913"/>
    </row>
    <row r="192" spans="5:30">
      <c r="E192" s="913"/>
      <c r="F192" s="913"/>
      <c r="G192" s="913"/>
      <c r="H192" s="913"/>
      <c r="I192" s="913"/>
      <c r="J192" s="913"/>
      <c r="K192" s="913"/>
      <c r="L192" s="913"/>
      <c r="M192" s="913"/>
      <c r="N192" s="913"/>
      <c r="O192" s="913"/>
      <c r="P192" s="913"/>
      <c r="Q192" s="913"/>
      <c r="R192" s="913"/>
      <c r="S192" s="913"/>
      <c r="T192" s="913"/>
      <c r="U192" s="913"/>
      <c r="V192" s="913"/>
      <c r="W192" s="913"/>
      <c r="X192" s="913"/>
      <c r="Y192" s="913"/>
      <c r="Z192" s="913"/>
      <c r="AA192" s="913"/>
      <c r="AB192" s="913"/>
      <c r="AC192" s="913"/>
      <c r="AD192" s="913"/>
    </row>
    <row r="193" spans="5:30">
      <c r="E193" s="913"/>
      <c r="F193" s="913"/>
      <c r="G193" s="913"/>
      <c r="H193" s="913"/>
      <c r="I193" s="913"/>
      <c r="J193" s="913"/>
      <c r="K193" s="913"/>
      <c r="L193" s="913"/>
      <c r="M193" s="913"/>
      <c r="N193" s="913"/>
      <c r="O193" s="913"/>
      <c r="P193" s="913"/>
      <c r="Q193" s="913"/>
      <c r="R193" s="913"/>
      <c r="S193" s="913"/>
      <c r="T193" s="913"/>
      <c r="U193" s="913"/>
      <c r="V193" s="913"/>
      <c r="W193" s="913"/>
      <c r="X193" s="913"/>
      <c r="Y193" s="913"/>
      <c r="Z193" s="913"/>
      <c r="AA193" s="913"/>
      <c r="AB193" s="913"/>
      <c r="AC193" s="913"/>
      <c r="AD193" s="913"/>
    </row>
    <row r="194" spans="5:30">
      <c r="E194" s="913"/>
      <c r="F194" s="913"/>
      <c r="G194" s="913"/>
      <c r="H194" s="913"/>
      <c r="I194" s="913"/>
      <c r="J194" s="913"/>
      <c r="K194" s="913"/>
      <c r="L194" s="913"/>
      <c r="M194" s="913"/>
      <c r="N194" s="913"/>
      <c r="O194" s="913"/>
      <c r="P194" s="913"/>
      <c r="Q194" s="913"/>
      <c r="R194" s="913"/>
      <c r="S194" s="913"/>
      <c r="T194" s="913"/>
      <c r="U194" s="913"/>
      <c r="V194" s="913"/>
      <c r="W194" s="913"/>
      <c r="X194" s="913"/>
      <c r="Y194" s="913"/>
      <c r="Z194" s="913"/>
      <c r="AA194" s="913"/>
      <c r="AB194" s="913"/>
      <c r="AC194" s="913"/>
      <c r="AD194" s="913"/>
    </row>
    <row r="195" spans="5:30">
      <c r="E195" s="913"/>
      <c r="F195" s="913"/>
      <c r="G195" s="913"/>
      <c r="H195" s="913"/>
      <c r="I195" s="913"/>
      <c r="J195" s="913"/>
      <c r="K195" s="913"/>
      <c r="L195" s="913"/>
      <c r="M195" s="913"/>
      <c r="N195" s="913"/>
      <c r="O195" s="913"/>
      <c r="P195" s="913"/>
      <c r="Q195" s="913"/>
      <c r="R195" s="913"/>
      <c r="S195" s="913"/>
      <c r="T195" s="913"/>
      <c r="U195" s="913"/>
      <c r="V195" s="913"/>
      <c r="W195" s="913"/>
      <c r="X195" s="913"/>
      <c r="Y195" s="913"/>
      <c r="Z195" s="913"/>
      <c r="AA195" s="913"/>
      <c r="AB195" s="913"/>
      <c r="AC195" s="913"/>
      <c r="AD195" s="913"/>
    </row>
    <row r="196" spans="5:30">
      <c r="E196" s="913"/>
      <c r="F196" s="913"/>
      <c r="G196" s="913"/>
      <c r="H196" s="913"/>
      <c r="I196" s="913"/>
      <c r="J196" s="913"/>
      <c r="K196" s="913"/>
      <c r="L196" s="913"/>
      <c r="M196" s="913"/>
      <c r="N196" s="913"/>
      <c r="O196" s="913"/>
      <c r="P196" s="913"/>
      <c r="Q196" s="913"/>
      <c r="R196" s="913"/>
      <c r="S196" s="913"/>
      <c r="T196" s="913"/>
      <c r="U196" s="913"/>
      <c r="V196" s="913"/>
      <c r="W196" s="913"/>
      <c r="X196" s="913"/>
      <c r="Y196" s="913"/>
      <c r="Z196" s="913"/>
      <c r="AA196" s="913"/>
      <c r="AB196" s="913"/>
      <c r="AC196" s="913"/>
      <c r="AD196" s="913"/>
    </row>
    <row r="197" spans="5:30">
      <c r="E197" s="913"/>
      <c r="F197" s="913"/>
      <c r="G197" s="913"/>
      <c r="H197" s="913"/>
      <c r="I197" s="913"/>
      <c r="J197" s="913"/>
      <c r="K197" s="913"/>
      <c r="L197" s="913"/>
      <c r="M197" s="913"/>
      <c r="N197" s="913"/>
      <c r="O197" s="913"/>
      <c r="P197" s="913"/>
      <c r="Q197" s="913"/>
      <c r="R197" s="913"/>
      <c r="S197" s="913"/>
      <c r="T197" s="913"/>
      <c r="U197" s="913"/>
      <c r="V197" s="913"/>
      <c r="W197" s="913"/>
      <c r="X197" s="913"/>
      <c r="Y197" s="913"/>
      <c r="Z197" s="913"/>
      <c r="AA197" s="913"/>
      <c r="AB197" s="913"/>
      <c r="AC197" s="913"/>
      <c r="AD197" s="913"/>
    </row>
    <row r="198" spans="5:30">
      <c r="E198" s="913"/>
      <c r="F198" s="913"/>
      <c r="G198" s="913"/>
      <c r="H198" s="913"/>
      <c r="I198" s="913"/>
      <c r="J198" s="913"/>
      <c r="K198" s="913"/>
      <c r="L198" s="913"/>
      <c r="M198" s="913"/>
      <c r="N198" s="913"/>
      <c r="O198" s="913"/>
      <c r="P198" s="913"/>
      <c r="Q198" s="913"/>
      <c r="R198" s="913"/>
      <c r="S198" s="913"/>
      <c r="T198" s="913"/>
      <c r="U198" s="913"/>
      <c r="V198" s="913"/>
      <c r="W198" s="913"/>
      <c r="X198" s="913"/>
      <c r="Y198" s="913"/>
      <c r="Z198" s="913"/>
      <c r="AA198" s="913"/>
      <c r="AB198" s="913"/>
      <c r="AC198" s="913"/>
      <c r="AD198" s="913"/>
    </row>
    <row r="199" spans="5:30">
      <c r="E199" s="913"/>
      <c r="F199" s="913"/>
      <c r="G199" s="913"/>
      <c r="H199" s="913"/>
      <c r="I199" s="913"/>
      <c r="J199" s="913"/>
      <c r="K199" s="913"/>
      <c r="L199" s="913"/>
      <c r="M199" s="913"/>
      <c r="N199" s="913"/>
      <c r="O199" s="913"/>
      <c r="P199" s="913"/>
      <c r="Q199" s="913"/>
      <c r="R199" s="913"/>
      <c r="S199" s="913"/>
      <c r="T199" s="913"/>
      <c r="U199" s="913"/>
      <c r="V199" s="913"/>
      <c r="W199" s="913"/>
      <c r="X199" s="913"/>
      <c r="Y199" s="913"/>
      <c r="Z199" s="913"/>
      <c r="AA199" s="913"/>
      <c r="AB199" s="913"/>
      <c r="AC199" s="913"/>
      <c r="AD199" s="913"/>
    </row>
    <row r="200" spans="5:30">
      <c r="E200" s="913"/>
      <c r="F200" s="913"/>
      <c r="G200" s="913"/>
      <c r="H200" s="913"/>
      <c r="I200" s="913"/>
      <c r="J200" s="913"/>
      <c r="K200" s="913"/>
      <c r="L200" s="913"/>
      <c r="M200" s="913"/>
      <c r="N200" s="913"/>
      <c r="O200" s="913"/>
      <c r="P200" s="913"/>
      <c r="Q200" s="913"/>
      <c r="R200" s="913"/>
      <c r="S200" s="913"/>
      <c r="T200" s="913"/>
      <c r="U200" s="913"/>
      <c r="V200" s="913"/>
      <c r="W200" s="913"/>
      <c r="X200" s="913"/>
      <c r="Y200" s="913"/>
      <c r="Z200" s="913"/>
      <c r="AA200" s="913"/>
      <c r="AB200" s="913"/>
      <c r="AC200" s="913"/>
      <c r="AD200" s="913"/>
    </row>
    <row r="201" spans="5:30">
      <c r="E201" s="913"/>
      <c r="F201" s="913"/>
      <c r="G201" s="913"/>
      <c r="H201" s="913"/>
      <c r="I201" s="913"/>
      <c r="J201" s="913"/>
      <c r="K201" s="913"/>
      <c r="L201" s="913"/>
      <c r="M201" s="913"/>
      <c r="N201" s="913"/>
      <c r="O201" s="913"/>
      <c r="P201" s="913"/>
      <c r="Q201" s="913"/>
      <c r="R201" s="913"/>
      <c r="S201" s="913"/>
      <c r="T201" s="913"/>
      <c r="U201" s="913"/>
      <c r="V201" s="913"/>
      <c r="W201" s="913"/>
      <c r="X201" s="913"/>
      <c r="Y201" s="913"/>
      <c r="Z201" s="913"/>
      <c r="AA201" s="913"/>
      <c r="AB201" s="913"/>
      <c r="AC201" s="913"/>
      <c r="AD201" s="913"/>
    </row>
    <row r="202" spans="5:30">
      <c r="E202" s="913"/>
      <c r="F202" s="913"/>
      <c r="G202" s="913"/>
      <c r="H202" s="913"/>
      <c r="I202" s="913"/>
      <c r="J202" s="913"/>
      <c r="K202" s="913"/>
      <c r="L202" s="913"/>
      <c r="M202" s="913"/>
      <c r="N202" s="913"/>
      <c r="O202" s="913"/>
      <c r="P202" s="913"/>
      <c r="Q202" s="913"/>
      <c r="R202" s="913"/>
      <c r="S202" s="913"/>
      <c r="T202" s="913"/>
      <c r="U202" s="913"/>
      <c r="V202" s="913"/>
      <c r="W202" s="913"/>
      <c r="X202" s="913"/>
      <c r="Y202" s="913"/>
      <c r="Z202" s="913"/>
      <c r="AA202" s="913"/>
      <c r="AB202" s="913"/>
      <c r="AC202" s="913"/>
      <c r="AD202" s="913"/>
    </row>
    <row r="203" spans="5:30">
      <c r="E203" s="913"/>
      <c r="F203" s="913"/>
      <c r="G203" s="913"/>
      <c r="H203" s="913"/>
      <c r="I203" s="913"/>
      <c r="J203" s="913"/>
      <c r="K203" s="913"/>
      <c r="L203" s="913"/>
      <c r="M203" s="913"/>
      <c r="N203" s="913"/>
      <c r="O203" s="913"/>
      <c r="P203" s="913"/>
      <c r="Q203" s="913"/>
      <c r="R203" s="913"/>
      <c r="S203" s="913"/>
      <c r="T203" s="913"/>
      <c r="U203" s="913"/>
      <c r="V203" s="913"/>
      <c r="W203" s="913"/>
      <c r="X203" s="913"/>
      <c r="Y203" s="913"/>
      <c r="Z203" s="913"/>
      <c r="AA203" s="913"/>
      <c r="AB203" s="913"/>
      <c r="AC203" s="913"/>
      <c r="AD203" s="913"/>
    </row>
    <row r="204" spans="5:30">
      <c r="E204" s="913"/>
      <c r="F204" s="913"/>
      <c r="G204" s="913"/>
      <c r="H204" s="913"/>
      <c r="I204" s="913"/>
      <c r="J204" s="913"/>
      <c r="K204" s="913"/>
      <c r="L204" s="913"/>
      <c r="M204" s="913"/>
      <c r="N204" s="913"/>
      <c r="O204" s="913"/>
      <c r="P204" s="913"/>
      <c r="Q204" s="913"/>
      <c r="R204" s="913"/>
      <c r="S204" s="913"/>
      <c r="T204" s="913"/>
      <c r="U204" s="913"/>
      <c r="V204" s="913"/>
      <c r="W204" s="913"/>
      <c r="X204" s="913"/>
      <c r="Y204" s="913"/>
      <c r="Z204" s="913"/>
      <c r="AA204" s="913"/>
      <c r="AB204" s="913"/>
      <c r="AC204" s="913"/>
      <c r="AD204" s="913"/>
    </row>
    <row r="205" spans="5:30">
      <c r="E205" s="913"/>
      <c r="F205" s="913"/>
      <c r="G205" s="913"/>
      <c r="H205" s="913"/>
      <c r="I205" s="913"/>
      <c r="J205" s="913"/>
      <c r="K205" s="913"/>
      <c r="L205" s="913"/>
      <c r="M205" s="913"/>
      <c r="N205" s="913"/>
      <c r="O205" s="913"/>
      <c r="P205" s="913"/>
      <c r="Q205" s="913"/>
      <c r="R205" s="913"/>
      <c r="S205" s="913"/>
      <c r="T205" s="913"/>
      <c r="U205" s="913"/>
      <c r="V205" s="913"/>
      <c r="W205" s="913"/>
      <c r="X205" s="913"/>
      <c r="Y205" s="913"/>
      <c r="Z205" s="913"/>
      <c r="AA205" s="913"/>
      <c r="AB205" s="913"/>
      <c r="AC205" s="913"/>
      <c r="AD205" s="913"/>
    </row>
    <row r="206" spans="5:30">
      <c r="E206" s="913"/>
      <c r="F206" s="913"/>
      <c r="G206" s="913"/>
      <c r="H206" s="913"/>
      <c r="I206" s="913"/>
      <c r="J206" s="913"/>
      <c r="K206" s="913"/>
      <c r="L206" s="913"/>
      <c r="M206" s="913"/>
      <c r="N206" s="913"/>
      <c r="O206" s="913"/>
      <c r="P206" s="913"/>
      <c r="Q206" s="913"/>
      <c r="R206" s="913"/>
      <c r="S206" s="913"/>
      <c r="T206" s="913"/>
      <c r="U206" s="913"/>
      <c r="V206" s="913"/>
      <c r="W206" s="913"/>
      <c r="X206" s="913"/>
      <c r="Y206" s="913"/>
      <c r="Z206" s="913"/>
      <c r="AA206" s="913"/>
      <c r="AB206" s="913"/>
      <c r="AC206" s="913"/>
      <c r="AD206" s="913"/>
    </row>
    <row r="207" spans="5:30">
      <c r="E207" s="913"/>
      <c r="F207" s="913"/>
      <c r="G207" s="913"/>
      <c r="H207" s="913"/>
      <c r="I207" s="913"/>
      <c r="J207" s="913"/>
      <c r="K207" s="913"/>
      <c r="L207" s="913"/>
      <c r="M207" s="913"/>
      <c r="N207" s="913"/>
      <c r="O207" s="913"/>
      <c r="P207" s="913"/>
      <c r="Q207" s="913"/>
      <c r="R207" s="913"/>
      <c r="S207" s="913"/>
      <c r="T207" s="913"/>
      <c r="U207" s="913"/>
      <c r="V207" s="913"/>
      <c r="W207" s="913"/>
      <c r="X207" s="913"/>
      <c r="Y207" s="913"/>
      <c r="Z207" s="913"/>
      <c r="AA207" s="913"/>
      <c r="AB207" s="913"/>
      <c r="AC207" s="913"/>
      <c r="AD207" s="913"/>
    </row>
    <row r="208" spans="5:30">
      <c r="E208" s="913"/>
      <c r="F208" s="913"/>
      <c r="G208" s="913"/>
      <c r="H208" s="913"/>
      <c r="I208" s="913"/>
      <c r="J208" s="913"/>
      <c r="K208" s="913"/>
      <c r="L208" s="913"/>
      <c r="M208" s="913"/>
      <c r="N208" s="913"/>
      <c r="O208" s="913"/>
      <c r="P208" s="913"/>
      <c r="Q208" s="913"/>
      <c r="R208" s="913"/>
      <c r="S208" s="913"/>
      <c r="T208" s="913"/>
      <c r="U208" s="913"/>
      <c r="V208" s="913"/>
      <c r="W208" s="913"/>
      <c r="X208" s="913"/>
      <c r="Y208" s="913"/>
      <c r="Z208" s="913"/>
      <c r="AA208" s="913"/>
      <c r="AB208" s="913"/>
      <c r="AC208" s="913"/>
      <c r="AD208" s="913"/>
    </row>
    <row r="209" spans="5:30">
      <c r="E209" s="913"/>
      <c r="F209" s="913"/>
      <c r="G209" s="913"/>
      <c r="H209" s="913"/>
      <c r="I209" s="913"/>
      <c r="J209" s="913"/>
      <c r="K209" s="913"/>
      <c r="L209" s="913"/>
      <c r="M209" s="913"/>
      <c r="N209" s="913"/>
      <c r="O209" s="913"/>
      <c r="P209" s="913"/>
      <c r="Q209" s="913"/>
      <c r="R209" s="913"/>
      <c r="S209" s="913"/>
      <c r="T209" s="913"/>
      <c r="U209" s="913"/>
      <c r="V209" s="913"/>
      <c r="W209" s="913"/>
      <c r="X209" s="913"/>
      <c r="Y209" s="913"/>
      <c r="Z209" s="913"/>
      <c r="AA209" s="913"/>
      <c r="AB209" s="913"/>
      <c r="AC209" s="913"/>
      <c r="AD209" s="913"/>
    </row>
    <row r="210" spans="5:30">
      <c r="E210" s="913"/>
      <c r="F210" s="913"/>
      <c r="G210" s="913"/>
      <c r="H210" s="913"/>
      <c r="I210" s="913"/>
      <c r="J210" s="913"/>
      <c r="K210" s="913"/>
      <c r="L210" s="913"/>
      <c r="M210" s="913"/>
      <c r="N210" s="913"/>
      <c r="O210" s="913"/>
      <c r="P210" s="913"/>
      <c r="Q210" s="913"/>
      <c r="R210" s="913"/>
      <c r="S210" s="913"/>
      <c r="T210" s="913"/>
      <c r="U210" s="913"/>
      <c r="V210" s="913"/>
      <c r="W210" s="913"/>
      <c r="X210" s="913"/>
      <c r="Y210" s="913"/>
      <c r="Z210" s="913"/>
      <c r="AA210" s="913"/>
      <c r="AB210" s="913"/>
      <c r="AC210" s="913"/>
      <c r="AD210" s="913"/>
    </row>
    <row r="211" spans="5:30">
      <c r="E211" s="913"/>
      <c r="F211" s="913"/>
      <c r="G211" s="913"/>
      <c r="H211" s="913"/>
      <c r="I211" s="913"/>
      <c r="J211" s="913"/>
      <c r="K211" s="913"/>
      <c r="L211" s="913"/>
      <c r="M211" s="913"/>
      <c r="N211" s="913"/>
      <c r="O211" s="913"/>
      <c r="P211" s="913"/>
      <c r="Q211" s="913"/>
      <c r="R211" s="913"/>
      <c r="S211" s="913"/>
      <c r="T211" s="913"/>
      <c r="U211" s="913"/>
      <c r="V211" s="913"/>
      <c r="W211" s="913"/>
      <c r="X211" s="913"/>
      <c r="Y211" s="913"/>
      <c r="Z211" s="913"/>
      <c r="AA211" s="913"/>
      <c r="AB211" s="913"/>
      <c r="AC211" s="913"/>
      <c r="AD211" s="913"/>
    </row>
    <row r="212" spans="5:30">
      <c r="E212" s="913"/>
      <c r="F212" s="913"/>
      <c r="G212" s="913"/>
      <c r="H212" s="913"/>
      <c r="I212" s="913"/>
      <c r="J212" s="913"/>
      <c r="K212" s="913"/>
      <c r="L212" s="913"/>
      <c r="M212" s="913"/>
      <c r="N212" s="913"/>
      <c r="O212" s="913"/>
      <c r="P212" s="913"/>
      <c r="Q212" s="913"/>
      <c r="R212" s="913"/>
      <c r="S212" s="913"/>
      <c r="T212" s="913"/>
      <c r="U212" s="913"/>
      <c r="V212" s="913"/>
      <c r="W212" s="913"/>
      <c r="X212" s="913"/>
      <c r="Y212" s="913"/>
      <c r="Z212" s="913"/>
      <c r="AA212" s="913"/>
      <c r="AB212" s="913"/>
      <c r="AC212" s="913"/>
      <c r="AD212" s="913"/>
    </row>
    <row r="213" spans="5:30">
      <c r="E213" s="913"/>
      <c r="F213" s="913"/>
      <c r="G213" s="913"/>
      <c r="H213" s="913"/>
      <c r="I213" s="913"/>
      <c r="J213" s="913"/>
      <c r="K213" s="913"/>
      <c r="L213" s="913"/>
      <c r="M213" s="913"/>
      <c r="N213" s="913"/>
      <c r="O213" s="913"/>
      <c r="P213" s="913"/>
      <c r="Q213" s="913"/>
      <c r="R213" s="913"/>
      <c r="S213" s="913"/>
      <c r="T213" s="913"/>
      <c r="U213" s="913"/>
      <c r="V213" s="913"/>
      <c r="W213" s="913"/>
      <c r="X213" s="913"/>
      <c r="Y213" s="913"/>
      <c r="Z213" s="913"/>
      <c r="AA213" s="913"/>
      <c r="AB213" s="913"/>
      <c r="AC213" s="913"/>
      <c r="AD213" s="913"/>
    </row>
    <row r="214" spans="5:30">
      <c r="E214" s="913"/>
      <c r="F214" s="913"/>
      <c r="G214" s="913"/>
      <c r="H214" s="913"/>
      <c r="I214" s="913"/>
      <c r="J214" s="913"/>
      <c r="K214" s="913"/>
      <c r="L214" s="913"/>
      <c r="M214" s="913"/>
      <c r="N214" s="913"/>
      <c r="O214" s="913"/>
      <c r="P214" s="913"/>
      <c r="Q214" s="913"/>
      <c r="R214" s="913"/>
      <c r="S214" s="913"/>
      <c r="T214" s="913"/>
      <c r="U214" s="913"/>
      <c r="V214" s="913"/>
      <c r="W214" s="913"/>
      <c r="X214" s="913"/>
      <c r="Y214" s="913"/>
      <c r="Z214" s="913"/>
      <c r="AA214" s="913"/>
      <c r="AB214" s="913"/>
      <c r="AC214" s="913"/>
      <c r="AD214" s="913"/>
    </row>
    <row r="215" spans="5:30">
      <c r="E215" s="913"/>
      <c r="F215" s="913"/>
      <c r="G215" s="913"/>
      <c r="H215" s="913"/>
      <c r="I215" s="913"/>
      <c r="J215" s="913"/>
      <c r="K215" s="913"/>
      <c r="L215" s="913"/>
      <c r="M215" s="913"/>
      <c r="N215" s="913"/>
      <c r="O215" s="913"/>
      <c r="P215" s="913"/>
      <c r="Q215" s="913"/>
      <c r="R215" s="913"/>
      <c r="S215" s="913"/>
      <c r="T215" s="913"/>
      <c r="U215" s="913"/>
      <c r="V215" s="913"/>
      <c r="W215" s="913"/>
      <c r="X215" s="913"/>
      <c r="Y215" s="913"/>
      <c r="Z215" s="913"/>
      <c r="AA215" s="913"/>
      <c r="AB215" s="913"/>
      <c r="AC215" s="913"/>
      <c r="AD215" s="913"/>
    </row>
    <row r="216" spans="5:30">
      <c r="E216" s="913"/>
      <c r="F216" s="913"/>
      <c r="G216" s="913"/>
      <c r="H216" s="913"/>
      <c r="I216" s="913"/>
      <c r="J216" s="913"/>
      <c r="K216" s="913"/>
      <c r="L216" s="913"/>
      <c r="M216" s="913"/>
      <c r="N216" s="913"/>
      <c r="O216" s="913"/>
      <c r="P216" s="913"/>
      <c r="Q216" s="913"/>
      <c r="R216" s="913"/>
      <c r="S216" s="913"/>
      <c r="T216" s="913"/>
      <c r="U216" s="913"/>
      <c r="V216" s="913"/>
      <c r="W216" s="913"/>
      <c r="X216" s="913"/>
      <c r="Y216" s="913"/>
      <c r="Z216" s="913"/>
      <c r="AA216" s="913"/>
      <c r="AB216" s="913"/>
      <c r="AC216" s="913"/>
      <c r="AD216" s="913"/>
    </row>
    <row r="217" spans="5:30">
      <c r="E217" s="913"/>
      <c r="F217" s="913"/>
      <c r="G217" s="913"/>
      <c r="H217" s="913"/>
      <c r="I217" s="913"/>
      <c r="J217" s="913"/>
      <c r="K217" s="913"/>
      <c r="L217" s="913"/>
      <c r="M217" s="913"/>
      <c r="N217" s="913"/>
      <c r="O217" s="913"/>
      <c r="P217" s="913"/>
      <c r="Q217" s="913"/>
      <c r="R217" s="913"/>
      <c r="S217" s="913"/>
      <c r="T217" s="913"/>
      <c r="U217" s="913"/>
      <c r="V217" s="913"/>
      <c r="W217" s="913"/>
      <c r="X217" s="913"/>
      <c r="Y217" s="913"/>
      <c r="Z217" s="913"/>
      <c r="AA217" s="913"/>
      <c r="AB217" s="913"/>
      <c r="AC217" s="913"/>
      <c r="AD217" s="913"/>
    </row>
    <row r="218" spans="5:30">
      <c r="E218" s="913"/>
      <c r="F218" s="913"/>
      <c r="G218" s="913"/>
      <c r="H218" s="913"/>
      <c r="I218" s="913"/>
      <c r="J218" s="913"/>
      <c r="K218" s="913"/>
      <c r="L218" s="913"/>
      <c r="M218" s="913"/>
      <c r="N218" s="913"/>
      <c r="O218" s="913"/>
      <c r="P218" s="913"/>
      <c r="Q218" s="913"/>
      <c r="R218" s="913"/>
      <c r="S218" s="913"/>
      <c r="T218" s="913"/>
      <c r="U218" s="913"/>
      <c r="V218" s="913"/>
      <c r="W218" s="913"/>
      <c r="X218" s="913"/>
      <c r="Y218" s="913"/>
      <c r="Z218" s="913"/>
      <c r="AA218" s="913"/>
      <c r="AB218" s="913"/>
      <c r="AC218" s="913"/>
      <c r="AD218" s="913"/>
    </row>
    <row r="219" spans="5:30">
      <c r="E219" s="913"/>
      <c r="F219" s="913"/>
      <c r="G219" s="913"/>
      <c r="H219" s="913"/>
      <c r="I219" s="913"/>
      <c r="J219" s="913"/>
      <c r="K219" s="913"/>
      <c r="L219" s="913"/>
      <c r="M219" s="913"/>
      <c r="N219" s="913"/>
      <c r="O219" s="913"/>
      <c r="P219" s="913"/>
      <c r="Q219" s="913"/>
      <c r="R219" s="913"/>
      <c r="S219" s="913"/>
      <c r="T219" s="913"/>
      <c r="U219" s="913"/>
      <c r="V219" s="913"/>
      <c r="W219" s="913"/>
      <c r="X219" s="913"/>
      <c r="Y219" s="913"/>
      <c r="Z219" s="913"/>
      <c r="AA219" s="913"/>
      <c r="AB219" s="913"/>
      <c r="AC219" s="913"/>
      <c r="AD219" s="913"/>
    </row>
    <row r="220" spans="5:30">
      <c r="E220" s="913"/>
      <c r="F220" s="913"/>
      <c r="G220" s="913"/>
      <c r="H220" s="913"/>
      <c r="I220" s="913"/>
      <c r="J220" s="913"/>
      <c r="K220" s="913"/>
      <c r="L220" s="913"/>
      <c r="M220" s="913"/>
      <c r="N220" s="913"/>
      <c r="O220" s="913"/>
      <c r="P220" s="913"/>
      <c r="Q220" s="913"/>
      <c r="R220" s="913"/>
      <c r="S220" s="913"/>
      <c r="T220" s="913"/>
      <c r="U220" s="913"/>
      <c r="V220" s="913"/>
      <c r="W220" s="913"/>
      <c r="X220" s="913"/>
      <c r="Y220" s="913"/>
      <c r="Z220" s="913"/>
      <c r="AA220" s="913"/>
      <c r="AB220" s="913"/>
      <c r="AC220" s="913"/>
      <c r="AD220" s="913"/>
    </row>
    <row r="221" spans="5:30">
      <c r="E221" s="913"/>
      <c r="F221" s="913"/>
      <c r="G221" s="913"/>
      <c r="H221" s="913"/>
      <c r="I221" s="913"/>
      <c r="J221" s="913"/>
      <c r="K221" s="913"/>
      <c r="L221" s="913"/>
      <c r="M221" s="913"/>
      <c r="N221" s="913"/>
      <c r="O221" s="913"/>
      <c r="P221" s="913"/>
      <c r="Q221" s="913"/>
      <c r="R221" s="913"/>
      <c r="S221" s="913"/>
      <c r="T221" s="913"/>
      <c r="U221" s="913"/>
      <c r="V221" s="913"/>
      <c r="W221" s="913"/>
      <c r="X221" s="913"/>
      <c r="Y221" s="913"/>
      <c r="Z221" s="913"/>
      <c r="AA221" s="913"/>
      <c r="AB221" s="913"/>
      <c r="AC221" s="913"/>
      <c r="AD221" s="913"/>
    </row>
    <row r="222" spans="5:30">
      <c r="E222" s="913"/>
      <c r="F222" s="913"/>
      <c r="G222" s="913"/>
      <c r="H222" s="913"/>
      <c r="I222" s="913"/>
      <c r="J222" s="913"/>
      <c r="K222" s="913"/>
      <c r="L222" s="913"/>
      <c r="M222" s="913"/>
      <c r="N222" s="913"/>
      <c r="O222" s="913"/>
      <c r="P222" s="913"/>
      <c r="Q222" s="913"/>
      <c r="R222" s="913"/>
      <c r="S222" s="913"/>
      <c r="T222" s="913"/>
      <c r="U222" s="913"/>
      <c r="V222" s="913"/>
      <c r="W222" s="913"/>
      <c r="X222" s="913"/>
      <c r="Y222" s="913"/>
      <c r="Z222" s="913"/>
      <c r="AA222" s="913"/>
      <c r="AB222" s="913"/>
      <c r="AC222" s="913"/>
      <c r="AD222" s="913"/>
    </row>
    <row r="223" spans="5:30">
      <c r="E223" s="913"/>
      <c r="F223" s="913"/>
      <c r="G223" s="913"/>
      <c r="H223" s="913"/>
      <c r="I223" s="913"/>
      <c r="J223" s="913"/>
      <c r="K223" s="913"/>
      <c r="L223" s="913"/>
      <c r="M223" s="913"/>
      <c r="N223" s="913"/>
      <c r="O223" s="913"/>
      <c r="P223" s="913"/>
      <c r="Q223" s="913"/>
      <c r="R223" s="913"/>
      <c r="S223" s="913"/>
      <c r="T223" s="913"/>
      <c r="U223" s="913"/>
      <c r="V223" s="913"/>
      <c r="W223" s="913"/>
      <c r="X223" s="913"/>
      <c r="Y223" s="913"/>
      <c r="Z223" s="913"/>
      <c r="AA223" s="913"/>
      <c r="AB223" s="913"/>
      <c r="AC223" s="913"/>
      <c r="AD223" s="913"/>
    </row>
    <row r="224" spans="5:30">
      <c r="E224" s="913"/>
      <c r="F224" s="913"/>
      <c r="G224" s="913"/>
      <c r="H224" s="913"/>
      <c r="I224" s="913"/>
      <c r="J224" s="913"/>
      <c r="K224" s="913"/>
      <c r="L224" s="913"/>
      <c r="M224" s="913"/>
      <c r="N224" s="913"/>
      <c r="O224" s="913"/>
      <c r="P224" s="913"/>
      <c r="Q224" s="913"/>
      <c r="R224" s="913"/>
      <c r="S224" s="913"/>
      <c r="T224" s="913"/>
      <c r="U224" s="913"/>
      <c r="V224" s="913"/>
      <c r="W224" s="913"/>
      <c r="X224" s="913"/>
      <c r="Y224" s="913"/>
      <c r="Z224" s="913"/>
      <c r="AA224" s="913"/>
      <c r="AB224" s="913"/>
      <c r="AC224" s="913"/>
      <c r="AD224" s="913"/>
    </row>
    <row r="225" spans="5:30">
      <c r="E225" s="913"/>
      <c r="F225" s="913"/>
      <c r="G225" s="913"/>
      <c r="H225" s="913"/>
      <c r="I225" s="913"/>
      <c r="J225" s="913"/>
      <c r="K225" s="913"/>
      <c r="L225" s="913"/>
      <c r="M225" s="913"/>
      <c r="N225" s="913"/>
      <c r="O225" s="913"/>
      <c r="P225" s="913"/>
      <c r="Q225" s="913"/>
      <c r="R225" s="913"/>
      <c r="S225" s="913"/>
      <c r="T225" s="913"/>
      <c r="U225" s="913"/>
      <c r="V225" s="913"/>
      <c r="W225" s="913"/>
      <c r="X225" s="913"/>
      <c r="Y225" s="913"/>
      <c r="Z225" s="913"/>
      <c r="AA225" s="913"/>
      <c r="AB225" s="913"/>
      <c r="AC225" s="913"/>
      <c r="AD225" s="913"/>
    </row>
    <row r="226" spans="5:30">
      <c r="E226" s="913"/>
      <c r="F226" s="913"/>
      <c r="G226" s="913"/>
      <c r="H226" s="913"/>
      <c r="I226" s="913"/>
      <c r="J226" s="913"/>
      <c r="K226" s="913"/>
      <c r="L226" s="913"/>
      <c r="M226" s="913"/>
      <c r="N226" s="913"/>
      <c r="O226" s="913"/>
      <c r="P226" s="913"/>
      <c r="Q226" s="913"/>
      <c r="R226" s="913"/>
      <c r="S226" s="913"/>
      <c r="T226" s="913"/>
      <c r="U226" s="913"/>
      <c r="V226" s="913"/>
      <c r="W226" s="913"/>
      <c r="X226" s="913"/>
      <c r="Y226" s="913"/>
      <c r="Z226" s="913"/>
      <c r="AA226" s="913"/>
      <c r="AB226" s="913"/>
      <c r="AC226" s="913"/>
      <c r="AD226" s="913"/>
    </row>
    <row r="227" spans="5:30">
      <c r="E227" s="913"/>
      <c r="F227" s="913"/>
      <c r="G227" s="913"/>
      <c r="H227" s="913"/>
      <c r="I227" s="913"/>
      <c r="J227" s="913"/>
      <c r="K227" s="913"/>
      <c r="L227" s="913"/>
      <c r="M227" s="913"/>
      <c r="N227" s="913"/>
      <c r="O227" s="913"/>
      <c r="P227" s="913"/>
      <c r="Q227" s="913"/>
      <c r="R227" s="913"/>
      <c r="S227" s="913"/>
      <c r="T227" s="913"/>
      <c r="U227" s="913"/>
      <c r="V227" s="913"/>
      <c r="W227" s="913"/>
      <c r="X227" s="913"/>
      <c r="Y227" s="913"/>
      <c r="Z227" s="913"/>
      <c r="AA227" s="913"/>
      <c r="AB227" s="913"/>
      <c r="AC227" s="913"/>
      <c r="AD227" s="913"/>
    </row>
    <row r="228" spans="5:30">
      <c r="E228" s="913"/>
      <c r="F228" s="913"/>
      <c r="G228" s="913"/>
      <c r="H228" s="913"/>
      <c r="I228" s="913"/>
      <c r="J228" s="913"/>
      <c r="K228" s="913"/>
      <c r="L228" s="913"/>
      <c r="M228" s="913"/>
      <c r="N228" s="913"/>
      <c r="O228" s="913"/>
      <c r="P228" s="913"/>
      <c r="Q228" s="913"/>
      <c r="R228" s="913"/>
      <c r="S228" s="913"/>
      <c r="T228" s="913"/>
      <c r="U228" s="913"/>
      <c r="V228" s="913"/>
      <c r="W228" s="913"/>
      <c r="X228" s="913"/>
      <c r="Y228" s="913"/>
      <c r="Z228" s="913"/>
      <c r="AA228" s="913"/>
      <c r="AB228" s="913"/>
      <c r="AC228" s="913"/>
      <c r="AD228" s="913"/>
    </row>
    <row r="229" spans="5:30">
      <c r="E229" s="913"/>
      <c r="F229" s="913"/>
      <c r="G229" s="913"/>
      <c r="H229" s="913"/>
      <c r="I229" s="913"/>
      <c r="J229" s="913"/>
      <c r="K229" s="913"/>
      <c r="L229" s="913"/>
      <c r="M229" s="913"/>
      <c r="N229" s="913"/>
      <c r="O229" s="913"/>
      <c r="P229" s="913"/>
      <c r="Q229" s="913"/>
      <c r="R229" s="913"/>
      <c r="S229" s="913"/>
      <c r="T229" s="913"/>
      <c r="U229" s="913"/>
      <c r="V229" s="913"/>
      <c r="W229" s="913"/>
      <c r="X229" s="913"/>
      <c r="Y229" s="913"/>
      <c r="Z229" s="913"/>
      <c r="AA229" s="913"/>
      <c r="AB229" s="913"/>
      <c r="AC229" s="913"/>
      <c r="AD229" s="913"/>
    </row>
    <row r="230" spans="5:30">
      <c r="E230" s="913"/>
      <c r="F230" s="913"/>
      <c r="G230" s="913"/>
      <c r="H230" s="913"/>
      <c r="I230" s="913"/>
      <c r="J230" s="913"/>
      <c r="K230" s="913"/>
      <c r="L230" s="913"/>
      <c r="M230" s="913"/>
      <c r="N230" s="913"/>
      <c r="O230" s="913"/>
      <c r="P230" s="913"/>
      <c r="Q230" s="913"/>
      <c r="R230" s="913"/>
      <c r="S230" s="913"/>
      <c r="T230" s="913"/>
      <c r="U230" s="913"/>
      <c r="V230" s="913"/>
      <c r="W230" s="913"/>
      <c r="X230" s="913"/>
      <c r="Y230" s="913"/>
      <c r="Z230" s="913"/>
      <c r="AA230" s="913"/>
      <c r="AB230" s="913"/>
      <c r="AC230" s="913"/>
      <c r="AD230" s="913"/>
    </row>
    <row r="231" spans="5:30">
      <c r="E231" s="913"/>
      <c r="F231" s="913"/>
      <c r="G231" s="913"/>
      <c r="H231" s="913"/>
      <c r="I231" s="913"/>
      <c r="J231" s="913"/>
      <c r="K231" s="913"/>
      <c r="L231" s="913"/>
      <c r="M231" s="913"/>
      <c r="N231" s="913"/>
      <c r="O231" s="913"/>
      <c r="P231" s="913"/>
      <c r="Q231" s="913"/>
      <c r="R231" s="913"/>
      <c r="S231" s="913"/>
      <c r="T231" s="913"/>
      <c r="U231" s="913"/>
      <c r="V231" s="913"/>
      <c r="W231" s="913"/>
      <c r="X231" s="913"/>
      <c r="Y231" s="913"/>
      <c r="Z231" s="913"/>
      <c r="AA231" s="913"/>
      <c r="AB231" s="913"/>
      <c r="AC231" s="913"/>
      <c r="AD231" s="913"/>
    </row>
    <row r="232" spans="5:30">
      <c r="E232" s="913"/>
      <c r="F232" s="913"/>
      <c r="G232" s="913"/>
      <c r="H232" s="913"/>
      <c r="I232" s="913"/>
      <c r="J232" s="913"/>
      <c r="K232" s="913"/>
      <c r="L232" s="913"/>
      <c r="M232" s="913"/>
      <c r="N232" s="913"/>
      <c r="O232" s="913"/>
      <c r="P232" s="913"/>
      <c r="Q232" s="913"/>
      <c r="R232" s="913"/>
      <c r="S232" s="913"/>
      <c r="T232" s="913"/>
      <c r="U232" s="913"/>
      <c r="V232" s="913"/>
      <c r="W232" s="913"/>
      <c r="X232" s="913"/>
      <c r="Y232" s="913"/>
      <c r="Z232" s="913"/>
      <c r="AA232" s="913"/>
      <c r="AB232" s="913"/>
      <c r="AC232" s="913"/>
      <c r="AD232" s="913"/>
    </row>
    <row r="233" spans="5:30">
      <c r="E233" s="913"/>
      <c r="F233" s="913"/>
      <c r="G233" s="913"/>
      <c r="H233" s="913"/>
      <c r="I233" s="913"/>
      <c r="J233" s="913"/>
      <c r="K233" s="913"/>
      <c r="L233" s="913"/>
      <c r="M233" s="913"/>
      <c r="N233" s="913"/>
      <c r="O233" s="913"/>
      <c r="P233" s="913"/>
      <c r="Q233" s="913"/>
      <c r="R233" s="913"/>
      <c r="S233" s="913"/>
      <c r="T233" s="913"/>
      <c r="U233" s="913"/>
      <c r="V233" s="913"/>
      <c r="W233" s="913"/>
      <c r="X233" s="913"/>
      <c r="Y233" s="913"/>
      <c r="Z233" s="913"/>
      <c r="AA233" s="913"/>
      <c r="AB233" s="913"/>
      <c r="AC233" s="913"/>
      <c r="AD233" s="913"/>
    </row>
    <row r="234" spans="5:30">
      <c r="E234" s="913"/>
      <c r="F234" s="913"/>
      <c r="G234" s="913"/>
      <c r="H234" s="913"/>
      <c r="I234" s="913"/>
      <c r="J234" s="913"/>
      <c r="K234" s="913"/>
      <c r="L234" s="913"/>
      <c r="M234" s="913"/>
      <c r="N234" s="913"/>
      <c r="O234" s="913"/>
      <c r="P234" s="913"/>
      <c r="Q234" s="913"/>
      <c r="R234" s="913"/>
      <c r="S234" s="913"/>
      <c r="T234" s="913"/>
      <c r="U234" s="913"/>
      <c r="V234" s="913"/>
      <c r="W234" s="913"/>
      <c r="X234" s="913"/>
      <c r="Y234" s="913"/>
      <c r="Z234" s="913"/>
      <c r="AA234" s="913"/>
      <c r="AB234" s="913"/>
      <c r="AC234" s="913"/>
      <c r="AD234" s="913"/>
    </row>
    <row r="235" spans="5:30">
      <c r="E235" s="913"/>
      <c r="F235" s="913"/>
      <c r="G235" s="913"/>
      <c r="H235" s="913"/>
      <c r="I235" s="913"/>
      <c r="J235" s="913"/>
      <c r="K235" s="913"/>
      <c r="L235" s="913"/>
      <c r="M235" s="913"/>
      <c r="N235" s="913"/>
      <c r="O235" s="913"/>
      <c r="P235" s="913"/>
      <c r="Q235" s="913"/>
      <c r="R235" s="913"/>
      <c r="S235" s="913"/>
      <c r="T235" s="913"/>
      <c r="U235" s="913"/>
      <c r="V235" s="913"/>
      <c r="W235" s="913"/>
      <c r="X235" s="913"/>
      <c r="Y235" s="913"/>
      <c r="Z235" s="913"/>
      <c r="AA235" s="913"/>
      <c r="AB235" s="913"/>
      <c r="AC235" s="913"/>
      <c r="AD235" s="913"/>
    </row>
    <row r="236" spans="5:30">
      <c r="E236" s="913"/>
      <c r="F236" s="913"/>
      <c r="G236" s="913"/>
      <c r="H236" s="913"/>
      <c r="I236" s="913"/>
      <c r="J236" s="913"/>
      <c r="K236" s="913"/>
      <c r="L236" s="913"/>
      <c r="M236" s="913"/>
      <c r="N236" s="913"/>
      <c r="O236" s="913"/>
      <c r="P236" s="913"/>
      <c r="Q236" s="913"/>
      <c r="R236" s="913"/>
      <c r="S236" s="913"/>
      <c r="T236" s="913"/>
      <c r="U236" s="913"/>
      <c r="V236" s="913"/>
      <c r="W236" s="913"/>
      <c r="X236" s="913"/>
      <c r="Y236" s="913"/>
      <c r="Z236" s="913"/>
      <c r="AA236" s="913"/>
      <c r="AB236" s="913"/>
      <c r="AC236" s="913"/>
      <c r="AD236" s="913"/>
    </row>
    <row r="237" spans="5:30">
      <c r="E237" s="913"/>
      <c r="F237" s="913"/>
      <c r="G237" s="913"/>
      <c r="H237" s="913"/>
      <c r="I237" s="913"/>
      <c r="J237" s="913"/>
      <c r="K237" s="913"/>
      <c r="L237" s="913"/>
      <c r="M237" s="913"/>
      <c r="N237" s="913"/>
      <c r="O237" s="913"/>
      <c r="P237" s="913"/>
      <c r="Q237" s="913"/>
      <c r="R237" s="913"/>
      <c r="S237" s="913"/>
      <c r="T237" s="913"/>
      <c r="U237" s="913"/>
      <c r="V237" s="913"/>
      <c r="W237" s="913"/>
      <c r="X237" s="913"/>
      <c r="Y237" s="913"/>
      <c r="Z237" s="913"/>
      <c r="AA237" s="913"/>
      <c r="AB237" s="913"/>
      <c r="AC237" s="913"/>
      <c r="AD237" s="913"/>
    </row>
    <row r="238" spans="5:30">
      <c r="E238" s="913"/>
      <c r="F238" s="913"/>
      <c r="G238" s="913"/>
      <c r="H238" s="913"/>
      <c r="I238" s="913"/>
      <c r="J238" s="913"/>
      <c r="K238" s="913"/>
      <c r="L238" s="913"/>
      <c r="M238" s="913"/>
      <c r="N238" s="913"/>
      <c r="O238" s="913"/>
      <c r="P238" s="913"/>
      <c r="Q238" s="913"/>
      <c r="R238" s="913"/>
      <c r="S238" s="913"/>
      <c r="T238" s="913"/>
      <c r="U238" s="913"/>
      <c r="V238" s="913"/>
      <c r="W238" s="913"/>
      <c r="X238" s="913"/>
      <c r="Y238" s="913"/>
      <c r="Z238" s="913"/>
      <c r="AA238" s="913"/>
      <c r="AB238" s="913"/>
      <c r="AC238" s="913"/>
      <c r="AD238" s="913"/>
    </row>
    <row r="239" spans="5:30">
      <c r="E239" s="913"/>
      <c r="F239" s="913"/>
      <c r="G239" s="913"/>
      <c r="H239" s="913"/>
      <c r="I239" s="913"/>
      <c r="J239" s="913"/>
      <c r="K239" s="913"/>
      <c r="L239" s="913"/>
      <c r="M239" s="913"/>
      <c r="N239" s="913"/>
      <c r="O239" s="913"/>
      <c r="P239" s="913"/>
      <c r="Q239" s="913"/>
      <c r="R239" s="913"/>
      <c r="S239" s="913"/>
      <c r="T239" s="913"/>
      <c r="U239" s="913"/>
      <c r="V239" s="913"/>
      <c r="W239" s="913"/>
      <c r="X239" s="913"/>
      <c r="Y239" s="913"/>
      <c r="Z239" s="913"/>
      <c r="AA239" s="913"/>
      <c r="AB239" s="913"/>
      <c r="AC239" s="913"/>
      <c r="AD239" s="913"/>
    </row>
    <row r="240" spans="5:30">
      <c r="E240" s="913"/>
      <c r="F240" s="913"/>
      <c r="G240" s="913"/>
      <c r="H240" s="913"/>
      <c r="I240" s="913"/>
      <c r="J240" s="913"/>
      <c r="K240" s="913"/>
      <c r="L240" s="913"/>
      <c r="M240" s="913"/>
      <c r="N240" s="913"/>
      <c r="O240" s="913"/>
      <c r="P240" s="913"/>
      <c r="Q240" s="913"/>
      <c r="R240" s="913"/>
      <c r="S240" s="913"/>
      <c r="T240" s="913"/>
      <c r="U240" s="913"/>
      <c r="V240" s="913"/>
      <c r="W240" s="913"/>
      <c r="X240" s="913"/>
      <c r="Y240" s="913"/>
      <c r="Z240" s="913"/>
      <c r="AA240" s="913"/>
      <c r="AB240" s="913"/>
      <c r="AC240" s="913"/>
      <c r="AD240" s="913"/>
    </row>
    <row r="241" spans="5:30">
      <c r="E241" s="913"/>
      <c r="F241" s="913"/>
      <c r="G241" s="913"/>
      <c r="H241" s="913"/>
      <c r="I241" s="913"/>
      <c r="J241" s="913"/>
      <c r="K241" s="913"/>
      <c r="L241" s="913"/>
      <c r="M241" s="913"/>
      <c r="N241" s="913"/>
      <c r="O241" s="913"/>
      <c r="P241" s="913"/>
      <c r="Q241" s="913"/>
      <c r="R241" s="913"/>
      <c r="S241" s="913"/>
      <c r="T241" s="913"/>
      <c r="U241" s="913"/>
      <c r="V241" s="913"/>
      <c r="W241" s="913"/>
      <c r="X241" s="913"/>
      <c r="Y241" s="913"/>
      <c r="Z241" s="913"/>
      <c r="AA241" s="913"/>
      <c r="AB241" s="913"/>
      <c r="AC241" s="913"/>
      <c r="AD241" s="913"/>
    </row>
    <row r="242" spans="5:30">
      <c r="E242" s="913"/>
      <c r="F242" s="913"/>
      <c r="G242" s="913"/>
      <c r="H242" s="913"/>
      <c r="I242" s="913"/>
      <c r="J242" s="913"/>
      <c r="K242" s="913"/>
      <c r="L242" s="913"/>
      <c r="M242" s="913"/>
      <c r="N242" s="913"/>
      <c r="O242" s="913"/>
      <c r="P242" s="913"/>
      <c r="Q242" s="913"/>
      <c r="R242" s="913"/>
      <c r="S242" s="913"/>
      <c r="T242" s="913"/>
      <c r="U242" s="913"/>
      <c r="V242" s="913"/>
      <c r="W242" s="913"/>
      <c r="X242" s="913"/>
      <c r="Y242" s="913"/>
      <c r="Z242" s="913"/>
      <c r="AA242" s="913"/>
      <c r="AB242" s="913"/>
      <c r="AC242" s="913"/>
      <c r="AD242" s="913"/>
    </row>
    <row r="243" spans="5:30">
      <c r="E243" s="913"/>
      <c r="F243" s="913"/>
      <c r="G243" s="913"/>
      <c r="H243" s="913"/>
      <c r="I243" s="913"/>
      <c r="J243" s="913"/>
      <c r="K243" s="913"/>
      <c r="L243" s="913"/>
      <c r="M243" s="913"/>
      <c r="N243" s="913"/>
      <c r="O243" s="913"/>
      <c r="P243" s="913"/>
      <c r="Q243" s="913"/>
      <c r="R243" s="913"/>
      <c r="S243" s="913"/>
      <c r="T243" s="913"/>
      <c r="U243" s="913"/>
      <c r="V243" s="913"/>
      <c r="W243" s="913"/>
      <c r="X243" s="913"/>
      <c r="Y243" s="913"/>
      <c r="Z243" s="913"/>
      <c r="AA243" s="913"/>
      <c r="AB243" s="913"/>
      <c r="AC243" s="913"/>
      <c r="AD243" s="913"/>
    </row>
    <row r="244" spans="5:30">
      <c r="E244" s="913"/>
      <c r="F244" s="913"/>
      <c r="G244" s="913"/>
      <c r="H244" s="913"/>
      <c r="I244" s="913"/>
      <c r="J244" s="913"/>
      <c r="K244" s="913"/>
      <c r="L244" s="913"/>
      <c r="M244" s="913"/>
      <c r="N244" s="913"/>
      <c r="O244" s="913"/>
      <c r="P244" s="913"/>
      <c r="Q244" s="913"/>
      <c r="R244" s="913"/>
      <c r="S244" s="913"/>
      <c r="T244" s="913"/>
      <c r="U244" s="913"/>
      <c r="V244" s="913"/>
      <c r="W244" s="913"/>
      <c r="X244" s="913"/>
      <c r="Y244" s="913"/>
      <c r="Z244" s="913"/>
      <c r="AA244" s="913"/>
      <c r="AB244" s="913"/>
      <c r="AC244" s="913"/>
      <c r="AD244" s="913"/>
    </row>
    <row r="245" spans="5:30">
      <c r="E245" s="913"/>
      <c r="F245" s="913"/>
      <c r="G245" s="913"/>
      <c r="H245" s="913"/>
      <c r="I245" s="913"/>
      <c r="J245" s="913"/>
      <c r="K245" s="913"/>
      <c r="L245" s="913"/>
      <c r="M245" s="913"/>
      <c r="N245" s="913"/>
      <c r="O245" s="913"/>
      <c r="P245" s="913"/>
      <c r="Q245" s="913"/>
      <c r="R245" s="913"/>
      <c r="S245" s="913"/>
      <c r="T245" s="913"/>
      <c r="U245" s="913"/>
      <c r="V245" s="913"/>
      <c r="W245" s="913"/>
      <c r="X245" s="913"/>
      <c r="Y245" s="913"/>
      <c r="Z245" s="913"/>
      <c r="AA245" s="913"/>
      <c r="AB245" s="913"/>
      <c r="AC245" s="913"/>
      <c r="AD245" s="913"/>
    </row>
    <row r="246" spans="5:30">
      <c r="E246" s="913"/>
      <c r="F246" s="913"/>
      <c r="G246" s="913"/>
      <c r="H246" s="913"/>
      <c r="I246" s="913"/>
      <c r="J246" s="913"/>
      <c r="K246" s="913"/>
      <c r="L246" s="913"/>
      <c r="M246" s="913"/>
      <c r="N246" s="913"/>
      <c r="O246" s="913"/>
      <c r="P246" s="913"/>
      <c r="Q246" s="913"/>
      <c r="R246" s="913"/>
      <c r="S246" s="913"/>
      <c r="T246" s="913"/>
      <c r="U246" s="913"/>
      <c r="V246" s="913"/>
      <c r="W246" s="913"/>
      <c r="X246" s="913"/>
      <c r="Y246" s="913"/>
      <c r="Z246" s="913"/>
      <c r="AA246" s="913"/>
      <c r="AB246" s="913"/>
      <c r="AC246" s="913"/>
      <c r="AD246" s="913"/>
    </row>
    <row r="247" spans="5:30">
      <c r="E247" s="913"/>
      <c r="F247" s="913"/>
      <c r="G247" s="913"/>
      <c r="H247" s="913"/>
      <c r="I247" s="913"/>
      <c r="J247" s="913"/>
      <c r="K247" s="913"/>
      <c r="L247" s="913"/>
      <c r="M247" s="913"/>
      <c r="N247" s="913"/>
      <c r="O247" s="913"/>
      <c r="P247" s="913"/>
      <c r="Q247" s="913"/>
      <c r="R247" s="913"/>
      <c r="S247" s="913"/>
      <c r="T247" s="913"/>
      <c r="U247" s="913"/>
      <c r="V247" s="913"/>
      <c r="W247" s="913"/>
      <c r="X247" s="913"/>
      <c r="Y247" s="913"/>
      <c r="Z247" s="913"/>
      <c r="AA247" s="913"/>
      <c r="AB247" s="913"/>
      <c r="AC247" s="913"/>
      <c r="AD247" s="913"/>
    </row>
    <row r="248" spans="5:30">
      <c r="E248" s="913"/>
      <c r="F248" s="913"/>
      <c r="G248" s="913"/>
      <c r="H248" s="913"/>
      <c r="I248" s="913"/>
      <c r="J248" s="913"/>
      <c r="K248" s="913"/>
      <c r="L248" s="913"/>
      <c r="M248" s="913"/>
      <c r="N248" s="913"/>
      <c r="O248" s="913"/>
      <c r="P248" s="913"/>
      <c r="Q248" s="913"/>
      <c r="R248" s="913"/>
      <c r="S248" s="913"/>
      <c r="T248" s="913"/>
      <c r="U248" s="913"/>
      <c r="V248" s="913"/>
      <c r="W248" s="913"/>
      <c r="X248" s="913"/>
      <c r="Y248" s="913"/>
      <c r="Z248" s="913"/>
      <c r="AA248" s="913"/>
      <c r="AB248" s="913"/>
      <c r="AC248" s="913"/>
      <c r="AD248" s="913"/>
    </row>
    <row r="249" spans="5:30">
      <c r="E249" s="913"/>
      <c r="F249" s="913"/>
      <c r="G249" s="913"/>
      <c r="H249" s="913"/>
      <c r="I249" s="913"/>
      <c r="J249" s="913"/>
      <c r="K249" s="913"/>
      <c r="L249" s="913"/>
      <c r="M249" s="913"/>
      <c r="N249" s="913"/>
      <c r="O249" s="913"/>
      <c r="P249" s="913"/>
      <c r="Q249" s="913"/>
      <c r="R249" s="913"/>
      <c r="S249" s="913"/>
      <c r="T249" s="913"/>
      <c r="U249" s="913"/>
      <c r="V249" s="913"/>
      <c r="W249" s="913"/>
      <c r="X249" s="913"/>
      <c r="Y249" s="913"/>
      <c r="Z249" s="913"/>
      <c r="AA249" s="913"/>
      <c r="AB249" s="913"/>
      <c r="AC249" s="913"/>
      <c r="AD249" s="913"/>
    </row>
    <row r="250" spans="5:30">
      <c r="E250" s="913"/>
      <c r="F250" s="913"/>
      <c r="G250" s="913"/>
      <c r="H250" s="913"/>
      <c r="I250" s="913"/>
      <c r="J250" s="913"/>
      <c r="K250" s="913"/>
      <c r="L250" s="913"/>
      <c r="M250" s="913"/>
      <c r="N250" s="913"/>
      <c r="O250" s="913"/>
      <c r="P250" s="913"/>
      <c r="Q250" s="913"/>
      <c r="R250" s="913"/>
      <c r="S250" s="913"/>
      <c r="T250" s="913"/>
      <c r="U250" s="913"/>
      <c r="V250" s="913"/>
      <c r="W250" s="913"/>
      <c r="X250" s="913"/>
      <c r="Y250" s="913"/>
      <c r="Z250" s="913"/>
      <c r="AA250" s="913"/>
      <c r="AB250" s="913"/>
      <c r="AC250" s="913"/>
      <c r="AD250" s="913"/>
    </row>
    <row r="251" spans="5:30">
      <c r="E251" s="913"/>
      <c r="F251" s="913"/>
      <c r="G251" s="913"/>
      <c r="H251" s="913"/>
      <c r="I251" s="913"/>
      <c r="J251" s="913"/>
      <c r="K251" s="913"/>
      <c r="L251" s="913"/>
      <c r="M251" s="913"/>
      <c r="N251" s="913"/>
      <c r="O251" s="913"/>
      <c r="P251" s="913"/>
      <c r="Q251" s="913"/>
      <c r="R251" s="913"/>
      <c r="S251" s="913"/>
      <c r="T251" s="913"/>
      <c r="U251" s="913"/>
      <c r="V251" s="913"/>
      <c r="W251" s="913"/>
      <c r="X251" s="913"/>
      <c r="Y251" s="913"/>
      <c r="Z251" s="913"/>
      <c r="AA251" s="913"/>
      <c r="AB251" s="913"/>
      <c r="AC251" s="913"/>
      <c r="AD251" s="913"/>
    </row>
    <row r="252" spans="5:30">
      <c r="E252" s="913"/>
      <c r="F252" s="913"/>
      <c r="G252" s="913"/>
      <c r="H252" s="913"/>
      <c r="I252" s="913"/>
      <c r="J252" s="913"/>
      <c r="K252" s="913"/>
      <c r="L252" s="913"/>
      <c r="M252" s="913"/>
      <c r="N252" s="913"/>
      <c r="O252" s="913"/>
      <c r="P252" s="913"/>
      <c r="Q252" s="913"/>
      <c r="R252" s="913"/>
      <c r="S252" s="913"/>
      <c r="T252" s="913"/>
      <c r="U252" s="913"/>
      <c r="V252" s="913"/>
      <c r="W252" s="913"/>
      <c r="X252" s="913"/>
      <c r="Y252" s="913"/>
      <c r="Z252" s="913"/>
      <c r="AA252" s="913"/>
      <c r="AB252" s="913"/>
      <c r="AC252" s="913"/>
      <c r="AD252" s="913"/>
    </row>
    <row r="253" spans="5:30">
      <c r="E253" s="913"/>
      <c r="F253" s="913"/>
      <c r="G253" s="913"/>
      <c r="H253" s="913"/>
      <c r="I253" s="913"/>
      <c r="J253" s="913"/>
      <c r="K253" s="913"/>
      <c r="L253" s="913"/>
      <c r="M253" s="913"/>
      <c r="N253" s="913"/>
      <c r="O253" s="913"/>
      <c r="P253" s="913"/>
      <c r="Q253" s="913"/>
      <c r="R253" s="913"/>
      <c r="S253" s="913"/>
      <c r="T253" s="913"/>
      <c r="U253" s="913"/>
      <c r="V253" s="913"/>
      <c r="W253" s="913"/>
      <c r="X253" s="913"/>
      <c r="Y253" s="913"/>
      <c r="Z253" s="913"/>
      <c r="AA253" s="913"/>
      <c r="AB253" s="913"/>
      <c r="AC253" s="913"/>
      <c r="AD253" s="913"/>
    </row>
    <row r="254" spans="5:30">
      <c r="E254" s="913"/>
      <c r="F254" s="913"/>
      <c r="G254" s="913"/>
      <c r="H254" s="913"/>
      <c r="I254" s="913"/>
      <c r="J254" s="913"/>
      <c r="K254" s="913"/>
      <c r="L254" s="913"/>
      <c r="M254" s="913"/>
      <c r="N254" s="913"/>
      <c r="O254" s="913"/>
      <c r="P254" s="913"/>
      <c r="Q254" s="913"/>
      <c r="R254" s="913"/>
      <c r="S254" s="913"/>
      <c r="T254" s="913"/>
      <c r="U254" s="913"/>
      <c r="V254" s="913"/>
      <c r="W254" s="913"/>
      <c r="X254" s="913"/>
      <c r="Y254" s="913"/>
      <c r="Z254" s="913"/>
      <c r="AA254" s="913"/>
      <c r="AB254" s="913"/>
      <c r="AC254" s="913"/>
      <c r="AD254" s="913"/>
    </row>
    <row r="255" spans="5:30">
      <c r="E255" s="913"/>
      <c r="F255" s="913"/>
      <c r="G255" s="913"/>
      <c r="H255" s="913"/>
      <c r="I255" s="913"/>
      <c r="J255" s="913"/>
      <c r="K255" s="913"/>
      <c r="L255" s="913"/>
      <c r="M255" s="913"/>
      <c r="N255" s="913"/>
      <c r="O255" s="913"/>
      <c r="P255" s="913"/>
      <c r="Q255" s="913"/>
      <c r="R255" s="913"/>
      <c r="S255" s="913"/>
      <c r="T255" s="913"/>
      <c r="U255" s="913"/>
      <c r="V255" s="913"/>
      <c r="W255" s="913"/>
      <c r="X255" s="913"/>
      <c r="Y255" s="913"/>
      <c r="Z255" s="913"/>
      <c r="AA255" s="913"/>
      <c r="AB255" s="913"/>
      <c r="AC255" s="913"/>
      <c r="AD255" s="913"/>
    </row>
    <row r="256" spans="5:30">
      <c r="E256" s="913"/>
      <c r="F256" s="913"/>
      <c r="G256" s="913"/>
      <c r="H256" s="913"/>
      <c r="I256" s="913"/>
      <c r="J256" s="913"/>
      <c r="K256" s="913"/>
      <c r="L256" s="913"/>
      <c r="M256" s="913"/>
      <c r="N256" s="913"/>
      <c r="O256" s="913"/>
      <c r="P256" s="913"/>
      <c r="Q256" s="913"/>
      <c r="R256" s="913"/>
      <c r="S256" s="913"/>
      <c r="T256" s="913"/>
      <c r="U256" s="913"/>
      <c r="V256" s="913"/>
      <c r="W256" s="913"/>
      <c r="X256" s="913"/>
      <c r="Y256" s="913"/>
      <c r="Z256" s="913"/>
      <c r="AA256" s="913"/>
      <c r="AB256" s="913"/>
      <c r="AC256" s="913"/>
      <c r="AD256" s="913"/>
    </row>
    <row r="257" spans="5:30">
      <c r="E257" s="913"/>
      <c r="F257" s="913"/>
      <c r="G257" s="913"/>
      <c r="H257" s="913"/>
      <c r="I257" s="913"/>
      <c r="J257" s="913"/>
      <c r="K257" s="913"/>
      <c r="L257" s="913"/>
      <c r="M257" s="913"/>
      <c r="N257" s="913"/>
      <c r="O257" s="913"/>
      <c r="P257" s="913"/>
      <c r="Q257" s="913"/>
      <c r="R257" s="913"/>
      <c r="S257" s="913"/>
      <c r="T257" s="913"/>
      <c r="U257" s="913"/>
      <c r="V257" s="913"/>
      <c r="W257" s="913"/>
      <c r="X257" s="913"/>
      <c r="Y257" s="913"/>
      <c r="Z257" s="913"/>
      <c r="AA257" s="913"/>
      <c r="AB257" s="913"/>
      <c r="AC257" s="913"/>
      <c r="AD257" s="913"/>
    </row>
    <row r="258" spans="5:30">
      <c r="E258" s="913"/>
      <c r="F258" s="913"/>
      <c r="G258" s="913"/>
      <c r="H258" s="913"/>
      <c r="I258" s="913"/>
      <c r="J258" s="913"/>
      <c r="K258" s="913"/>
      <c r="L258" s="913"/>
      <c r="M258" s="913"/>
      <c r="N258" s="913"/>
      <c r="O258" s="913"/>
      <c r="P258" s="913"/>
      <c r="Q258" s="913"/>
      <c r="R258" s="913"/>
      <c r="S258" s="913"/>
      <c r="T258" s="913"/>
      <c r="U258" s="913"/>
      <c r="V258" s="913"/>
      <c r="W258" s="913"/>
      <c r="X258" s="913"/>
      <c r="Y258" s="913"/>
      <c r="Z258" s="913"/>
      <c r="AA258" s="913"/>
      <c r="AB258" s="913"/>
      <c r="AC258" s="913"/>
      <c r="AD258" s="913"/>
    </row>
    <row r="259" spans="5:30">
      <c r="E259" s="913"/>
      <c r="F259" s="913"/>
      <c r="G259" s="913"/>
      <c r="H259" s="913"/>
      <c r="I259" s="913"/>
      <c r="J259" s="913"/>
      <c r="K259" s="913"/>
      <c r="L259" s="913"/>
      <c r="M259" s="913"/>
      <c r="N259" s="913"/>
      <c r="O259" s="913"/>
      <c r="P259" s="913"/>
      <c r="Q259" s="913"/>
      <c r="R259" s="913"/>
      <c r="S259" s="913"/>
      <c r="T259" s="913"/>
      <c r="U259" s="913"/>
      <c r="V259" s="913"/>
      <c r="W259" s="913"/>
      <c r="X259" s="913"/>
      <c r="Y259" s="913"/>
      <c r="Z259" s="913"/>
      <c r="AA259" s="913"/>
      <c r="AB259" s="913"/>
      <c r="AC259" s="913"/>
      <c r="AD259" s="913"/>
    </row>
    <row r="260" spans="5:30">
      <c r="E260" s="913"/>
      <c r="F260" s="913"/>
      <c r="G260" s="913"/>
      <c r="H260" s="913"/>
      <c r="I260" s="913"/>
      <c r="J260" s="913"/>
      <c r="K260" s="913"/>
      <c r="L260" s="913"/>
      <c r="M260" s="913"/>
      <c r="N260" s="913"/>
      <c r="O260" s="913"/>
      <c r="P260" s="913"/>
      <c r="Q260" s="913"/>
      <c r="R260" s="913"/>
      <c r="S260" s="913"/>
      <c r="T260" s="913"/>
      <c r="U260" s="913"/>
      <c r="V260" s="913"/>
      <c r="W260" s="913"/>
      <c r="X260" s="913"/>
      <c r="Y260" s="913"/>
      <c r="Z260" s="913"/>
      <c r="AA260" s="913"/>
      <c r="AB260" s="913"/>
      <c r="AC260" s="913"/>
      <c r="AD260" s="913"/>
    </row>
    <row r="261" spans="5:30">
      <c r="E261" s="913"/>
      <c r="F261" s="913"/>
      <c r="G261" s="913"/>
      <c r="H261" s="913"/>
      <c r="I261" s="913"/>
      <c r="J261" s="913"/>
      <c r="K261" s="913"/>
      <c r="L261" s="913"/>
      <c r="M261" s="913"/>
      <c r="N261" s="913"/>
      <c r="O261" s="913"/>
      <c r="P261" s="913"/>
      <c r="Q261" s="913"/>
      <c r="R261" s="913"/>
      <c r="S261" s="913"/>
      <c r="T261" s="913"/>
      <c r="U261" s="913"/>
      <c r="V261" s="913"/>
      <c r="W261" s="913"/>
      <c r="X261" s="913"/>
      <c r="Y261" s="913"/>
      <c r="Z261" s="913"/>
      <c r="AA261" s="913"/>
      <c r="AB261" s="913"/>
      <c r="AC261" s="913"/>
      <c r="AD261" s="913"/>
    </row>
    <row r="262" spans="5:30">
      <c r="E262" s="913"/>
      <c r="F262" s="913"/>
      <c r="G262" s="913"/>
      <c r="H262" s="913"/>
      <c r="I262" s="913"/>
      <c r="J262" s="913"/>
      <c r="K262" s="913"/>
      <c r="L262" s="913"/>
      <c r="M262" s="913"/>
      <c r="N262" s="913"/>
      <c r="O262" s="913"/>
      <c r="P262" s="913"/>
      <c r="Q262" s="913"/>
      <c r="R262" s="913"/>
      <c r="S262" s="913"/>
      <c r="T262" s="913"/>
      <c r="U262" s="913"/>
      <c r="V262" s="913"/>
      <c r="W262" s="913"/>
      <c r="X262" s="913"/>
      <c r="Y262" s="913"/>
      <c r="Z262" s="913"/>
      <c r="AA262" s="913"/>
      <c r="AB262" s="913"/>
      <c r="AC262" s="913"/>
      <c r="AD262" s="913"/>
    </row>
    <row r="263" spans="5:30">
      <c r="E263" s="913"/>
      <c r="F263" s="913"/>
      <c r="G263" s="913"/>
      <c r="H263" s="913"/>
      <c r="I263" s="913"/>
      <c r="J263" s="913"/>
      <c r="K263" s="913"/>
      <c r="L263" s="913"/>
      <c r="M263" s="913"/>
      <c r="N263" s="913"/>
      <c r="O263" s="913"/>
      <c r="P263" s="913"/>
      <c r="Q263" s="913"/>
      <c r="R263" s="913"/>
      <c r="S263" s="913"/>
      <c r="T263" s="913"/>
      <c r="U263" s="913"/>
      <c r="V263" s="913"/>
      <c r="W263" s="913"/>
      <c r="X263" s="913"/>
      <c r="Y263" s="913"/>
      <c r="Z263" s="913"/>
      <c r="AA263" s="913"/>
      <c r="AB263" s="913"/>
      <c r="AC263" s="913"/>
      <c r="AD263" s="913"/>
    </row>
    <row r="264" spans="5:30">
      <c r="E264" s="913"/>
      <c r="F264" s="913"/>
      <c r="G264" s="913"/>
      <c r="H264" s="913"/>
      <c r="I264" s="913"/>
      <c r="J264" s="913"/>
      <c r="K264" s="913"/>
      <c r="L264" s="913"/>
      <c r="M264" s="913"/>
      <c r="N264" s="913"/>
      <c r="O264" s="913"/>
      <c r="P264" s="913"/>
      <c r="Q264" s="913"/>
      <c r="R264" s="913"/>
      <c r="S264" s="913"/>
      <c r="T264" s="913"/>
      <c r="U264" s="913"/>
      <c r="V264" s="913"/>
      <c r="W264" s="913"/>
      <c r="X264" s="913"/>
      <c r="Y264" s="913"/>
      <c r="Z264" s="913"/>
      <c r="AA264" s="913"/>
      <c r="AB264" s="913"/>
      <c r="AC264" s="913"/>
      <c r="AD264" s="913"/>
    </row>
    <row r="265" spans="5:30">
      <c r="E265" s="913"/>
      <c r="F265" s="913"/>
      <c r="G265" s="913"/>
      <c r="H265" s="913"/>
      <c r="I265" s="913"/>
      <c r="J265" s="913"/>
      <c r="K265" s="913"/>
      <c r="L265" s="913"/>
      <c r="M265" s="913"/>
      <c r="N265" s="913"/>
      <c r="O265" s="913"/>
      <c r="P265" s="913"/>
      <c r="Q265" s="913"/>
      <c r="R265" s="913"/>
      <c r="S265" s="913"/>
      <c r="T265" s="913"/>
      <c r="U265" s="913"/>
      <c r="V265" s="913"/>
      <c r="W265" s="913"/>
      <c r="X265" s="913"/>
      <c r="Y265" s="913"/>
      <c r="Z265" s="913"/>
      <c r="AA265" s="913"/>
      <c r="AB265" s="913"/>
      <c r="AC265" s="913"/>
      <c r="AD265" s="913"/>
    </row>
    <row r="266" spans="5:30">
      <c r="E266" s="913"/>
      <c r="F266" s="913"/>
      <c r="G266" s="913"/>
      <c r="H266" s="913"/>
      <c r="I266" s="913"/>
      <c r="J266" s="913"/>
      <c r="K266" s="913"/>
      <c r="L266" s="913"/>
      <c r="M266" s="913"/>
      <c r="N266" s="913"/>
      <c r="O266" s="913"/>
      <c r="P266" s="913"/>
      <c r="Q266" s="913"/>
      <c r="R266" s="913"/>
      <c r="S266" s="913"/>
      <c r="T266" s="913"/>
      <c r="U266" s="913"/>
      <c r="V266" s="913"/>
      <c r="W266" s="913"/>
      <c r="X266" s="913"/>
      <c r="Y266" s="913"/>
      <c r="Z266" s="913"/>
      <c r="AA266" s="913"/>
      <c r="AB266" s="913"/>
      <c r="AC266" s="913"/>
      <c r="AD266" s="913"/>
    </row>
    <row r="267" spans="5:30">
      <c r="E267" s="913"/>
      <c r="F267" s="913"/>
      <c r="G267" s="913"/>
      <c r="H267" s="913"/>
      <c r="I267" s="913"/>
      <c r="J267" s="913"/>
      <c r="K267" s="913"/>
      <c r="L267" s="913"/>
      <c r="M267" s="913"/>
      <c r="N267" s="913"/>
      <c r="O267" s="913"/>
      <c r="P267" s="913"/>
      <c r="Q267" s="913"/>
      <c r="R267" s="913"/>
      <c r="S267" s="913"/>
      <c r="T267" s="913"/>
      <c r="U267" s="913"/>
      <c r="V267" s="913"/>
      <c r="W267" s="913"/>
      <c r="X267" s="913"/>
      <c r="Y267" s="913"/>
      <c r="Z267" s="913"/>
      <c r="AA267" s="913"/>
      <c r="AB267" s="913"/>
      <c r="AC267" s="913"/>
      <c r="AD267" s="913"/>
    </row>
    <row r="268" spans="5:30">
      <c r="E268" s="913"/>
      <c r="F268" s="913"/>
      <c r="G268" s="913"/>
      <c r="H268" s="913"/>
      <c r="I268" s="913"/>
      <c r="J268" s="913"/>
      <c r="K268" s="913"/>
      <c r="L268" s="913"/>
      <c r="M268" s="913"/>
      <c r="N268" s="913"/>
      <c r="O268" s="913"/>
      <c r="P268" s="913"/>
      <c r="Q268" s="913"/>
      <c r="R268" s="913"/>
      <c r="S268" s="913"/>
      <c r="T268" s="913"/>
      <c r="U268" s="913"/>
      <c r="V268" s="913"/>
      <c r="W268" s="913"/>
      <c r="X268" s="913"/>
      <c r="Y268" s="913"/>
      <c r="Z268" s="913"/>
      <c r="AA268" s="913"/>
      <c r="AB268" s="913"/>
      <c r="AC268" s="913"/>
      <c r="AD268" s="913"/>
    </row>
    <row r="269" spans="5:30">
      <c r="E269" s="913"/>
      <c r="F269" s="913"/>
      <c r="G269" s="913"/>
      <c r="H269" s="913"/>
      <c r="I269" s="913"/>
      <c r="J269" s="913"/>
      <c r="K269" s="913"/>
      <c r="L269" s="913"/>
      <c r="M269" s="913"/>
      <c r="N269" s="913"/>
      <c r="O269" s="913"/>
      <c r="P269" s="913"/>
      <c r="Q269" s="913"/>
      <c r="R269" s="913"/>
      <c r="S269" s="913"/>
      <c r="T269" s="913"/>
      <c r="U269" s="913"/>
      <c r="V269" s="913"/>
      <c r="W269" s="913"/>
      <c r="X269" s="913"/>
      <c r="Y269" s="913"/>
      <c r="Z269" s="913"/>
      <c r="AA269" s="913"/>
      <c r="AB269" s="913"/>
      <c r="AC269" s="913"/>
      <c r="AD269" s="913"/>
    </row>
    <row r="270" spans="5:30">
      <c r="E270" s="913"/>
      <c r="F270" s="913"/>
      <c r="G270" s="913"/>
      <c r="H270" s="913"/>
      <c r="I270" s="913"/>
      <c r="J270" s="913"/>
      <c r="K270" s="913"/>
      <c r="L270" s="913"/>
      <c r="M270" s="913"/>
      <c r="N270" s="913"/>
      <c r="O270" s="913"/>
      <c r="P270" s="913"/>
      <c r="Q270" s="913"/>
      <c r="R270" s="913"/>
      <c r="S270" s="913"/>
      <c r="T270" s="913"/>
      <c r="U270" s="913"/>
      <c r="V270" s="913"/>
      <c r="W270" s="913"/>
      <c r="X270" s="913"/>
      <c r="Y270" s="913"/>
      <c r="Z270" s="913"/>
      <c r="AA270" s="913"/>
      <c r="AB270" s="913"/>
      <c r="AC270" s="913"/>
      <c r="AD270" s="913"/>
    </row>
    <row r="271" spans="5:30">
      <c r="E271" s="913"/>
      <c r="F271" s="913"/>
      <c r="G271" s="913"/>
      <c r="H271" s="913"/>
      <c r="I271" s="913"/>
      <c r="J271" s="913"/>
      <c r="K271" s="913"/>
      <c r="L271" s="913"/>
      <c r="M271" s="913"/>
      <c r="N271" s="913"/>
      <c r="O271" s="913"/>
      <c r="P271" s="913"/>
      <c r="Q271" s="913"/>
      <c r="R271" s="913"/>
      <c r="S271" s="913"/>
      <c r="T271" s="913"/>
      <c r="U271" s="913"/>
      <c r="V271" s="913"/>
      <c r="W271" s="913"/>
      <c r="X271" s="913"/>
      <c r="Y271" s="913"/>
      <c r="Z271" s="913"/>
      <c r="AA271" s="913"/>
      <c r="AB271" s="913"/>
      <c r="AC271" s="913"/>
      <c r="AD271" s="913"/>
    </row>
    <row r="272" spans="5:30">
      <c r="E272" s="913"/>
      <c r="F272" s="913"/>
      <c r="G272" s="913"/>
      <c r="H272" s="913"/>
      <c r="I272" s="913"/>
      <c r="J272" s="913"/>
      <c r="K272" s="913"/>
      <c r="L272" s="913"/>
      <c r="M272" s="913"/>
      <c r="N272" s="913"/>
      <c r="O272" s="913"/>
      <c r="P272" s="913"/>
      <c r="Q272" s="913"/>
      <c r="R272" s="913"/>
      <c r="S272" s="913"/>
      <c r="T272" s="913"/>
      <c r="U272" s="913"/>
      <c r="V272" s="913"/>
      <c r="W272" s="913"/>
      <c r="X272" s="913"/>
      <c r="Y272" s="913"/>
      <c r="Z272" s="913"/>
      <c r="AA272" s="913"/>
      <c r="AB272" s="913"/>
      <c r="AC272" s="913"/>
      <c r="AD272" s="913"/>
    </row>
    <row r="273" spans="5:30">
      <c r="E273" s="913"/>
      <c r="F273" s="913"/>
      <c r="G273" s="913"/>
      <c r="H273" s="913"/>
      <c r="I273" s="913"/>
      <c r="J273" s="913"/>
      <c r="K273" s="913"/>
      <c r="L273" s="913"/>
      <c r="M273" s="913"/>
      <c r="N273" s="913"/>
      <c r="O273" s="913"/>
      <c r="P273" s="913"/>
      <c r="Q273" s="913"/>
      <c r="R273" s="913"/>
      <c r="S273" s="913"/>
      <c r="T273" s="913"/>
      <c r="U273" s="913"/>
      <c r="V273" s="913"/>
      <c r="W273" s="913"/>
      <c r="X273" s="913"/>
      <c r="Y273" s="913"/>
      <c r="Z273" s="913"/>
      <c r="AA273" s="913"/>
      <c r="AB273" s="913"/>
      <c r="AC273" s="913"/>
      <c r="AD273" s="913"/>
    </row>
    <row r="274" spans="5:30">
      <c r="E274" s="913"/>
      <c r="F274" s="913"/>
      <c r="G274" s="913"/>
      <c r="H274" s="913"/>
      <c r="I274" s="913"/>
      <c r="J274" s="913"/>
      <c r="K274" s="913"/>
      <c r="L274" s="913"/>
      <c r="M274" s="913"/>
      <c r="N274" s="913"/>
      <c r="O274" s="913"/>
      <c r="P274" s="913"/>
      <c r="Q274" s="913"/>
      <c r="R274" s="913"/>
      <c r="S274" s="913"/>
      <c r="T274" s="913"/>
      <c r="U274" s="913"/>
      <c r="V274" s="913"/>
      <c r="W274" s="913"/>
      <c r="X274" s="913"/>
      <c r="Y274" s="913"/>
      <c r="Z274" s="913"/>
      <c r="AA274" s="913"/>
      <c r="AB274" s="913"/>
      <c r="AC274" s="913"/>
      <c r="AD274" s="913"/>
    </row>
    <row r="275" spans="5:30">
      <c r="E275" s="913"/>
      <c r="F275" s="913"/>
      <c r="G275" s="913"/>
      <c r="H275" s="913"/>
      <c r="I275" s="913"/>
      <c r="J275" s="913"/>
      <c r="K275" s="913"/>
      <c r="L275" s="913"/>
      <c r="M275" s="913"/>
      <c r="N275" s="913"/>
      <c r="O275" s="913"/>
      <c r="P275" s="913"/>
      <c r="Q275" s="913"/>
      <c r="R275" s="913"/>
      <c r="S275" s="913"/>
      <c r="T275" s="913"/>
      <c r="U275" s="913"/>
      <c r="V275" s="913"/>
      <c r="W275" s="913"/>
      <c r="X275" s="913"/>
      <c r="Y275" s="913"/>
      <c r="Z275" s="913"/>
      <c r="AA275" s="913"/>
      <c r="AB275" s="913"/>
      <c r="AC275" s="913"/>
      <c r="AD275" s="913"/>
    </row>
    <row r="276" spans="5:30">
      <c r="E276" s="913"/>
      <c r="F276" s="913"/>
      <c r="G276" s="913"/>
      <c r="H276" s="913"/>
      <c r="I276" s="913"/>
      <c r="J276" s="913"/>
      <c r="K276" s="913"/>
      <c r="L276" s="913"/>
      <c r="M276" s="913"/>
      <c r="N276" s="913"/>
      <c r="O276" s="913"/>
      <c r="P276" s="913"/>
      <c r="Q276" s="913"/>
      <c r="R276" s="913"/>
      <c r="S276" s="913"/>
      <c r="T276" s="913"/>
      <c r="U276" s="913"/>
      <c r="V276" s="913"/>
      <c r="W276" s="913"/>
      <c r="X276" s="913"/>
      <c r="Y276" s="913"/>
      <c r="Z276" s="913"/>
      <c r="AA276" s="913"/>
      <c r="AB276" s="913"/>
      <c r="AC276" s="913"/>
      <c r="AD276" s="913"/>
    </row>
    <row r="277" spans="5:30">
      <c r="E277" s="913"/>
      <c r="F277" s="913"/>
      <c r="G277" s="913"/>
      <c r="H277" s="913"/>
      <c r="I277" s="913"/>
      <c r="J277" s="913"/>
      <c r="K277" s="913"/>
      <c r="L277" s="913"/>
      <c r="M277" s="913"/>
      <c r="N277" s="913"/>
      <c r="O277" s="913"/>
      <c r="P277" s="913"/>
      <c r="Q277" s="913"/>
      <c r="R277" s="913"/>
      <c r="S277" s="913"/>
      <c r="T277" s="913"/>
      <c r="U277" s="913"/>
      <c r="V277" s="913"/>
      <c r="W277" s="913"/>
      <c r="X277" s="913"/>
      <c r="Y277" s="913"/>
      <c r="Z277" s="913"/>
      <c r="AA277" s="913"/>
      <c r="AB277" s="913"/>
      <c r="AC277" s="913"/>
      <c r="AD277" s="913"/>
    </row>
    <row r="278" spans="5:30">
      <c r="E278" s="913"/>
      <c r="F278" s="913"/>
      <c r="G278" s="913"/>
      <c r="H278" s="913"/>
      <c r="I278" s="913"/>
      <c r="J278" s="913"/>
      <c r="K278" s="913"/>
      <c r="L278" s="913"/>
      <c r="M278" s="913"/>
      <c r="N278" s="913"/>
      <c r="O278" s="913"/>
      <c r="P278" s="913"/>
      <c r="Q278" s="913"/>
      <c r="R278" s="913"/>
      <c r="S278" s="913"/>
      <c r="T278" s="913"/>
      <c r="U278" s="913"/>
      <c r="V278" s="913"/>
      <c r="W278" s="913"/>
      <c r="X278" s="913"/>
      <c r="Y278" s="913"/>
      <c r="Z278" s="913"/>
      <c r="AA278" s="913"/>
      <c r="AB278" s="913"/>
      <c r="AC278" s="913"/>
      <c r="AD278" s="913"/>
    </row>
    <row r="279" spans="5:30">
      <c r="E279" s="913"/>
      <c r="F279" s="913"/>
      <c r="G279" s="913"/>
      <c r="H279" s="913"/>
      <c r="I279" s="913"/>
      <c r="J279" s="913"/>
      <c r="K279" s="913"/>
      <c r="L279" s="913"/>
      <c r="M279" s="913"/>
      <c r="N279" s="913"/>
      <c r="O279" s="913"/>
      <c r="P279" s="913"/>
      <c r="Q279" s="913"/>
      <c r="R279" s="913"/>
      <c r="S279" s="913"/>
      <c r="T279" s="913"/>
      <c r="U279" s="913"/>
      <c r="V279" s="913"/>
      <c r="W279" s="913"/>
      <c r="X279" s="913"/>
      <c r="Y279" s="913"/>
      <c r="Z279" s="913"/>
      <c r="AA279" s="913"/>
      <c r="AB279" s="913"/>
      <c r="AC279" s="913"/>
      <c r="AD279" s="913"/>
    </row>
    <row r="280" spans="5:30">
      <c r="E280" s="913"/>
      <c r="F280" s="913"/>
      <c r="G280" s="913"/>
      <c r="H280" s="913"/>
      <c r="I280" s="913"/>
      <c r="J280" s="913"/>
      <c r="K280" s="913"/>
      <c r="L280" s="913"/>
      <c r="M280" s="913"/>
      <c r="N280" s="913"/>
      <c r="O280" s="913"/>
      <c r="P280" s="913"/>
      <c r="Q280" s="913"/>
      <c r="R280" s="913"/>
      <c r="S280" s="913"/>
      <c r="T280" s="913"/>
      <c r="U280" s="913"/>
      <c r="V280" s="913"/>
      <c r="W280" s="913"/>
      <c r="X280" s="913"/>
      <c r="Y280" s="913"/>
      <c r="Z280" s="913"/>
      <c r="AA280" s="913"/>
      <c r="AB280" s="913"/>
      <c r="AC280" s="913"/>
      <c r="AD280" s="913"/>
    </row>
    <row r="281" spans="5:30">
      <c r="E281" s="913"/>
      <c r="F281" s="913"/>
      <c r="G281" s="913"/>
      <c r="H281" s="913"/>
      <c r="I281" s="913"/>
      <c r="J281" s="913"/>
      <c r="K281" s="913"/>
      <c r="L281" s="913"/>
      <c r="M281" s="913"/>
      <c r="N281" s="913"/>
      <c r="O281" s="913"/>
      <c r="P281" s="913"/>
      <c r="Q281" s="913"/>
      <c r="R281" s="913"/>
      <c r="S281" s="913"/>
      <c r="T281" s="913"/>
      <c r="U281" s="913"/>
      <c r="V281" s="913"/>
      <c r="W281" s="913"/>
      <c r="X281" s="913"/>
      <c r="Y281" s="913"/>
      <c r="Z281" s="913"/>
      <c r="AA281" s="913"/>
      <c r="AB281" s="913"/>
      <c r="AC281" s="913"/>
      <c r="AD281" s="913"/>
    </row>
    <row r="282" spans="5:30">
      <c r="E282" s="913"/>
      <c r="F282" s="913"/>
      <c r="G282" s="913"/>
      <c r="H282" s="913"/>
      <c r="I282" s="913"/>
      <c r="J282" s="913"/>
      <c r="K282" s="913"/>
      <c r="L282" s="913"/>
      <c r="M282" s="913"/>
      <c r="N282" s="913"/>
      <c r="O282" s="913"/>
      <c r="P282" s="913"/>
      <c r="Q282" s="913"/>
      <c r="R282" s="913"/>
      <c r="S282" s="913"/>
      <c r="T282" s="913"/>
      <c r="U282" s="913"/>
      <c r="V282" s="913"/>
      <c r="W282" s="913"/>
      <c r="X282" s="913"/>
      <c r="Y282" s="913"/>
      <c r="Z282" s="913"/>
      <c r="AA282" s="913"/>
      <c r="AB282" s="913"/>
      <c r="AC282" s="913"/>
      <c r="AD282" s="913"/>
    </row>
    <row r="283" spans="5:30">
      <c r="E283" s="913"/>
      <c r="F283" s="913"/>
      <c r="G283" s="913"/>
      <c r="H283" s="913"/>
      <c r="I283" s="913"/>
      <c r="J283" s="913"/>
      <c r="K283" s="913"/>
      <c r="L283" s="913"/>
      <c r="M283" s="913"/>
      <c r="N283" s="913"/>
      <c r="O283" s="913"/>
      <c r="P283" s="913"/>
      <c r="Q283" s="913"/>
      <c r="R283" s="913"/>
      <c r="S283" s="913"/>
      <c r="T283" s="913"/>
      <c r="U283" s="913"/>
      <c r="V283" s="913"/>
      <c r="W283" s="913"/>
      <c r="X283" s="913"/>
      <c r="Y283" s="913"/>
      <c r="Z283" s="913"/>
      <c r="AA283" s="913"/>
      <c r="AB283" s="913"/>
      <c r="AC283" s="913"/>
      <c r="AD283" s="913"/>
    </row>
    <row r="284" spans="5:30">
      <c r="E284" s="913"/>
      <c r="F284" s="913"/>
      <c r="G284" s="913"/>
      <c r="H284" s="913"/>
      <c r="I284" s="913"/>
      <c r="J284" s="913"/>
      <c r="K284" s="913"/>
      <c r="L284" s="913"/>
      <c r="M284" s="913"/>
      <c r="N284" s="913"/>
      <c r="O284" s="913"/>
      <c r="P284" s="913"/>
      <c r="Q284" s="913"/>
      <c r="R284" s="913"/>
      <c r="S284" s="913"/>
      <c r="T284" s="913"/>
      <c r="U284" s="913"/>
      <c r="V284" s="913"/>
      <c r="W284" s="913"/>
      <c r="X284" s="913"/>
      <c r="Y284" s="913"/>
      <c r="Z284" s="913"/>
      <c r="AA284" s="913"/>
      <c r="AB284" s="913"/>
      <c r="AC284" s="913"/>
      <c r="AD284" s="913"/>
    </row>
    <row r="285" spans="5:30">
      <c r="E285" s="913"/>
      <c r="F285" s="913"/>
      <c r="G285" s="913"/>
      <c r="H285" s="913"/>
      <c r="I285" s="913"/>
      <c r="J285" s="913"/>
      <c r="K285" s="913"/>
      <c r="L285" s="913"/>
      <c r="M285" s="913"/>
      <c r="N285" s="913"/>
      <c r="O285" s="913"/>
      <c r="P285" s="913"/>
      <c r="Q285" s="913"/>
      <c r="R285" s="913"/>
      <c r="S285" s="913"/>
      <c r="T285" s="913"/>
      <c r="U285" s="913"/>
      <c r="V285" s="913"/>
      <c r="W285" s="913"/>
      <c r="X285" s="913"/>
      <c r="Y285" s="913"/>
      <c r="Z285" s="913"/>
      <c r="AA285" s="913"/>
      <c r="AB285" s="913"/>
      <c r="AC285" s="913"/>
      <c r="AD285" s="913"/>
    </row>
    <row r="286" spans="5:30">
      <c r="E286" s="913"/>
      <c r="F286" s="913"/>
      <c r="G286" s="913"/>
      <c r="H286" s="913"/>
      <c r="I286" s="913"/>
      <c r="J286" s="913"/>
      <c r="K286" s="913"/>
      <c r="L286" s="913"/>
      <c r="M286" s="913"/>
      <c r="N286" s="913"/>
      <c r="O286" s="913"/>
      <c r="P286" s="913"/>
      <c r="Q286" s="913"/>
      <c r="R286" s="913"/>
      <c r="S286" s="913"/>
      <c r="T286" s="913"/>
      <c r="U286" s="913"/>
      <c r="V286" s="913"/>
      <c r="W286" s="913"/>
      <c r="X286" s="913"/>
      <c r="Y286" s="913"/>
      <c r="Z286" s="913"/>
      <c r="AA286" s="913"/>
      <c r="AB286" s="913"/>
      <c r="AC286" s="913"/>
      <c r="AD286" s="913"/>
    </row>
    <row r="287" spans="5:30">
      <c r="E287" s="913"/>
      <c r="F287" s="913"/>
      <c r="G287" s="913"/>
      <c r="H287" s="913"/>
      <c r="I287" s="913"/>
      <c r="J287" s="913"/>
      <c r="K287" s="913"/>
      <c r="L287" s="913"/>
      <c r="M287" s="913"/>
      <c r="N287" s="913"/>
      <c r="O287" s="913"/>
      <c r="P287" s="913"/>
      <c r="Q287" s="913"/>
      <c r="R287" s="913"/>
      <c r="S287" s="913"/>
      <c r="T287" s="913"/>
      <c r="U287" s="913"/>
      <c r="V287" s="913"/>
      <c r="W287" s="913"/>
      <c r="X287" s="913"/>
      <c r="Y287" s="913"/>
      <c r="Z287" s="913"/>
      <c r="AA287" s="913"/>
      <c r="AB287" s="913"/>
      <c r="AC287" s="913"/>
      <c r="AD287" s="913"/>
    </row>
    <row r="288" spans="5:30">
      <c r="E288" s="913"/>
      <c r="F288" s="913"/>
      <c r="G288" s="913"/>
      <c r="H288" s="913"/>
      <c r="I288" s="913"/>
      <c r="J288" s="913"/>
      <c r="K288" s="913"/>
      <c r="L288" s="913"/>
      <c r="M288" s="913"/>
      <c r="N288" s="913"/>
      <c r="O288" s="913"/>
      <c r="P288" s="913"/>
      <c r="Q288" s="913"/>
      <c r="R288" s="913"/>
      <c r="S288" s="913"/>
      <c r="T288" s="913"/>
      <c r="U288" s="913"/>
      <c r="V288" s="913"/>
      <c r="W288" s="913"/>
      <c r="X288" s="913"/>
      <c r="Y288" s="913"/>
      <c r="Z288" s="913"/>
      <c r="AA288" s="913"/>
      <c r="AB288" s="913"/>
      <c r="AC288" s="913"/>
      <c r="AD288" s="913"/>
    </row>
    <row r="289" spans="5:30">
      <c r="E289" s="913"/>
      <c r="F289" s="913"/>
      <c r="G289" s="913"/>
      <c r="H289" s="913"/>
      <c r="I289" s="913"/>
      <c r="J289" s="913"/>
      <c r="K289" s="913"/>
      <c r="L289" s="913"/>
      <c r="M289" s="913"/>
      <c r="N289" s="913"/>
      <c r="O289" s="913"/>
      <c r="P289" s="913"/>
      <c r="Q289" s="913"/>
      <c r="R289" s="913"/>
      <c r="S289" s="913"/>
      <c r="T289" s="913"/>
      <c r="U289" s="913"/>
      <c r="V289" s="913"/>
      <c r="W289" s="913"/>
      <c r="X289" s="913"/>
      <c r="Y289" s="913"/>
      <c r="Z289" s="913"/>
      <c r="AA289" s="913"/>
      <c r="AB289" s="913"/>
      <c r="AC289" s="913"/>
      <c r="AD289" s="913"/>
    </row>
    <row r="290" spans="5:30">
      <c r="E290" s="913"/>
      <c r="F290" s="913"/>
      <c r="G290" s="913"/>
      <c r="H290" s="913"/>
      <c r="I290" s="913"/>
      <c r="J290" s="913"/>
      <c r="K290" s="913"/>
      <c r="L290" s="913"/>
      <c r="M290" s="913"/>
      <c r="N290" s="913"/>
      <c r="O290" s="913"/>
      <c r="P290" s="913"/>
      <c r="Q290" s="913"/>
      <c r="R290" s="913"/>
      <c r="S290" s="913"/>
      <c r="T290" s="913"/>
      <c r="U290" s="913"/>
      <c r="V290" s="913"/>
      <c r="W290" s="913"/>
      <c r="X290" s="913"/>
      <c r="Y290" s="913"/>
      <c r="Z290" s="913"/>
      <c r="AA290" s="913"/>
      <c r="AB290" s="913"/>
      <c r="AC290" s="913"/>
      <c r="AD290" s="913"/>
    </row>
    <row r="291" spans="5:30">
      <c r="E291" s="913"/>
      <c r="F291" s="913"/>
      <c r="G291" s="913"/>
      <c r="H291" s="913"/>
      <c r="I291" s="913"/>
      <c r="J291" s="913"/>
      <c r="K291" s="913"/>
      <c r="L291" s="913"/>
      <c r="M291" s="913"/>
      <c r="N291" s="913"/>
      <c r="O291" s="913"/>
      <c r="P291" s="913"/>
      <c r="Q291" s="913"/>
      <c r="R291" s="913"/>
      <c r="S291" s="913"/>
      <c r="T291" s="913"/>
      <c r="U291" s="913"/>
      <c r="V291" s="913"/>
      <c r="W291" s="913"/>
      <c r="X291" s="913"/>
      <c r="Y291" s="913"/>
      <c r="Z291" s="913"/>
      <c r="AA291" s="913"/>
      <c r="AB291" s="913"/>
      <c r="AC291" s="913"/>
      <c r="AD291" s="913"/>
    </row>
    <row r="292" spans="5:30">
      <c r="E292" s="913"/>
      <c r="F292" s="913"/>
      <c r="G292" s="913"/>
      <c r="H292" s="913"/>
      <c r="I292" s="913"/>
      <c r="J292" s="913"/>
      <c r="K292" s="913"/>
      <c r="L292" s="913"/>
      <c r="M292" s="913"/>
      <c r="N292" s="913"/>
      <c r="O292" s="913"/>
      <c r="P292" s="913"/>
      <c r="Q292" s="913"/>
      <c r="R292" s="913"/>
      <c r="S292" s="913"/>
      <c r="T292" s="913"/>
      <c r="U292" s="913"/>
      <c r="V292" s="913"/>
      <c r="W292" s="913"/>
      <c r="X292" s="913"/>
      <c r="Y292" s="913"/>
      <c r="Z292" s="913"/>
      <c r="AA292" s="913"/>
      <c r="AB292" s="913"/>
      <c r="AC292" s="913"/>
      <c r="AD292" s="913"/>
    </row>
    <row r="293" spans="5:30">
      <c r="E293" s="913"/>
      <c r="F293" s="913"/>
      <c r="G293" s="913"/>
      <c r="H293" s="913"/>
      <c r="I293" s="913"/>
      <c r="J293" s="913"/>
      <c r="K293" s="913"/>
      <c r="L293" s="913"/>
      <c r="M293" s="913"/>
      <c r="N293" s="913"/>
      <c r="O293" s="913"/>
      <c r="P293" s="913"/>
      <c r="Q293" s="913"/>
      <c r="R293" s="913"/>
      <c r="S293" s="913"/>
      <c r="T293" s="913"/>
      <c r="U293" s="913"/>
      <c r="V293" s="913"/>
      <c r="W293" s="913"/>
      <c r="X293" s="913"/>
      <c r="Y293" s="913"/>
      <c r="Z293" s="913"/>
      <c r="AA293" s="913"/>
      <c r="AB293" s="913"/>
      <c r="AC293" s="913"/>
      <c r="AD293" s="913"/>
    </row>
    <row r="294" spans="5:30">
      <c r="E294" s="913"/>
      <c r="F294" s="913"/>
      <c r="G294" s="913"/>
      <c r="H294" s="913"/>
      <c r="I294" s="913"/>
      <c r="J294" s="913"/>
      <c r="K294" s="913"/>
      <c r="L294" s="913"/>
      <c r="M294" s="913"/>
      <c r="N294" s="913"/>
      <c r="O294" s="913"/>
      <c r="P294" s="913"/>
      <c r="Q294" s="913"/>
      <c r="R294" s="913"/>
      <c r="S294" s="913"/>
      <c r="T294" s="913"/>
      <c r="U294" s="913"/>
      <c r="V294" s="913"/>
      <c r="W294" s="913"/>
      <c r="X294" s="913"/>
      <c r="Y294" s="913"/>
      <c r="Z294" s="913"/>
      <c r="AA294" s="913"/>
      <c r="AB294" s="913"/>
      <c r="AC294" s="913"/>
      <c r="AD294" s="913"/>
    </row>
    <row r="295" spans="5:30">
      <c r="E295" s="913"/>
      <c r="F295" s="913"/>
      <c r="G295" s="913"/>
      <c r="H295" s="913"/>
      <c r="I295" s="913"/>
      <c r="J295" s="913"/>
      <c r="K295" s="913"/>
      <c r="L295" s="913"/>
      <c r="M295" s="913"/>
      <c r="N295" s="913"/>
      <c r="O295" s="913"/>
      <c r="P295" s="913"/>
      <c r="Q295" s="913"/>
      <c r="R295" s="913"/>
      <c r="S295" s="913"/>
      <c r="T295" s="913"/>
      <c r="U295" s="913"/>
      <c r="V295" s="913"/>
      <c r="W295" s="913"/>
      <c r="X295" s="913"/>
      <c r="Y295" s="913"/>
      <c r="Z295" s="913"/>
      <c r="AA295" s="913"/>
      <c r="AB295" s="913"/>
      <c r="AC295" s="913"/>
      <c r="AD295" s="913"/>
    </row>
    <row r="296" spans="5:30">
      <c r="E296" s="913"/>
      <c r="F296" s="913"/>
      <c r="G296" s="913"/>
      <c r="H296" s="913"/>
      <c r="I296" s="913"/>
      <c r="J296" s="913"/>
      <c r="K296" s="913"/>
      <c r="L296" s="913"/>
      <c r="M296" s="913"/>
      <c r="N296" s="913"/>
      <c r="O296" s="913"/>
      <c r="P296" s="913"/>
      <c r="Q296" s="913"/>
      <c r="R296" s="913"/>
      <c r="S296" s="913"/>
      <c r="T296" s="913"/>
      <c r="U296" s="913"/>
      <c r="V296" s="913"/>
      <c r="W296" s="913"/>
      <c r="X296" s="913"/>
      <c r="Y296" s="913"/>
      <c r="Z296" s="913"/>
      <c r="AA296" s="913"/>
      <c r="AB296" s="913"/>
      <c r="AC296" s="913"/>
      <c r="AD296" s="913"/>
    </row>
    <row r="297" spans="5:30">
      <c r="E297" s="913"/>
      <c r="F297" s="913"/>
      <c r="G297" s="913"/>
      <c r="H297" s="913"/>
      <c r="I297" s="913"/>
      <c r="J297" s="913"/>
      <c r="K297" s="913"/>
      <c r="L297" s="913"/>
      <c r="M297" s="913"/>
      <c r="N297" s="913"/>
      <c r="O297" s="913"/>
      <c r="P297" s="913"/>
      <c r="Q297" s="913"/>
      <c r="R297" s="913"/>
      <c r="S297" s="913"/>
      <c r="T297" s="913"/>
      <c r="U297" s="913"/>
      <c r="V297" s="913"/>
      <c r="W297" s="913"/>
      <c r="X297" s="913"/>
      <c r="Y297" s="913"/>
      <c r="Z297" s="913"/>
      <c r="AA297" s="913"/>
      <c r="AB297" s="913"/>
      <c r="AC297" s="913"/>
      <c r="AD297" s="913"/>
    </row>
    <row r="298" spans="5:30">
      <c r="E298" s="913"/>
      <c r="F298" s="913"/>
      <c r="G298" s="913"/>
      <c r="H298" s="913"/>
      <c r="I298" s="913"/>
      <c r="J298" s="913"/>
      <c r="K298" s="913"/>
      <c r="L298" s="913"/>
      <c r="M298" s="913"/>
      <c r="N298" s="913"/>
      <c r="O298" s="913"/>
      <c r="P298" s="913"/>
      <c r="Q298" s="913"/>
      <c r="R298" s="913"/>
      <c r="S298" s="913"/>
      <c r="T298" s="913"/>
      <c r="U298" s="913"/>
      <c r="V298" s="913"/>
      <c r="W298" s="913"/>
      <c r="X298" s="913"/>
      <c r="Y298" s="913"/>
      <c r="Z298" s="913"/>
      <c r="AA298" s="913"/>
      <c r="AB298" s="913"/>
      <c r="AC298" s="913"/>
      <c r="AD298" s="913"/>
    </row>
    <row r="299" spans="5:30">
      <c r="E299" s="913"/>
      <c r="F299" s="913"/>
      <c r="G299" s="913"/>
      <c r="H299" s="913"/>
      <c r="I299" s="913"/>
      <c r="J299" s="913"/>
      <c r="K299" s="913"/>
      <c r="L299" s="913"/>
      <c r="M299" s="913"/>
      <c r="N299" s="913"/>
      <c r="O299" s="913"/>
      <c r="P299" s="913"/>
      <c r="Q299" s="913"/>
      <c r="R299" s="913"/>
      <c r="S299" s="913"/>
      <c r="T299" s="913"/>
      <c r="U299" s="913"/>
      <c r="V299" s="913"/>
      <c r="W299" s="913"/>
      <c r="X299" s="913"/>
      <c r="Y299" s="913"/>
      <c r="Z299" s="913"/>
      <c r="AA299" s="913"/>
      <c r="AB299" s="913"/>
      <c r="AC299" s="913"/>
      <c r="AD299" s="913"/>
    </row>
    <row r="300" spans="5:30">
      <c r="E300" s="913"/>
      <c r="F300" s="913"/>
      <c r="G300" s="913"/>
      <c r="H300" s="913"/>
      <c r="I300" s="913"/>
      <c r="J300" s="913"/>
      <c r="K300" s="913"/>
      <c r="L300" s="913"/>
      <c r="M300" s="913"/>
      <c r="N300" s="913"/>
      <c r="O300" s="913"/>
      <c r="P300" s="913"/>
      <c r="Q300" s="913"/>
      <c r="R300" s="913"/>
      <c r="S300" s="913"/>
      <c r="T300" s="913"/>
      <c r="U300" s="913"/>
      <c r="V300" s="913"/>
      <c r="W300" s="913"/>
      <c r="X300" s="913"/>
      <c r="Y300" s="913"/>
      <c r="Z300" s="913"/>
      <c r="AA300" s="913"/>
      <c r="AB300" s="913"/>
      <c r="AC300" s="913"/>
      <c r="AD300" s="913"/>
    </row>
    <row r="301" spans="5:30">
      <c r="E301" s="913"/>
      <c r="F301" s="913"/>
      <c r="G301" s="913"/>
      <c r="H301" s="913"/>
      <c r="I301" s="913"/>
      <c r="J301" s="913"/>
      <c r="K301" s="913"/>
      <c r="L301" s="913"/>
      <c r="M301" s="913"/>
      <c r="N301" s="913"/>
      <c r="O301" s="913"/>
      <c r="P301" s="913"/>
      <c r="Q301" s="913"/>
      <c r="R301" s="913"/>
      <c r="S301" s="913"/>
      <c r="T301" s="913"/>
      <c r="U301" s="913"/>
      <c r="V301" s="913"/>
      <c r="W301" s="913"/>
      <c r="X301" s="913"/>
      <c r="Y301" s="913"/>
      <c r="Z301" s="913"/>
      <c r="AA301" s="913"/>
      <c r="AB301" s="913"/>
      <c r="AC301" s="913"/>
      <c r="AD301" s="913"/>
    </row>
    <row r="302" spans="5:30">
      <c r="E302" s="913"/>
      <c r="F302" s="913"/>
      <c r="G302" s="913"/>
      <c r="H302" s="913"/>
      <c r="I302" s="913"/>
      <c r="J302" s="913"/>
      <c r="K302" s="913"/>
      <c r="L302" s="913"/>
      <c r="M302" s="913"/>
      <c r="N302" s="913"/>
      <c r="O302" s="913"/>
      <c r="P302" s="913"/>
      <c r="Q302" s="913"/>
      <c r="R302" s="913"/>
      <c r="S302" s="913"/>
      <c r="T302" s="913"/>
      <c r="U302" s="913"/>
      <c r="V302" s="913"/>
      <c r="W302" s="913"/>
      <c r="X302" s="913"/>
      <c r="Y302" s="913"/>
      <c r="Z302" s="913"/>
      <c r="AA302" s="913"/>
      <c r="AB302" s="913"/>
      <c r="AC302" s="913"/>
      <c r="AD302" s="913"/>
    </row>
    <row r="303" spans="5:30">
      <c r="E303" s="913"/>
      <c r="F303" s="913"/>
      <c r="G303" s="913"/>
      <c r="H303" s="913"/>
      <c r="I303" s="913"/>
      <c r="J303" s="913"/>
      <c r="K303" s="913"/>
      <c r="L303" s="913"/>
      <c r="M303" s="913"/>
      <c r="N303" s="913"/>
      <c r="O303" s="913"/>
      <c r="P303" s="913"/>
      <c r="Q303" s="913"/>
      <c r="R303" s="913"/>
      <c r="S303" s="913"/>
      <c r="T303" s="913"/>
      <c r="U303" s="913"/>
      <c r="V303" s="913"/>
      <c r="W303" s="913"/>
      <c r="X303" s="913"/>
      <c r="Y303" s="913"/>
      <c r="Z303" s="913"/>
      <c r="AA303" s="913"/>
      <c r="AB303" s="913"/>
      <c r="AC303" s="913"/>
      <c r="AD303" s="913"/>
    </row>
    <row r="304" spans="5:30">
      <c r="E304" s="913"/>
      <c r="F304" s="913"/>
      <c r="G304" s="913"/>
      <c r="H304" s="913"/>
      <c r="I304" s="913"/>
      <c r="J304" s="913"/>
      <c r="K304" s="913"/>
      <c r="L304" s="913"/>
      <c r="M304" s="913"/>
      <c r="N304" s="913"/>
      <c r="O304" s="913"/>
      <c r="P304" s="913"/>
      <c r="Q304" s="913"/>
      <c r="R304" s="913"/>
      <c r="S304" s="913"/>
      <c r="T304" s="913"/>
      <c r="U304" s="913"/>
      <c r="V304" s="913"/>
      <c r="W304" s="913"/>
      <c r="X304" s="913"/>
      <c r="Y304" s="913"/>
      <c r="Z304" s="913"/>
      <c r="AA304" s="913"/>
      <c r="AB304" s="913"/>
      <c r="AC304" s="913"/>
      <c r="AD304" s="913"/>
    </row>
    <row r="305" spans="5:30">
      <c r="E305" s="913"/>
      <c r="F305" s="913"/>
      <c r="G305" s="913"/>
      <c r="H305" s="913"/>
      <c r="I305" s="913"/>
      <c r="J305" s="913"/>
      <c r="K305" s="913"/>
      <c r="L305" s="913"/>
      <c r="M305" s="913"/>
      <c r="N305" s="913"/>
      <c r="O305" s="913"/>
      <c r="P305" s="913"/>
      <c r="Q305" s="913"/>
      <c r="R305" s="913"/>
      <c r="S305" s="913"/>
      <c r="T305" s="913"/>
      <c r="U305" s="913"/>
      <c r="V305" s="913"/>
      <c r="W305" s="913"/>
      <c r="X305" s="913"/>
      <c r="Y305" s="913"/>
      <c r="Z305" s="913"/>
      <c r="AA305" s="913"/>
      <c r="AB305" s="913"/>
      <c r="AC305" s="913"/>
      <c r="AD305" s="913"/>
    </row>
    <row r="306" spans="5:30">
      <c r="E306" s="913"/>
      <c r="F306" s="913"/>
      <c r="G306" s="913"/>
      <c r="H306" s="913"/>
      <c r="I306" s="913"/>
      <c r="J306" s="913"/>
      <c r="K306" s="913"/>
      <c r="L306" s="913"/>
      <c r="M306" s="913"/>
      <c r="N306" s="913"/>
      <c r="O306" s="913"/>
      <c r="P306" s="913"/>
      <c r="Q306" s="913"/>
      <c r="R306" s="913"/>
      <c r="S306" s="913"/>
      <c r="T306" s="913"/>
      <c r="U306" s="913"/>
      <c r="V306" s="913"/>
      <c r="W306" s="913"/>
      <c r="X306" s="913"/>
      <c r="Y306" s="913"/>
      <c r="Z306" s="913"/>
      <c r="AA306" s="913"/>
      <c r="AB306" s="913"/>
      <c r="AC306" s="913"/>
      <c r="AD306" s="913"/>
    </row>
    <row r="307" spans="5:30">
      <c r="E307" s="913"/>
      <c r="F307" s="913"/>
      <c r="G307" s="913"/>
      <c r="H307" s="913"/>
      <c r="I307" s="913"/>
      <c r="J307" s="913"/>
      <c r="K307" s="913"/>
      <c r="L307" s="913"/>
      <c r="M307" s="913"/>
      <c r="N307" s="913"/>
      <c r="O307" s="913"/>
      <c r="P307" s="913"/>
      <c r="Q307" s="913"/>
      <c r="R307" s="913"/>
      <c r="S307" s="913"/>
      <c r="T307" s="913"/>
      <c r="U307" s="913"/>
      <c r="V307" s="913"/>
      <c r="W307" s="913"/>
      <c r="X307" s="913"/>
      <c r="Y307" s="913"/>
      <c r="Z307" s="913"/>
      <c r="AA307" s="913"/>
      <c r="AB307" s="913"/>
      <c r="AC307" s="913"/>
      <c r="AD307" s="913"/>
    </row>
    <row r="308" spans="5:30">
      <c r="E308" s="913"/>
      <c r="F308" s="913"/>
      <c r="G308" s="913"/>
      <c r="H308" s="913"/>
      <c r="I308" s="913"/>
      <c r="J308" s="913"/>
      <c r="K308" s="913"/>
      <c r="L308" s="913"/>
      <c r="M308" s="913"/>
      <c r="N308" s="913"/>
      <c r="O308" s="913"/>
      <c r="P308" s="913"/>
      <c r="Q308" s="913"/>
      <c r="R308" s="913"/>
      <c r="S308" s="913"/>
      <c r="T308" s="913"/>
      <c r="U308" s="913"/>
      <c r="V308" s="913"/>
      <c r="W308" s="913"/>
      <c r="X308" s="913"/>
      <c r="Y308" s="913"/>
      <c r="Z308" s="913"/>
      <c r="AA308" s="913"/>
      <c r="AB308" s="913"/>
      <c r="AC308" s="913"/>
      <c r="AD308" s="913"/>
    </row>
    <row r="309" spans="5:30">
      <c r="E309" s="913"/>
      <c r="F309" s="913"/>
      <c r="G309" s="913"/>
      <c r="H309" s="913"/>
      <c r="I309" s="913"/>
      <c r="J309" s="913"/>
      <c r="K309" s="913"/>
      <c r="L309" s="913"/>
      <c r="M309" s="913"/>
      <c r="N309" s="913"/>
      <c r="O309" s="913"/>
      <c r="P309" s="913"/>
      <c r="Q309" s="913"/>
      <c r="R309" s="913"/>
      <c r="S309" s="913"/>
      <c r="T309" s="913"/>
      <c r="U309" s="913"/>
      <c r="V309" s="913"/>
      <c r="W309" s="913"/>
      <c r="X309" s="913"/>
      <c r="Y309" s="913"/>
      <c r="Z309" s="913"/>
      <c r="AA309" s="913"/>
      <c r="AB309" s="913"/>
      <c r="AC309" s="913"/>
      <c r="AD309" s="913"/>
    </row>
    <row r="310" spans="5:30">
      <c r="E310" s="913"/>
      <c r="F310" s="913"/>
      <c r="G310" s="913"/>
      <c r="H310" s="913"/>
      <c r="I310" s="913"/>
      <c r="J310" s="913"/>
      <c r="K310" s="913"/>
      <c r="L310" s="913"/>
      <c r="M310" s="913"/>
      <c r="N310" s="913"/>
      <c r="O310" s="913"/>
      <c r="P310" s="913"/>
      <c r="Q310" s="913"/>
      <c r="R310" s="913"/>
      <c r="S310" s="913"/>
      <c r="T310" s="913"/>
      <c r="U310" s="913"/>
      <c r="V310" s="913"/>
      <c r="W310" s="913"/>
      <c r="X310" s="913"/>
      <c r="Y310" s="913"/>
      <c r="Z310" s="913"/>
      <c r="AA310" s="913"/>
      <c r="AB310" s="913"/>
      <c r="AC310" s="913"/>
      <c r="AD310" s="913"/>
    </row>
    <row r="311" spans="5:30">
      <c r="E311" s="913"/>
      <c r="F311" s="913"/>
      <c r="G311" s="913"/>
      <c r="H311" s="913"/>
      <c r="I311" s="913"/>
      <c r="J311" s="913"/>
      <c r="K311" s="913"/>
      <c r="L311" s="913"/>
      <c r="M311" s="913"/>
      <c r="N311" s="913"/>
      <c r="O311" s="913"/>
      <c r="P311" s="913"/>
      <c r="Q311" s="913"/>
      <c r="R311" s="913"/>
      <c r="S311" s="913"/>
      <c r="T311" s="913"/>
      <c r="U311" s="913"/>
      <c r="V311" s="913"/>
      <c r="W311" s="913"/>
      <c r="X311" s="913"/>
      <c r="Y311" s="913"/>
      <c r="Z311" s="913"/>
      <c r="AA311" s="913"/>
      <c r="AB311" s="913"/>
      <c r="AC311" s="913"/>
      <c r="AD311" s="913"/>
    </row>
    <row r="312" spans="5:30">
      <c r="E312" s="913"/>
      <c r="F312" s="913"/>
      <c r="G312" s="913"/>
      <c r="H312" s="913"/>
      <c r="I312" s="913"/>
      <c r="J312" s="913"/>
      <c r="K312" s="913"/>
      <c r="L312" s="913"/>
      <c r="M312" s="913"/>
      <c r="N312" s="913"/>
      <c r="O312" s="913"/>
      <c r="P312" s="913"/>
      <c r="Q312" s="913"/>
      <c r="R312" s="913"/>
      <c r="S312" s="913"/>
      <c r="T312" s="913"/>
      <c r="U312" s="913"/>
      <c r="V312" s="913"/>
      <c r="W312" s="913"/>
      <c r="X312" s="913"/>
      <c r="Y312" s="913"/>
      <c r="Z312" s="913"/>
      <c r="AA312" s="913"/>
      <c r="AB312" s="913"/>
      <c r="AC312" s="913"/>
      <c r="AD312" s="913"/>
    </row>
    <row r="313" spans="5:30">
      <c r="E313" s="913"/>
      <c r="F313" s="913"/>
      <c r="G313" s="913"/>
      <c r="H313" s="913"/>
      <c r="I313" s="913"/>
      <c r="J313" s="913"/>
      <c r="K313" s="913"/>
      <c r="L313" s="913"/>
      <c r="M313" s="913"/>
      <c r="N313" s="913"/>
      <c r="O313" s="913"/>
      <c r="P313" s="913"/>
      <c r="Q313" s="913"/>
      <c r="R313" s="913"/>
      <c r="S313" s="913"/>
      <c r="T313" s="913"/>
      <c r="U313" s="913"/>
      <c r="V313" s="913"/>
      <c r="W313" s="913"/>
      <c r="X313" s="913"/>
      <c r="Y313" s="913"/>
      <c r="Z313" s="913"/>
      <c r="AA313" s="913"/>
      <c r="AB313" s="913"/>
      <c r="AC313" s="913"/>
      <c r="AD313" s="913"/>
    </row>
    <row r="314" spans="5:30">
      <c r="E314" s="913"/>
      <c r="F314" s="913"/>
      <c r="G314" s="913"/>
      <c r="H314" s="913"/>
      <c r="I314" s="913"/>
      <c r="J314" s="913"/>
      <c r="K314" s="913"/>
      <c r="L314" s="913"/>
      <c r="M314" s="913"/>
      <c r="N314" s="913"/>
      <c r="O314" s="913"/>
      <c r="P314" s="913"/>
      <c r="Q314" s="913"/>
      <c r="R314" s="913"/>
      <c r="S314" s="913"/>
      <c r="T314" s="913"/>
      <c r="U314" s="913"/>
      <c r="V314" s="913"/>
      <c r="W314" s="913"/>
      <c r="X314" s="913"/>
      <c r="Y314" s="913"/>
      <c r="Z314" s="913"/>
      <c r="AA314" s="913"/>
      <c r="AB314" s="913"/>
      <c r="AC314" s="913"/>
      <c r="AD314" s="913"/>
    </row>
    <row r="315" spans="5:30">
      <c r="E315" s="913"/>
      <c r="F315" s="913"/>
      <c r="G315" s="913"/>
      <c r="H315" s="913"/>
      <c r="I315" s="913"/>
      <c r="J315" s="913"/>
      <c r="K315" s="913"/>
      <c r="L315" s="913"/>
      <c r="M315" s="913"/>
      <c r="N315" s="913"/>
      <c r="O315" s="913"/>
      <c r="P315" s="913"/>
      <c r="Q315" s="913"/>
      <c r="R315" s="913"/>
      <c r="S315" s="913"/>
      <c r="T315" s="913"/>
      <c r="U315" s="913"/>
      <c r="V315" s="913"/>
      <c r="W315" s="913"/>
      <c r="X315" s="913"/>
      <c r="Y315" s="913"/>
      <c r="Z315" s="913"/>
      <c r="AA315" s="913"/>
      <c r="AB315" s="913"/>
      <c r="AC315" s="913"/>
      <c r="AD315" s="913"/>
    </row>
    <row r="316" spans="5:30">
      <c r="E316" s="913"/>
      <c r="F316" s="913"/>
      <c r="G316" s="913"/>
      <c r="H316" s="913"/>
      <c r="I316" s="913"/>
      <c r="J316" s="913"/>
      <c r="K316" s="913"/>
      <c r="L316" s="913"/>
      <c r="M316" s="913"/>
      <c r="N316" s="913"/>
      <c r="O316" s="913"/>
      <c r="P316" s="913"/>
      <c r="Q316" s="913"/>
      <c r="R316" s="913"/>
      <c r="S316" s="913"/>
      <c r="T316" s="913"/>
      <c r="U316" s="913"/>
      <c r="V316" s="913"/>
      <c r="W316" s="913"/>
      <c r="X316" s="913"/>
      <c r="Y316" s="913"/>
      <c r="Z316" s="913"/>
      <c r="AA316" s="913"/>
      <c r="AB316" s="913"/>
      <c r="AC316" s="913"/>
      <c r="AD316" s="913"/>
    </row>
    <row r="317" spans="5:30">
      <c r="E317" s="913"/>
      <c r="F317" s="913"/>
      <c r="G317" s="913"/>
      <c r="H317" s="913"/>
      <c r="I317" s="913"/>
      <c r="J317" s="913"/>
      <c r="K317" s="913"/>
      <c r="L317" s="913"/>
      <c r="M317" s="913"/>
      <c r="N317" s="913"/>
      <c r="O317" s="913"/>
      <c r="P317" s="913"/>
      <c r="Q317" s="913"/>
      <c r="R317" s="913"/>
      <c r="S317" s="913"/>
      <c r="T317" s="913"/>
      <c r="U317" s="913"/>
      <c r="V317" s="913"/>
      <c r="W317" s="913"/>
      <c r="X317" s="913"/>
      <c r="Y317" s="913"/>
      <c r="Z317" s="913"/>
      <c r="AA317" s="913"/>
      <c r="AB317" s="913"/>
      <c r="AC317" s="913"/>
      <c r="AD317" s="913"/>
    </row>
    <row r="318" spans="5:30">
      <c r="E318" s="913"/>
      <c r="F318" s="913"/>
      <c r="G318" s="913"/>
      <c r="H318" s="913"/>
      <c r="I318" s="913"/>
      <c r="J318" s="913"/>
      <c r="K318" s="913"/>
      <c r="L318" s="913"/>
      <c r="M318" s="913"/>
      <c r="N318" s="913"/>
      <c r="O318" s="913"/>
      <c r="P318" s="913"/>
      <c r="Q318" s="913"/>
      <c r="R318" s="913"/>
      <c r="S318" s="913"/>
      <c r="T318" s="913"/>
      <c r="U318" s="913"/>
      <c r="V318" s="913"/>
      <c r="W318" s="913"/>
      <c r="X318" s="913"/>
      <c r="Y318" s="913"/>
      <c r="Z318" s="913"/>
      <c r="AA318" s="913"/>
      <c r="AB318" s="913"/>
      <c r="AC318" s="913"/>
      <c r="AD318" s="913"/>
    </row>
    <row r="319" spans="5:30">
      <c r="E319" s="913"/>
      <c r="F319" s="913"/>
      <c r="G319" s="913"/>
      <c r="H319" s="913"/>
      <c r="I319" s="913"/>
      <c r="J319" s="913"/>
      <c r="K319" s="913"/>
      <c r="L319" s="913"/>
      <c r="M319" s="913"/>
      <c r="N319" s="913"/>
      <c r="O319" s="913"/>
      <c r="P319" s="913"/>
      <c r="Q319" s="913"/>
      <c r="R319" s="913"/>
      <c r="S319" s="913"/>
      <c r="T319" s="913"/>
      <c r="U319" s="913"/>
      <c r="V319" s="913"/>
      <c r="W319" s="913"/>
      <c r="X319" s="913"/>
      <c r="Y319" s="913"/>
      <c r="Z319" s="913"/>
      <c r="AA319" s="913"/>
      <c r="AB319" s="913"/>
      <c r="AC319" s="913"/>
      <c r="AD319" s="913"/>
    </row>
    <row r="320" spans="5:30">
      <c r="E320" s="913"/>
      <c r="F320" s="913"/>
      <c r="G320" s="913"/>
      <c r="H320" s="913"/>
      <c r="I320" s="913"/>
      <c r="J320" s="913"/>
      <c r="K320" s="913"/>
      <c r="L320" s="913"/>
      <c r="M320" s="913"/>
      <c r="N320" s="913"/>
      <c r="O320" s="913"/>
      <c r="P320" s="913"/>
      <c r="Q320" s="913"/>
      <c r="R320" s="913"/>
      <c r="S320" s="913"/>
      <c r="T320" s="913"/>
      <c r="U320" s="913"/>
      <c r="V320" s="913"/>
      <c r="W320" s="913"/>
      <c r="X320" s="913"/>
      <c r="Y320" s="913"/>
      <c r="Z320" s="913"/>
      <c r="AA320" s="913"/>
      <c r="AB320" s="913"/>
      <c r="AC320" s="913"/>
      <c r="AD320" s="913"/>
    </row>
    <row r="321" spans="5:30">
      <c r="E321" s="913"/>
      <c r="F321" s="913"/>
      <c r="G321" s="913"/>
      <c r="H321" s="913"/>
      <c r="I321" s="913"/>
      <c r="J321" s="913"/>
      <c r="K321" s="913"/>
      <c r="L321" s="913"/>
      <c r="M321" s="913"/>
      <c r="N321" s="913"/>
      <c r="O321" s="913"/>
      <c r="P321" s="913"/>
      <c r="Q321" s="913"/>
      <c r="R321" s="913"/>
      <c r="S321" s="913"/>
      <c r="T321" s="913"/>
      <c r="U321" s="913"/>
      <c r="V321" s="913"/>
      <c r="W321" s="913"/>
      <c r="X321" s="913"/>
      <c r="Y321" s="913"/>
      <c r="Z321" s="913"/>
      <c r="AA321" s="913"/>
      <c r="AB321" s="913"/>
      <c r="AC321" s="913"/>
      <c r="AD321" s="913"/>
    </row>
    <row r="322" spans="5:30">
      <c r="E322" s="913"/>
      <c r="F322" s="913"/>
      <c r="G322" s="913"/>
      <c r="H322" s="913"/>
      <c r="I322" s="913"/>
      <c r="J322" s="913"/>
      <c r="K322" s="913"/>
      <c r="L322" s="913"/>
      <c r="M322" s="913"/>
      <c r="N322" s="913"/>
      <c r="O322" s="913"/>
      <c r="P322" s="913"/>
      <c r="Q322" s="913"/>
      <c r="R322" s="913"/>
      <c r="S322" s="913"/>
      <c r="T322" s="913"/>
      <c r="U322" s="913"/>
      <c r="V322" s="913"/>
      <c r="W322" s="913"/>
      <c r="X322" s="913"/>
      <c r="Y322" s="913"/>
      <c r="Z322" s="913"/>
      <c r="AA322" s="913"/>
      <c r="AB322" s="913"/>
      <c r="AC322" s="913"/>
      <c r="AD322" s="913"/>
    </row>
    <row r="323" spans="5:30">
      <c r="E323" s="913"/>
      <c r="F323" s="913"/>
      <c r="G323" s="913"/>
      <c r="H323" s="913"/>
      <c r="I323" s="913"/>
      <c r="J323" s="913"/>
      <c r="K323" s="913"/>
      <c r="L323" s="913"/>
      <c r="M323" s="913"/>
      <c r="N323" s="913"/>
      <c r="O323" s="913"/>
      <c r="P323" s="913"/>
      <c r="Q323" s="913"/>
      <c r="R323" s="913"/>
      <c r="S323" s="913"/>
      <c r="T323" s="913"/>
      <c r="U323" s="913"/>
      <c r="V323" s="913"/>
      <c r="W323" s="913"/>
      <c r="X323" s="913"/>
      <c r="Y323" s="913"/>
      <c r="Z323" s="913"/>
      <c r="AA323" s="913"/>
      <c r="AB323" s="913"/>
      <c r="AC323" s="913"/>
      <c r="AD323" s="913"/>
    </row>
    <row r="324" spans="5:30">
      <c r="E324" s="913"/>
      <c r="F324" s="913"/>
      <c r="G324" s="913"/>
      <c r="H324" s="913"/>
      <c r="I324" s="913"/>
      <c r="J324" s="913"/>
      <c r="K324" s="913"/>
      <c r="L324" s="913"/>
      <c r="M324" s="913"/>
      <c r="N324" s="913"/>
      <c r="O324" s="913"/>
      <c r="P324" s="913"/>
      <c r="Q324" s="913"/>
      <c r="R324" s="913"/>
      <c r="S324" s="913"/>
      <c r="T324" s="913"/>
      <c r="U324" s="913"/>
      <c r="V324" s="913"/>
      <c r="W324" s="913"/>
      <c r="X324" s="913"/>
      <c r="Y324" s="913"/>
      <c r="Z324" s="913"/>
      <c r="AA324" s="913"/>
      <c r="AB324" s="913"/>
      <c r="AC324" s="913"/>
      <c r="AD324" s="913"/>
    </row>
    <row r="325" spans="5:30">
      <c r="E325" s="913"/>
      <c r="F325" s="913"/>
      <c r="G325" s="913"/>
      <c r="H325" s="913"/>
      <c r="I325" s="913"/>
      <c r="J325" s="913"/>
      <c r="K325" s="913"/>
      <c r="L325" s="913"/>
      <c r="M325" s="913"/>
      <c r="N325" s="913"/>
      <c r="O325" s="913"/>
      <c r="P325" s="913"/>
      <c r="Q325" s="913"/>
      <c r="R325" s="913"/>
      <c r="S325" s="913"/>
      <c r="T325" s="913"/>
      <c r="U325" s="913"/>
      <c r="V325" s="913"/>
      <c r="W325" s="913"/>
      <c r="X325" s="913"/>
      <c r="Y325" s="913"/>
      <c r="Z325" s="913"/>
      <c r="AA325" s="913"/>
      <c r="AB325" s="913"/>
      <c r="AC325" s="913"/>
      <c r="AD325" s="913"/>
    </row>
    <row r="326" spans="5:30">
      <c r="E326" s="913"/>
      <c r="F326" s="913"/>
      <c r="G326" s="913"/>
      <c r="H326" s="913"/>
      <c r="I326" s="913"/>
      <c r="J326" s="913"/>
      <c r="K326" s="913"/>
      <c r="L326" s="913"/>
      <c r="M326" s="913"/>
      <c r="N326" s="913"/>
      <c r="O326" s="913"/>
      <c r="P326" s="913"/>
      <c r="Q326" s="913"/>
      <c r="R326" s="913"/>
      <c r="S326" s="913"/>
      <c r="T326" s="913"/>
      <c r="U326" s="913"/>
      <c r="V326" s="913"/>
      <c r="W326" s="913"/>
      <c r="X326" s="913"/>
      <c r="Y326" s="913"/>
      <c r="Z326" s="913"/>
      <c r="AA326" s="913"/>
      <c r="AB326" s="913"/>
      <c r="AC326" s="913"/>
      <c r="AD326" s="913"/>
    </row>
    <row r="327" spans="5:30">
      <c r="E327" s="913"/>
      <c r="F327" s="913"/>
      <c r="G327" s="913"/>
      <c r="H327" s="913"/>
      <c r="I327" s="913"/>
      <c r="J327" s="913"/>
      <c r="K327" s="913"/>
      <c r="L327" s="913"/>
      <c r="M327" s="913"/>
      <c r="N327" s="913"/>
      <c r="O327" s="913"/>
      <c r="P327" s="913"/>
      <c r="Q327" s="913"/>
      <c r="R327" s="913"/>
      <c r="S327" s="913"/>
      <c r="T327" s="913"/>
      <c r="U327" s="913"/>
      <c r="V327" s="913"/>
      <c r="W327" s="913"/>
      <c r="X327" s="913"/>
      <c r="Y327" s="913"/>
      <c r="Z327" s="913"/>
      <c r="AA327" s="913"/>
      <c r="AB327" s="913"/>
      <c r="AC327" s="913"/>
      <c r="AD327" s="913"/>
    </row>
    <row r="328" spans="5:30">
      <c r="E328" s="913"/>
      <c r="F328" s="913"/>
      <c r="G328" s="913"/>
      <c r="H328" s="913"/>
      <c r="I328" s="913"/>
      <c r="J328" s="913"/>
      <c r="K328" s="913"/>
      <c r="L328" s="913"/>
      <c r="M328" s="913"/>
      <c r="N328" s="913"/>
      <c r="O328" s="913"/>
      <c r="P328" s="913"/>
      <c r="Q328" s="913"/>
      <c r="R328" s="913"/>
      <c r="S328" s="913"/>
      <c r="T328" s="913"/>
      <c r="U328" s="913"/>
      <c r="V328" s="913"/>
      <c r="W328" s="913"/>
      <c r="X328" s="913"/>
      <c r="Y328" s="913"/>
      <c r="Z328" s="913"/>
      <c r="AA328" s="913"/>
      <c r="AB328" s="913"/>
      <c r="AC328" s="913"/>
      <c r="AD328" s="913"/>
    </row>
    <row r="329" spans="5:30">
      <c r="E329" s="913"/>
      <c r="F329" s="913"/>
      <c r="G329" s="913"/>
      <c r="H329" s="913"/>
      <c r="I329" s="913"/>
      <c r="J329" s="913"/>
      <c r="K329" s="913"/>
      <c r="L329" s="913"/>
      <c r="M329" s="913"/>
      <c r="N329" s="913"/>
      <c r="O329" s="913"/>
      <c r="P329" s="913"/>
      <c r="Q329" s="913"/>
      <c r="R329" s="913"/>
      <c r="S329" s="913"/>
      <c r="T329" s="913"/>
      <c r="U329" s="913"/>
      <c r="V329" s="913"/>
      <c r="W329" s="913"/>
      <c r="X329" s="913"/>
      <c r="Y329" s="913"/>
      <c r="Z329" s="913"/>
      <c r="AA329" s="913"/>
      <c r="AB329" s="913"/>
      <c r="AC329" s="913"/>
      <c r="AD329" s="913"/>
    </row>
    <row r="330" spans="5:30">
      <c r="E330" s="913"/>
      <c r="F330" s="913"/>
      <c r="G330" s="913"/>
      <c r="H330" s="913"/>
      <c r="I330" s="913"/>
      <c r="J330" s="913"/>
      <c r="K330" s="913"/>
      <c r="L330" s="913"/>
      <c r="M330" s="913"/>
      <c r="N330" s="913"/>
      <c r="O330" s="913"/>
      <c r="P330" s="913"/>
      <c r="Q330" s="913"/>
      <c r="R330" s="913"/>
      <c r="S330" s="913"/>
      <c r="T330" s="913"/>
      <c r="U330" s="913"/>
      <c r="V330" s="913"/>
      <c r="W330" s="913"/>
      <c r="X330" s="913"/>
      <c r="Y330" s="913"/>
      <c r="Z330" s="913"/>
      <c r="AA330" s="913"/>
      <c r="AB330" s="913"/>
      <c r="AC330" s="913"/>
      <c r="AD330" s="913"/>
    </row>
    <row r="331" spans="5:30">
      <c r="E331" s="913"/>
      <c r="F331" s="913"/>
      <c r="G331" s="913"/>
      <c r="H331" s="913"/>
      <c r="I331" s="913"/>
      <c r="J331" s="913"/>
      <c r="K331" s="913"/>
      <c r="L331" s="913"/>
      <c r="M331" s="913"/>
      <c r="N331" s="913"/>
      <c r="O331" s="913"/>
      <c r="P331" s="913"/>
      <c r="Q331" s="913"/>
      <c r="R331" s="913"/>
      <c r="S331" s="913"/>
      <c r="T331" s="913"/>
      <c r="U331" s="913"/>
      <c r="V331" s="913"/>
      <c r="W331" s="913"/>
      <c r="X331" s="913"/>
      <c r="Y331" s="913"/>
      <c r="Z331" s="913"/>
      <c r="AA331" s="913"/>
      <c r="AB331" s="913"/>
      <c r="AC331" s="913"/>
      <c r="AD331" s="913"/>
    </row>
    <row r="332" spans="5:30">
      <c r="E332" s="913"/>
      <c r="F332" s="913"/>
      <c r="G332" s="913"/>
      <c r="H332" s="913"/>
      <c r="I332" s="913"/>
      <c r="J332" s="913"/>
      <c r="K332" s="913"/>
      <c r="L332" s="913"/>
      <c r="M332" s="913"/>
      <c r="N332" s="913"/>
      <c r="O332" s="913"/>
      <c r="P332" s="913"/>
      <c r="Q332" s="913"/>
      <c r="R332" s="913"/>
      <c r="S332" s="913"/>
      <c r="T332" s="913"/>
      <c r="U332" s="913"/>
      <c r="V332" s="913"/>
      <c r="W332" s="913"/>
      <c r="X332" s="913"/>
      <c r="Y332" s="913"/>
      <c r="Z332" s="913"/>
      <c r="AA332" s="913"/>
      <c r="AB332" s="913"/>
      <c r="AC332" s="913"/>
      <c r="AD332" s="913"/>
    </row>
    <row r="333" spans="5:30">
      <c r="E333" s="913"/>
      <c r="F333" s="913"/>
      <c r="G333" s="913"/>
      <c r="H333" s="913"/>
      <c r="I333" s="913"/>
      <c r="J333" s="913"/>
      <c r="K333" s="913"/>
      <c r="L333" s="913"/>
      <c r="M333" s="913"/>
      <c r="N333" s="913"/>
      <c r="O333" s="913"/>
      <c r="P333" s="913"/>
      <c r="Q333" s="913"/>
      <c r="R333" s="913"/>
      <c r="S333" s="913"/>
      <c r="T333" s="913"/>
      <c r="U333" s="913"/>
      <c r="V333" s="913"/>
      <c r="W333" s="913"/>
      <c r="X333" s="913"/>
      <c r="Y333" s="913"/>
      <c r="Z333" s="913"/>
      <c r="AA333" s="913"/>
      <c r="AB333" s="913"/>
      <c r="AC333" s="913"/>
      <c r="AD333" s="913"/>
    </row>
    <row r="334" spans="5:30">
      <c r="E334" s="913"/>
      <c r="F334" s="913"/>
      <c r="G334" s="913"/>
      <c r="H334" s="913"/>
      <c r="I334" s="913"/>
      <c r="J334" s="913"/>
      <c r="K334" s="913"/>
      <c r="L334" s="913"/>
      <c r="M334" s="913"/>
      <c r="N334" s="913"/>
      <c r="O334" s="913"/>
      <c r="P334" s="913"/>
      <c r="Q334" s="913"/>
      <c r="R334" s="913"/>
      <c r="S334" s="913"/>
      <c r="T334" s="913"/>
      <c r="U334" s="913"/>
      <c r="V334" s="913"/>
      <c r="W334" s="913"/>
      <c r="X334" s="913"/>
      <c r="Y334" s="913"/>
      <c r="Z334" s="913"/>
      <c r="AA334" s="913"/>
      <c r="AB334" s="913"/>
      <c r="AC334" s="913"/>
      <c r="AD334" s="913"/>
    </row>
    <row r="335" spans="5:30">
      <c r="E335" s="913"/>
      <c r="F335" s="913"/>
      <c r="G335" s="913"/>
      <c r="H335" s="913"/>
      <c r="I335" s="913"/>
      <c r="J335" s="913"/>
      <c r="K335" s="913"/>
      <c r="L335" s="913"/>
      <c r="M335" s="913"/>
      <c r="N335" s="913"/>
      <c r="O335" s="913"/>
      <c r="P335" s="913"/>
      <c r="Q335" s="913"/>
      <c r="R335" s="913"/>
      <c r="S335" s="913"/>
      <c r="T335" s="913"/>
      <c r="U335" s="913"/>
      <c r="V335" s="913"/>
      <c r="W335" s="913"/>
      <c r="X335" s="913"/>
      <c r="Y335" s="913"/>
      <c r="Z335" s="913"/>
      <c r="AA335" s="913"/>
      <c r="AB335" s="913"/>
      <c r="AC335" s="913"/>
      <c r="AD335" s="913"/>
    </row>
    <row r="336" spans="5:30">
      <c r="E336" s="913"/>
      <c r="F336" s="913"/>
      <c r="G336" s="913"/>
      <c r="H336" s="913"/>
      <c r="I336" s="913"/>
      <c r="J336" s="913"/>
      <c r="K336" s="913"/>
      <c r="L336" s="913"/>
      <c r="M336" s="913"/>
      <c r="N336" s="913"/>
      <c r="O336" s="913"/>
      <c r="P336" s="913"/>
      <c r="Q336" s="913"/>
      <c r="R336" s="913"/>
      <c r="S336" s="913"/>
      <c r="T336" s="913"/>
      <c r="U336" s="913"/>
      <c r="V336" s="913"/>
      <c r="W336" s="913"/>
      <c r="X336" s="913"/>
      <c r="Y336" s="913"/>
      <c r="Z336" s="913"/>
      <c r="AA336" s="913"/>
      <c r="AB336" s="913"/>
      <c r="AC336" s="913"/>
      <c r="AD336" s="913"/>
    </row>
    <row r="337" spans="5:30">
      <c r="E337" s="913"/>
      <c r="F337" s="913"/>
      <c r="G337" s="913"/>
      <c r="H337" s="913"/>
      <c r="I337" s="913"/>
      <c r="J337" s="913"/>
      <c r="K337" s="913"/>
      <c r="L337" s="913"/>
      <c r="M337" s="913"/>
      <c r="N337" s="913"/>
      <c r="O337" s="913"/>
      <c r="P337" s="913"/>
      <c r="Q337" s="913"/>
      <c r="R337" s="913"/>
      <c r="S337" s="913"/>
      <c r="T337" s="913"/>
      <c r="U337" s="913"/>
      <c r="V337" s="913"/>
      <c r="W337" s="913"/>
      <c r="X337" s="913"/>
      <c r="Y337" s="913"/>
      <c r="Z337" s="913"/>
      <c r="AA337" s="913"/>
      <c r="AB337" s="913"/>
      <c r="AC337" s="913"/>
      <c r="AD337" s="913"/>
    </row>
    <row r="338" spans="5:30">
      <c r="E338" s="913"/>
      <c r="F338" s="913"/>
      <c r="G338" s="913"/>
      <c r="H338" s="913"/>
      <c r="I338" s="913"/>
      <c r="J338" s="913"/>
      <c r="K338" s="913"/>
      <c r="L338" s="913"/>
      <c r="M338" s="913"/>
      <c r="N338" s="913"/>
      <c r="O338" s="913"/>
      <c r="P338" s="913"/>
      <c r="Q338" s="913"/>
      <c r="R338" s="913"/>
      <c r="S338" s="913"/>
      <c r="T338" s="913"/>
      <c r="U338" s="913"/>
      <c r="V338" s="913"/>
      <c r="W338" s="913"/>
      <c r="X338" s="913"/>
      <c r="Y338" s="913"/>
      <c r="Z338" s="913"/>
      <c r="AA338" s="913"/>
      <c r="AB338" s="913"/>
      <c r="AC338" s="913"/>
      <c r="AD338" s="913"/>
    </row>
    <row r="339" spans="5:30">
      <c r="E339" s="913"/>
      <c r="F339" s="913"/>
      <c r="G339" s="913"/>
      <c r="H339" s="913"/>
      <c r="I339" s="913"/>
      <c r="J339" s="913"/>
      <c r="K339" s="913"/>
      <c r="L339" s="913"/>
      <c r="M339" s="913"/>
      <c r="N339" s="913"/>
      <c r="O339" s="913"/>
      <c r="P339" s="913"/>
      <c r="Q339" s="913"/>
      <c r="R339" s="913"/>
      <c r="S339" s="913"/>
      <c r="T339" s="913"/>
      <c r="U339" s="913"/>
      <c r="V339" s="913"/>
      <c r="W339" s="913"/>
      <c r="X339" s="913"/>
      <c r="Y339" s="913"/>
      <c r="Z339" s="913"/>
      <c r="AA339" s="913"/>
      <c r="AB339" s="913"/>
      <c r="AC339" s="913"/>
      <c r="AD339" s="913"/>
    </row>
    <row r="340" spans="5:30">
      <c r="E340" s="913"/>
      <c r="F340" s="913"/>
      <c r="G340" s="913"/>
      <c r="H340" s="913"/>
      <c r="I340" s="913"/>
      <c r="J340" s="913"/>
      <c r="K340" s="913"/>
      <c r="L340" s="913"/>
      <c r="M340" s="913"/>
      <c r="N340" s="913"/>
      <c r="O340" s="913"/>
      <c r="P340" s="913"/>
      <c r="Q340" s="913"/>
      <c r="R340" s="913"/>
      <c r="S340" s="913"/>
      <c r="T340" s="913"/>
      <c r="U340" s="913"/>
      <c r="V340" s="913"/>
      <c r="W340" s="913"/>
      <c r="X340" s="913"/>
      <c r="Y340" s="913"/>
      <c r="Z340" s="913"/>
      <c r="AA340" s="913"/>
      <c r="AB340" s="913"/>
      <c r="AC340" s="913"/>
      <c r="AD340" s="913"/>
    </row>
    <row r="341" spans="5:30">
      <c r="E341" s="913"/>
      <c r="F341" s="913"/>
      <c r="G341" s="913"/>
      <c r="H341" s="913"/>
      <c r="I341" s="913"/>
      <c r="J341" s="913"/>
      <c r="K341" s="913"/>
      <c r="L341" s="913"/>
      <c r="M341" s="913"/>
      <c r="N341" s="913"/>
      <c r="O341" s="913"/>
      <c r="P341" s="913"/>
      <c r="Q341" s="913"/>
      <c r="R341" s="913"/>
      <c r="S341" s="913"/>
      <c r="T341" s="913"/>
      <c r="U341" s="913"/>
      <c r="V341" s="913"/>
      <c r="W341" s="913"/>
      <c r="X341" s="913"/>
      <c r="Y341" s="913"/>
      <c r="Z341" s="913"/>
      <c r="AA341" s="913"/>
      <c r="AB341" s="913"/>
      <c r="AC341" s="913"/>
      <c r="AD341" s="913"/>
    </row>
    <row r="342" spans="5:30">
      <c r="E342" s="913"/>
      <c r="F342" s="913"/>
      <c r="G342" s="913"/>
      <c r="H342" s="913"/>
      <c r="I342" s="913"/>
      <c r="J342" s="913"/>
      <c r="K342" s="913"/>
      <c r="L342" s="913"/>
      <c r="M342" s="913"/>
      <c r="N342" s="913"/>
      <c r="O342" s="913"/>
      <c r="P342" s="913"/>
      <c r="Q342" s="913"/>
      <c r="R342" s="913"/>
      <c r="S342" s="913"/>
      <c r="T342" s="913"/>
      <c r="U342" s="913"/>
      <c r="V342" s="913"/>
      <c r="W342" s="913"/>
      <c r="X342" s="913"/>
      <c r="Y342" s="913"/>
      <c r="Z342" s="913"/>
      <c r="AA342" s="913"/>
      <c r="AB342" s="913"/>
      <c r="AC342" s="913"/>
      <c r="AD342" s="913"/>
    </row>
    <row r="343" spans="5:30">
      <c r="E343" s="913"/>
      <c r="F343" s="913"/>
      <c r="G343" s="913"/>
      <c r="H343" s="913"/>
      <c r="I343" s="913"/>
      <c r="J343" s="913"/>
      <c r="K343" s="913"/>
      <c r="L343" s="913"/>
      <c r="M343" s="913"/>
      <c r="N343" s="913"/>
      <c r="O343" s="913"/>
      <c r="P343" s="913"/>
      <c r="Q343" s="913"/>
      <c r="R343" s="913"/>
      <c r="S343" s="913"/>
      <c r="T343" s="913"/>
      <c r="U343" s="913"/>
      <c r="V343" s="913"/>
      <c r="W343" s="913"/>
      <c r="X343" s="913"/>
      <c r="Y343" s="913"/>
      <c r="Z343" s="913"/>
      <c r="AA343" s="913"/>
      <c r="AB343" s="913"/>
      <c r="AC343" s="913"/>
      <c r="AD343" s="913"/>
    </row>
    <row r="344" spans="5:30">
      <c r="E344" s="913"/>
      <c r="F344" s="913"/>
      <c r="G344" s="913"/>
      <c r="H344" s="913"/>
      <c r="I344" s="913"/>
      <c r="J344" s="913"/>
      <c r="K344" s="913"/>
      <c r="L344" s="913"/>
      <c r="M344" s="913"/>
      <c r="N344" s="913"/>
      <c r="O344" s="913"/>
      <c r="P344" s="913"/>
      <c r="Q344" s="913"/>
      <c r="R344" s="913"/>
      <c r="S344" s="913"/>
      <c r="T344" s="913"/>
      <c r="U344" s="913"/>
      <c r="V344" s="913"/>
      <c r="W344" s="913"/>
      <c r="X344" s="913"/>
      <c r="Y344" s="913"/>
      <c r="Z344" s="913"/>
      <c r="AA344" s="913"/>
      <c r="AB344" s="913"/>
      <c r="AC344" s="913"/>
      <c r="AD344" s="913"/>
    </row>
    <row r="345" spans="5:30">
      <c r="E345" s="913"/>
      <c r="F345" s="913"/>
      <c r="G345" s="913"/>
      <c r="H345" s="913"/>
      <c r="I345" s="913"/>
      <c r="J345" s="913"/>
      <c r="K345" s="913"/>
      <c r="L345" s="913"/>
      <c r="M345" s="913"/>
      <c r="N345" s="913"/>
      <c r="O345" s="913"/>
      <c r="P345" s="913"/>
      <c r="Q345" s="913"/>
      <c r="R345" s="913"/>
      <c r="S345" s="913"/>
      <c r="T345" s="913"/>
      <c r="U345" s="913"/>
      <c r="V345" s="913"/>
      <c r="W345" s="913"/>
      <c r="X345" s="913"/>
      <c r="Y345" s="913"/>
      <c r="Z345" s="913"/>
      <c r="AA345" s="913"/>
      <c r="AB345" s="913"/>
      <c r="AC345" s="913"/>
      <c r="AD345" s="913"/>
    </row>
    <row r="346" spans="5:30">
      <c r="E346" s="913"/>
      <c r="F346" s="913"/>
      <c r="G346" s="913"/>
      <c r="H346" s="913"/>
      <c r="I346" s="913"/>
      <c r="J346" s="913"/>
      <c r="K346" s="913"/>
      <c r="L346" s="913"/>
      <c r="M346" s="913"/>
      <c r="N346" s="913"/>
      <c r="O346" s="913"/>
      <c r="P346" s="913"/>
      <c r="Q346" s="913"/>
      <c r="R346" s="913"/>
      <c r="S346" s="913"/>
      <c r="T346" s="913"/>
      <c r="U346" s="913"/>
      <c r="V346" s="913"/>
      <c r="W346" s="913"/>
      <c r="X346" s="913"/>
      <c r="Y346" s="913"/>
      <c r="Z346" s="913"/>
      <c r="AA346" s="913"/>
      <c r="AB346" s="913"/>
      <c r="AC346" s="913"/>
      <c r="AD346" s="913"/>
    </row>
    <row r="347" spans="5:30">
      <c r="E347" s="913"/>
      <c r="F347" s="913"/>
      <c r="G347" s="913"/>
      <c r="H347" s="913"/>
      <c r="I347" s="913"/>
      <c r="J347" s="913"/>
      <c r="K347" s="913"/>
      <c r="L347" s="913"/>
      <c r="M347" s="913"/>
      <c r="N347" s="913"/>
      <c r="O347" s="913"/>
      <c r="P347" s="913"/>
      <c r="Q347" s="913"/>
      <c r="R347" s="913"/>
      <c r="S347" s="913"/>
      <c r="T347" s="913"/>
      <c r="U347" s="913"/>
      <c r="V347" s="913"/>
      <c r="W347" s="913"/>
      <c r="X347" s="913"/>
      <c r="Y347" s="913"/>
      <c r="Z347" s="913"/>
      <c r="AA347" s="913"/>
      <c r="AB347" s="913"/>
      <c r="AC347" s="913"/>
      <c r="AD347" s="913"/>
    </row>
    <row r="348" spans="5:30">
      <c r="E348" s="913"/>
      <c r="F348" s="913"/>
      <c r="G348" s="913"/>
      <c r="H348" s="913"/>
      <c r="I348" s="913"/>
      <c r="J348" s="913"/>
      <c r="K348" s="913"/>
      <c r="L348" s="913"/>
      <c r="M348" s="913"/>
      <c r="N348" s="913"/>
      <c r="O348" s="913"/>
      <c r="P348" s="913"/>
      <c r="Q348" s="913"/>
      <c r="R348" s="913"/>
      <c r="S348" s="913"/>
      <c r="T348" s="913"/>
      <c r="U348" s="913"/>
      <c r="V348" s="913"/>
      <c r="W348" s="913"/>
      <c r="X348" s="913"/>
      <c r="Y348" s="913"/>
      <c r="Z348" s="913"/>
      <c r="AA348" s="913"/>
      <c r="AB348" s="913"/>
      <c r="AC348" s="913"/>
      <c r="AD348" s="913"/>
    </row>
    <row r="349" spans="5:30">
      <c r="E349" s="913"/>
      <c r="F349" s="913"/>
      <c r="G349" s="913"/>
      <c r="H349" s="913"/>
      <c r="I349" s="913"/>
      <c r="J349" s="913"/>
      <c r="K349" s="913"/>
      <c r="L349" s="913"/>
      <c r="M349" s="913"/>
      <c r="N349" s="913"/>
      <c r="O349" s="913"/>
      <c r="P349" s="913"/>
      <c r="Q349" s="913"/>
      <c r="R349" s="913"/>
      <c r="S349" s="913"/>
      <c r="T349" s="913"/>
      <c r="U349" s="913"/>
      <c r="V349" s="913"/>
      <c r="W349" s="913"/>
      <c r="X349" s="913"/>
      <c r="Y349" s="913"/>
      <c r="Z349" s="913"/>
      <c r="AA349" s="913"/>
      <c r="AB349" s="913"/>
      <c r="AC349" s="913"/>
      <c r="AD349" s="913"/>
    </row>
    <row r="350" spans="5:30">
      <c r="E350" s="913"/>
      <c r="F350" s="913"/>
      <c r="G350" s="913"/>
      <c r="H350" s="913"/>
      <c r="I350" s="913"/>
      <c r="J350" s="913"/>
      <c r="K350" s="913"/>
      <c r="L350" s="913"/>
      <c r="M350" s="913"/>
      <c r="N350" s="913"/>
      <c r="O350" s="913"/>
      <c r="P350" s="913"/>
      <c r="Q350" s="913"/>
      <c r="R350" s="913"/>
      <c r="S350" s="913"/>
      <c r="T350" s="913"/>
      <c r="U350" s="913"/>
      <c r="V350" s="913"/>
      <c r="W350" s="913"/>
      <c r="X350" s="913"/>
      <c r="Y350" s="913"/>
      <c r="Z350" s="913"/>
      <c r="AA350" s="913"/>
      <c r="AB350" s="913"/>
      <c r="AC350" s="913"/>
      <c r="AD350" s="913"/>
    </row>
    <row r="351" spans="5:30">
      <c r="E351" s="913"/>
      <c r="F351" s="913"/>
      <c r="G351" s="913"/>
      <c r="H351" s="913"/>
      <c r="I351" s="913"/>
      <c r="J351" s="913"/>
      <c r="K351" s="913"/>
      <c r="L351" s="913"/>
      <c r="M351" s="913"/>
      <c r="N351" s="913"/>
      <c r="O351" s="913"/>
      <c r="P351" s="913"/>
      <c r="Q351" s="913"/>
      <c r="R351" s="913"/>
      <c r="S351" s="913"/>
      <c r="T351" s="913"/>
      <c r="U351" s="913"/>
      <c r="V351" s="913"/>
      <c r="W351" s="913"/>
      <c r="X351" s="913"/>
      <c r="Y351" s="913"/>
      <c r="Z351" s="913"/>
      <c r="AA351" s="913"/>
      <c r="AB351" s="913"/>
      <c r="AC351" s="913"/>
      <c r="AD351" s="913"/>
    </row>
    <row r="352" spans="5:30">
      <c r="E352" s="913"/>
      <c r="F352" s="913"/>
      <c r="G352" s="913"/>
      <c r="H352" s="913"/>
      <c r="I352" s="913"/>
      <c r="J352" s="913"/>
      <c r="K352" s="913"/>
      <c r="L352" s="913"/>
      <c r="M352" s="913"/>
      <c r="N352" s="913"/>
      <c r="O352" s="913"/>
      <c r="P352" s="913"/>
      <c r="Q352" s="913"/>
      <c r="R352" s="913"/>
      <c r="S352" s="913"/>
      <c r="T352" s="913"/>
      <c r="U352" s="913"/>
      <c r="V352" s="913"/>
      <c r="W352" s="913"/>
      <c r="X352" s="913"/>
      <c r="Y352" s="913"/>
      <c r="Z352" s="913"/>
      <c r="AA352" s="913"/>
      <c r="AB352" s="913"/>
      <c r="AC352" s="913"/>
      <c r="AD352" s="913"/>
    </row>
    <row r="353" spans="5:30">
      <c r="E353" s="913"/>
      <c r="F353" s="913"/>
      <c r="G353" s="913"/>
      <c r="H353" s="913"/>
      <c r="I353" s="913"/>
      <c r="J353" s="913"/>
      <c r="K353" s="913"/>
      <c r="L353" s="913"/>
      <c r="M353" s="913"/>
      <c r="N353" s="913"/>
      <c r="O353" s="913"/>
      <c r="P353" s="913"/>
      <c r="Q353" s="913"/>
      <c r="R353" s="913"/>
      <c r="S353" s="913"/>
      <c r="T353" s="913"/>
      <c r="U353" s="913"/>
      <c r="V353" s="913"/>
      <c r="W353" s="913"/>
      <c r="X353" s="913"/>
      <c r="Y353" s="913"/>
      <c r="Z353" s="913"/>
      <c r="AA353" s="913"/>
      <c r="AB353" s="913"/>
      <c r="AC353" s="913"/>
      <c r="AD353" s="913"/>
    </row>
    <row r="354" spans="5:30">
      <c r="E354" s="913"/>
      <c r="F354" s="913"/>
      <c r="G354" s="913"/>
      <c r="H354" s="913"/>
      <c r="I354" s="913"/>
      <c r="J354" s="913"/>
      <c r="K354" s="913"/>
      <c r="L354" s="913"/>
      <c r="M354" s="913"/>
      <c r="N354" s="913"/>
      <c r="O354" s="913"/>
      <c r="P354" s="913"/>
      <c r="Q354" s="913"/>
      <c r="R354" s="913"/>
      <c r="S354" s="913"/>
      <c r="T354" s="913"/>
      <c r="U354" s="913"/>
      <c r="V354" s="913"/>
      <c r="W354" s="913"/>
      <c r="X354" s="913"/>
      <c r="Y354" s="913"/>
      <c r="Z354" s="913"/>
      <c r="AA354" s="913"/>
      <c r="AB354" s="913"/>
      <c r="AC354" s="913"/>
      <c r="AD354" s="913"/>
    </row>
    <row r="355" spans="5:30">
      <c r="E355" s="913"/>
      <c r="F355" s="913"/>
      <c r="G355" s="913"/>
      <c r="H355" s="913"/>
      <c r="I355" s="913"/>
      <c r="J355" s="913"/>
      <c r="K355" s="913"/>
      <c r="L355" s="913"/>
      <c r="M355" s="913"/>
      <c r="N355" s="913"/>
      <c r="O355" s="913"/>
      <c r="P355" s="913"/>
      <c r="Q355" s="913"/>
      <c r="R355" s="913"/>
      <c r="S355" s="913"/>
      <c r="T355" s="913"/>
      <c r="U355" s="913"/>
      <c r="V355" s="913"/>
      <c r="W355" s="913"/>
      <c r="X355" s="913"/>
      <c r="Y355" s="913"/>
      <c r="Z355" s="913"/>
      <c r="AA355" s="913"/>
      <c r="AB355" s="913"/>
      <c r="AC355" s="913"/>
      <c r="AD355" s="913"/>
    </row>
    <row r="356" spans="5:30">
      <c r="E356" s="913"/>
      <c r="F356" s="913"/>
      <c r="G356" s="913"/>
      <c r="H356" s="913"/>
      <c r="I356" s="913"/>
      <c r="J356" s="913"/>
      <c r="K356" s="913"/>
      <c r="L356" s="913"/>
      <c r="M356" s="913"/>
      <c r="N356" s="913"/>
      <c r="O356" s="913"/>
      <c r="P356" s="913"/>
      <c r="Q356" s="913"/>
      <c r="R356" s="913"/>
      <c r="S356" s="913"/>
      <c r="T356" s="913"/>
      <c r="U356" s="913"/>
      <c r="V356" s="913"/>
      <c r="W356" s="913"/>
      <c r="X356" s="913"/>
      <c r="Y356" s="913"/>
      <c r="Z356" s="913"/>
      <c r="AA356" s="913"/>
      <c r="AB356" s="913"/>
      <c r="AC356" s="913"/>
      <c r="AD356" s="913"/>
    </row>
    <row r="357" spans="5:30">
      <c r="E357" s="913"/>
      <c r="F357" s="913"/>
      <c r="G357" s="913"/>
      <c r="H357" s="913"/>
      <c r="I357" s="913"/>
      <c r="J357" s="913"/>
      <c r="K357" s="913"/>
      <c r="L357" s="913"/>
      <c r="M357" s="913"/>
      <c r="N357" s="913"/>
      <c r="O357" s="913"/>
      <c r="P357" s="913"/>
      <c r="Q357" s="913"/>
      <c r="R357" s="913"/>
      <c r="S357" s="913"/>
      <c r="T357" s="913"/>
      <c r="U357" s="913"/>
      <c r="V357" s="913"/>
      <c r="W357" s="913"/>
      <c r="X357" s="913"/>
      <c r="Y357" s="913"/>
      <c r="Z357" s="913"/>
      <c r="AA357" s="913"/>
      <c r="AB357" s="913"/>
      <c r="AC357" s="913"/>
      <c r="AD357" s="913"/>
    </row>
    <row r="358" spans="5:30">
      <c r="E358" s="913"/>
      <c r="F358" s="913"/>
      <c r="G358" s="913"/>
      <c r="H358" s="913"/>
      <c r="I358" s="913"/>
      <c r="J358" s="913"/>
      <c r="K358" s="913"/>
      <c r="L358" s="913"/>
      <c r="M358" s="913"/>
      <c r="N358" s="913"/>
      <c r="O358" s="913"/>
      <c r="P358" s="913"/>
      <c r="Q358" s="913"/>
      <c r="R358" s="913"/>
      <c r="S358" s="913"/>
      <c r="T358" s="913"/>
      <c r="U358" s="913"/>
      <c r="V358" s="913"/>
      <c r="W358" s="913"/>
      <c r="X358" s="913"/>
      <c r="Y358" s="913"/>
      <c r="Z358" s="913"/>
      <c r="AA358" s="913"/>
      <c r="AB358" s="913"/>
      <c r="AC358" s="913"/>
      <c r="AD358" s="913"/>
    </row>
    <row r="359" spans="5:30">
      <c r="E359" s="913"/>
      <c r="F359" s="913"/>
      <c r="G359" s="913"/>
      <c r="H359" s="913"/>
      <c r="I359" s="913"/>
      <c r="J359" s="913"/>
      <c r="K359" s="913"/>
      <c r="L359" s="913"/>
      <c r="M359" s="913"/>
      <c r="N359" s="913"/>
      <c r="O359" s="913"/>
      <c r="P359" s="913"/>
      <c r="Q359" s="913"/>
      <c r="R359" s="913"/>
      <c r="S359" s="913"/>
      <c r="T359" s="913"/>
      <c r="U359" s="913"/>
      <c r="V359" s="913"/>
      <c r="W359" s="913"/>
      <c r="X359" s="913"/>
      <c r="Y359" s="913"/>
      <c r="Z359" s="913"/>
      <c r="AA359" s="913"/>
      <c r="AB359" s="913"/>
      <c r="AC359" s="913"/>
      <c r="AD359" s="913"/>
    </row>
    <row r="360" spans="5:30">
      <c r="E360" s="913"/>
      <c r="F360" s="913"/>
      <c r="G360" s="913"/>
      <c r="H360" s="913"/>
      <c r="I360" s="913"/>
      <c r="J360" s="913"/>
      <c r="K360" s="913"/>
      <c r="L360" s="913"/>
      <c r="M360" s="913"/>
      <c r="N360" s="913"/>
      <c r="O360" s="913"/>
      <c r="P360" s="913"/>
      <c r="Q360" s="913"/>
      <c r="R360" s="913"/>
      <c r="S360" s="913"/>
      <c r="T360" s="913"/>
      <c r="U360" s="913"/>
      <c r="V360" s="913"/>
      <c r="W360" s="913"/>
      <c r="X360" s="913"/>
      <c r="Y360" s="913"/>
      <c r="Z360" s="913"/>
      <c r="AA360" s="913"/>
      <c r="AB360" s="913"/>
      <c r="AC360" s="913"/>
      <c r="AD360" s="913"/>
    </row>
    <row r="361" spans="5:30">
      <c r="E361" s="913"/>
      <c r="F361" s="913"/>
      <c r="G361" s="913"/>
      <c r="H361" s="913"/>
      <c r="I361" s="913"/>
      <c r="J361" s="913"/>
      <c r="K361" s="913"/>
      <c r="L361" s="913"/>
      <c r="M361" s="913"/>
      <c r="N361" s="913"/>
      <c r="O361" s="913"/>
      <c r="P361" s="913"/>
      <c r="Q361" s="913"/>
      <c r="R361" s="913"/>
      <c r="S361" s="913"/>
      <c r="T361" s="913"/>
      <c r="U361" s="913"/>
      <c r="V361" s="913"/>
      <c r="W361" s="913"/>
      <c r="X361" s="913"/>
      <c r="Y361" s="913"/>
      <c r="Z361" s="913"/>
      <c r="AA361" s="913"/>
      <c r="AB361" s="913"/>
      <c r="AC361" s="913"/>
      <c r="AD361" s="913"/>
    </row>
    <row r="362" spans="5:30">
      <c r="E362" s="913"/>
      <c r="F362" s="913"/>
      <c r="G362" s="913"/>
      <c r="H362" s="913"/>
      <c r="I362" s="913"/>
      <c r="J362" s="913"/>
      <c r="K362" s="913"/>
      <c r="L362" s="913"/>
      <c r="M362" s="913"/>
      <c r="N362" s="913"/>
      <c r="O362" s="913"/>
      <c r="P362" s="913"/>
      <c r="Q362" s="913"/>
      <c r="R362" s="913"/>
      <c r="S362" s="913"/>
      <c r="T362" s="913"/>
      <c r="U362" s="913"/>
      <c r="V362" s="913"/>
      <c r="W362" s="913"/>
      <c r="X362" s="913"/>
      <c r="Y362" s="913"/>
      <c r="Z362" s="913"/>
      <c r="AA362" s="913"/>
      <c r="AB362" s="913"/>
      <c r="AC362" s="913"/>
      <c r="AD362" s="913"/>
    </row>
    <row r="363" spans="5:30">
      <c r="E363" s="913"/>
      <c r="F363" s="913"/>
      <c r="G363" s="913"/>
      <c r="H363" s="913"/>
      <c r="I363" s="913"/>
      <c r="J363" s="913"/>
      <c r="K363" s="913"/>
      <c r="L363" s="913"/>
      <c r="M363" s="913"/>
      <c r="N363" s="913"/>
      <c r="O363" s="913"/>
      <c r="P363" s="913"/>
      <c r="Q363" s="913"/>
      <c r="R363" s="913"/>
      <c r="S363" s="913"/>
      <c r="T363" s="913"/>
      <c r="U363" s="913"/>
      <c r="V363" s="913"/>
      <c r="W363" s="913"/>
      <c r="X363" s="913"/>
      <c r="Y363" s="913"/>
      <c r="Z363" s="913"/>
      <c r="AA363" s="913"/>
      <c r="AB363" s="913"/>
      <c r="AC363" s="913"/>
      <c r="AD363" s="913"/>
    </row>
    <row r="364" spans="5:30">
      <c r="E364" s="913"/>
      <c r="F364" s="913"/>
      <c r="G364" s="913"/>
      <c r="H364" s="913"/>
      <c r="I364" s="913"/>
      <c r="J364" s="913"/>
      <c r="K364" s="913"/>
      <c r="L364" s="913"/>
      <c r="M364" s="913"/>
      <c r="N364" s="913"/>
      <c r="O364" s="913"/>
      <c r="P364" s="913"/>
      <c r="Q364" s="913"/>
      <c r="R364" s="913"/>
      <c r="S364" s="913"/>
      <c r="T364" s="913"/>
      <c r="U364" s="913"/>
      <c r="V364" s="913"/>
      <c r="W364" s="913"/>
      <c r="X364" s="913"/>
      <c r="Y364" s="913"/>
      <c r="Z364" s="913"/>
      <c r="AA364" s="913"/>
      <c r="AB364" s="913"/>
      <c r="AC364" s="913"/>
      <c r="AD364" s="913"/>
    </row>
    <row r="365" spans="5:30">
      <c r="E365" s="913"/>
      <c r="F365" s="913"/>
      <c r="G365" s="913"/>
      <c r="H365" s="913"/>
      <c r="I365" s="913"/>
      <c r="J365" s="913"/>
      <c r="K365" s="913"/>
      <c r="L365" s="913"/>
      <c r="M365" s="913"/>
      <c r="N365" s="913"/>
      <c r="O365" s="913"/>
      <c r="P365" s="913"/>
      <c r="Q365" s="913"/>
      <c r="R365" s="913"/>
      <c r="S365" s="913"/>
      <c r="T365" s="913"/>
      <c r="U365" s="913"/>
      <c r="V365" s="913"/>
      <c r="W365" s="913"/>
      <c r="X365" s="913"/>
      <c r="Y365" s="913"/>
      <c r="Z365" s="913"/>
      <c r="AA365" s="913"/>
      <c r="AB365" s="913"/>
      <c r="AC365" s="913"/>
      <c r="AD365" s="913"/>
    </row>
    <row r="366" spans="5:30">
      <c r="E366" s="913"/>
      <c r="F366" s="913"/>
      <c r="G366" s="913"/>
      <c r="H366" s="913"/>
      <c r="I366" s="913"/>
      <c r="J366" s="913"/>
      <c r="K366" s="913"/>
      <c r="L366" s="913"/>
      <c r="M366" s="913"/>
      <c r="N366" s="913"/>
      <c r="O366" s="913"/>
      <c r="P366" s="913"/>
      <c r="Q366" s="913"/>
      <c r="R366" s="913"/>
      <c r="S366" s="913"/>
      <c r="T366" s="913"/>
      <c r="U366" s="913"/>
      <c r="V366" s="913"/>
      <c r="W366" s="913"/>
      <c r="X366" s="913"/>
      <c r="Y366" s="913"/>
      <c r="Z366" s="913"/>
      <c r="AA366" s="913"/>
      <c r="AB366" s="913"/>
      <c r="AC366" s="913"/>
      <c r="AD366" s="913"/>
    </row>
    <row r="367" spans="5:30">
      <c r="E367" s="913"/>
      <c r="F367" s="913"/>
      <c r="G367" s="913"/>
      <c r="H367" s="913"/>
      <c r="I367" s="913"/>
      <c r="J367" s="913"/>
      <c r="K367" s="913"/>
      <c r="L367" s="913"/>
      <c r="M367" s="913"/>
      <c r="N367" s="913"/>
      <c r="O367" s="913"/>
      <c r="P367" s="913"/>
      <c r="Q367" s="913"/>
      <c r="R367" s="913"/>
      <c r="S367" s="913"/>
      <c r="T367" s="913"/>
      <c r="U367" s="913"/>
      <c r="V367" s="913"/>
      <c r="W367" s="913"/>
      <c r="X367" s="913"/>
      <c r="Y367" s="913"/>
      <c r="Z367" s="913"/>
      <c r="AA367" s="913"/>
      <c r="AB367" s="913"/>
      <c r="AC367" s="913"/>
      <c r="AD367" s="913"/>
    </row>
    <row r="368" spans="5:30">
      <c r="E368" s="913"/>
      <c r="F368" s="913"/>
      <c r="G368" s="913"/>
      <c r="H368" s="913"/>
      <c r="I368" s="913"/>
      <c r="J368" s="913"/>
      <c r="K368" s="913"/>
      <c r="L368" s="913"/>
      <c r="M368" s="913"/>
      <c r="N368" s="913"/>
      <c r="O368" s="913"/>
      <c r="P368" s="913"/>
      <c r="Q368" s="913"/>
      <c r="R368" s="913"/>
      <c r="S368" s="913"/>
      <c r="T368" s="913"/>
      <c r="U368" s="913"/>
      <c r="V368" s="913"/>
      <c r="W368" s="913"/>
      <c r="X368" s="913"/>
      <c r="Y368" s="913"/>
      <c r="Z368" s="913"/>
      <c r="AA368" s="913"/>
      <c r="AB368" s="913"/>
      <c r="AC368" s="913"/>
      <c r="AD368" s="913"/>
    </row>
    <row r="369" spans="5:30">
      <c r="E369" s="913"/>
      <c r="F369" s="913"/>
      <c r="G369" s="913"/>
      <c r="H369" s="913"/>
      <c r="I369" s="913"/>
      <c r="J369" s="913"/>
      <c r="K369" s="913"/>
      <c r="L369" s="913"/>
      <c r="M369" s="913"/>
      <c r="N369" s="913"/>
      <c r="O369" s="913"/>
      <c r="P369" s="913"/>
      <c r="Q369" s="913"/>
      <c r="R369" s="913"/>
      <c r="S369" s="913"/>
      <c r="T369" s="913"/>
      <c r="U369" s="913"/>
      <c r="V369" s="913"/>
      <c r="W369" s="913"/>
      <c r="X369" s="913"/>
      <c r="Y369" s="913"/>
      <c r="Z369" s="913"/>
      <c r="AA369" s="913"/>
      <c r="AB369" s="913"/>
      <c r="AC369" s="913"/>
      <c r="AD369" s="913"/>
    </row>
    <row r="370" spans="5:30">
      <c r="E370" s="913"/>
      <c r="F370" s="913"/>
      <c r="G370" s="913"/>
      <c r="H370" s="913"/>
      <c r="I370" s="913"/>
      <c r="J370" s="913"/>
      <c r="K370" s="913"/>
      <c r="L370" s="913"/>
      <c r="M370" s="913"/>
      <c r="N370" s="913"/>
      <c r="O370" s="913"/>
      <c r="P370" s="913"/>
      <c r="Q370" s="913"/>
      <c r="R370" s="913"/>
      <c r="S370" s="913"/>
      <c r="T370" s="913"/>
      <c r="U370" s="913"/>
      <c r="V370" s="913"/>
      <c r="W370" s="913"/>
      <c r="X370" s="913"/>
      <c r="Y370" s="913"/>
      <c r="Z370" s="913"/>
      <c r="AA370" s="913"/>
      <c r="AB370" s="913"/>
      <c r="AC370" s="913"/>
      <c r="AD370" s="913"/>
    </row>
    <row r="371" spans="5:30">
      <c r="E371" s="913"/>
      <c r="F371" s="913"/>
      <c r="G371" s="913"/>
      <c r="H371" s="913"/>
      <c r="I371" s="913"/>
      <c r="J371" s="913"/>
      <c r="K371" s="913"/>
      <c r="L371" s="913"/>
      <c r="M371" s="913"/>
      <c r="N371" s="913"/>
      <c r="O371" s="913"/>
      <c r="P371" s="913"/>
      <c r="Q371" s="913"/>
      <c r="R371" s="913"/>
      <c r="S371" s="913"/>
      <c r="T371" s="913"/>
      <c r="U371" s="913"/>
      <c r="V371" s="913"/>
      <c r="W371" s="913"/>
      <c r="X371" s="913"/>
      <c r="Y371" s="913"/>
      <c r="Z371" s="913"/>
      <c r="AA371" s="913"/>
      <c r="AB371" s="913"/>
      <c r="AC371" s="913"/>
      <c r="AD371" s="913"/>
    </row>
    <row r="372" spans="5:30">
      <c r="E372" s="913"/>
      <c r="F372" s="913"/>
      <c r="G372" s="913"/>
      <c r="H372" s="913"/>
      <c r="I372" s="913"/>
      <c r="J372" s="913"/>
      <c r="K372" s="913"/>
      <c r="L372" s="913"/>
      <c r="M372" s="913"/>
      <c r="N372" s="913"/>
      <c r="O372" s="913"/>
      <c r="P372" s="913"/>
      <c r="Q372" s="913"/>
      <c r="R372" s="913"/>
      <c r="S372" s="913"/>
      <c r="T372" s="913"/>
      <c r="U372" s="913"/>
      <c r="V372" s="913"/>
      <c r="W372" s="913"/>
      <c r="X372" s="913"/>
      <c r="Y372" s="913"/>
      <c r="Z372" s="913"/>
      <c r="AA372" s="913"/>
      <c r="AB372" s="913"/>
      <c r="AC372" s="913"/>
      <c r="AD372" s="913"/>
    </row>
    <row r="373" spans="5:30">
      <c r="E373" s="913"/>
      <c r="F373" s="913"/>
      <c r="G373" s="913"/>
      <c r="H373" s="913"/>
      <c r="I373" s="913"/>
      <c r="J373" s="913"/>
      <c r="K373" s="913"/>
      <c r="L373" s="913"/>
      <c r="M373" s="913"/>
      <c r="N373" s="913"/>
      <c r="O373" s="913"/>
      <c r="P373" s="913"/>
      <c r="Q373" s="913"/>
      <c r="R373" s="913"/>
      <c r="S373" s="913"/>
      <c r="T373" s="913"/>
      <c r="U373" s="913"/>
      <c r="V373" s="913"/>
      <c r="W373" s="913"/>
      <c r="X373" s="913"/>
      <c r="Y373" s="913"/>
      <c r="Z373" s="913"/>
      <c r="AA373" s="913"/>
      <c r="AB373" s="913"/>
      <c r="AC373" s="913"/>
      <c r="AD373" s="913"/>
    </row>
    <row r="374" spans="5:30">
      <c r="E374" s="913"/>
      <c r="F374" s="913"/>
      <c r="G374" s="913"/>
      <c r="H374" s="913"/>
      <c r="I374" s="913"/>
      <c r="J374" s="913"/>
      <c r="K374" s="913"/>
      <c r="L374" s="913"/>
      <c r="M374" s="913"/>
      <c r="N374" s="913"/>
      <c r="O374" s="913"/>
      <c r="P374" s="913"/>
      <c r="Q374" s="913"/>
      <c r="R374" s="913"/>
      <c r="S374" s="913"/>
      <c r="T374" s="913"/>
      <c r="U374" s="913"/>
      <c r="V374" s="913"/>
      <c r="W374" s="913"/>
      <c r="X374" s="913"/>
      <c r="Y374" s="913"/>
      <c r="Z374" s="913"/>
      <c r="AA374" s="913"/>
      <c r="AB374" s="913"/>
      <c r="AC374" s="913"/>
      <c r="AD374" s="913"/>
    </row>
    <row r="375" spans="5:30">
      <c r="E375" s="913"/>
      <c r="F375" s="913"/>
      <c r="G375" s="913"/>
      <c r="H375" s="913"/>
      <c r="I375" s="913"/>
      <c r="J375" s="913"/>
      <c r="K375" s="913"/>
      <c r="L375" s="913"/>
      <c r="M375" s="913"/>
      <c r="N375" s="913"/>
      <c r="O375" s="913"/>
      <c r="P375" s="913"/>
      <c r="Q375" s="913"/>
      <c r="R375" s="913"/>
      <c r="S375" s="913"/>
      <c r="T375" s="913"/>
      <c r="U375" s="913"/>
      <c r="V375" s="913"/>
      <c r="W375" s="913"/>
      <c r="X375" s="913"/>
      <c r="Y375" s="913"/>
      <c r="Z375" s="913"/>
      <c r="AA375" s="913"/>
      <c r="AB375" s="913"/>
      <c r="AC375" s="913"/>
      <c r="AD375" s="913"/>
    </row>
    <row r="376" spans="5:30">
      <c r="E376" s="913"/>
      <c r="F376" s="913"/>
      <c r="G376" s="913"/>
      <c r="H376" s="913"/>
      <c r="I376" s="913"/>
      <c r="J376" s="913"/>
      <c r="K376" s="913"/>
      <c r="L376" s="913"/>
      <c r="M376" s="913"/>
      <c r="N376" s="913"/>
      <c r="O376" s="913"/>
      <c r="P376" s="913"/>
      <c r="Q376" s="913"/>
      <c r="R376" s="913"/>
      <c r="S376" s="913"/>
      <c r="T376" s="913"/>
      <c r="U376" s="913"/>
      <c r="V376" s="913"/>
      <c r="W376" s="913"/>
      <c r="X376" s="913"/>
      <c r="Y376" s="913"/>
      <c r="Z376" s="913"/>
      <c r="AA376" s="913"/>
      <c r="AB376" s="913"/>
      <c r="AC376" s="913"/>
      <c r="AD376" s="913"/>
    </row>
    <row r="377" spans="5:30">
      <c r="E377" s="913"/>
      <c r="F377" s="913"/>
      <c r="G377" s="913"/>
      <c r="H377" s="913"/>
      <c r="I377" s="913"/>
      <c r="J377" s="913"/>
      <c r="K377" s="913"/>
      <c r="L377" s="913"/>
      <c r="M377" s="913"/>
      <c r="N377" s="913"/>
      <c r="O377" s="913"/>
      <c r="P377" s="913"/>
      <c r="Q377" s="913"/>
      <c r="R377" s="913"/>
      <c r="S377" s="913"/>
      <c r="T377" s="913"/>
      <c r="U377" s="913"/>
      <c r="V377" s="913"/>
      <c r="W377" s="913"/>
      <c r="X377" s="913"/>
      <c r="Y377" s="913"/>
      <c r="Z377" s="913"/>
      <c r="AA377" s="913"/>
      <c r="AB377" s="913"/>
      <c r="AC377" s="913"/>
      <c r="AD377" s="913"/>
    </row>
    <row r="378" spans="5:30">
      <c r="E378" s="913"/>
      <c r="F378" s="913"/>
      <c r="G378" s="913"/>
      <c r="H378" s="913"/>
      <c r="I378" s="913"/>
      <c r="J378" s="913"/>
      <c r="K378" s="913"/>
      <c r="L378" s="913"/>
      <c r="M378" s="913"/>
      <c r="N378" s="913"/>
      <c r="O378" s="913"/>
      <c r="P378" s="913"/>
      <c r="Q378" s="913"/>
      <c r="R378" s="913"/>
      <c r="S378" s="913"/>
      <c r="T378" s="913"/>
      <c r="U378" s="913"/>
      <c r="V378" s="913"/>
      <c r="W378" s="913"/>
      <c r="X378" s="913"/>
      <c r="Y378" s="913"/>
      <c r="Z378" s="913"/>
      <c r="AA378" s="913"/>
      <c r="AB378" s="913"/>
      <c r="AC378" s="913"/>
      <c r="AD378" s="913"/>
    </row>
    <row r="379" spans="5:30">
      <c r="E379" s="913"/>
      <c r="F379" s="913"/>
      <c r="G379" s="913"/>
      <c r="H379" s="913"/>
      <c r="I379" s="913"/>
      <c r="J379" s="913"/>
      <c r="K379" s="913"/>
      <c r="L379" s="913"/>
      <c r="M379" s="913"/>
      <c r="N379" s="913"/>
      <c r="O379" s="913"/>
      <c r="P379" s="913"/>
      <c r="Q379" s="913"/>
      <c r="R379" s="913"/>
      <c r="S379" s="913"/>
      <c r="T379" s="913"/>
      <c r="U379" s="913"/>
      <c r="V379" s="913"/>
      <c r="W379" s="913"/>
      <c r="X379" s="913"/>
      <c r="Y379" s="913"/>
      <c r="Z379" s="913"/>
      <c r="AA379" s="913"/>
      <c r="AB379" s="913"/>
      <c r="AC379" s="913"/>
      <c r="AD379" s="913"/>
    </row>
    <row r="380" spans="5:30">
      <c r="E380" s="913"/>
      <c r="F380" s="913"/>
      <c r="G380" s="913"/>
      <c r="H380" s="913"/>
      <c r="I380" s="913"/>
      <c r="J380" s="913"/>
      <c r="K380" s="913"/>
      <c r="L380" s="913"/>
      <c r="M380" s="913"/>
      <c r="N380" s="913"/>
      <c r="O380" s="913"/>
      <c r="P380" s="913"/>
      <c r="Q380" s="913"/>
      <c r="R380" s="913"/>
      <c r="S380" s="913"/>
      <c r="T380" s="913"/>
      <c r="U380" s="913"/>
      <c r="V380" s="913"/>
      <c r="W380" s="913"/>
      <c r="X380" s="913"/>
      <c r="Y380" s="913"/>
      <c r="Z380" s="913"/>
      <c r="AA380" s="913"/>
      <c r="AB380" s="913"/>
      <c r="AC380" s="913"/>
      <c r="AD380" s="913"/>
    </row>
    <row r="381" spans="5:30">
      <c r="E381" s="913"/>
      <c r="F381" s="913"/>
      <c r="G381" s="913"/>
      <c r="H381" s="913"/>
      <c r="I381" s="913"/>
      <c r="J381" s="913"/>
      <c r="K381" s="913"/>
      <c r="L381" s="913"/>
      <c r="M381" s="913"/>
      <c r="N381" s="913"/>
      <c r="O381" s="913"/>
      <c r="P381" s="913"/>
      <c r="Q381" s="913"/>
      <c r="R381" s="913"/>
      <c r="S381" s="913"/>
      <c r="T381" s="913"/>
      <c r="U381" s="913"/>
      <c r="V381" s="913"/>
      <c r="W381" s="913"/>
      <c r="X381" s="913"/>
      <c r="Y381" s="913"/>
      <c r="Z381" s="913"/>
      <c r="AA381" s="913"/>
      <c r="AB381" s="913"/>
      <c r="AC381" s="913"/>
      <c r="AD381" s="913"/>
    </row>
    <row r="382" spans="5:30">
      <c r="E382" s="913"/>
      <c r="F382" s="913"/>
      <c r="G382" s="913"/>
      <c r="H382" s="913"/>
      <c r="I382" s="913"/>
      <c r="J382" s="913"/>
      <c r="K382" s="913"/>
      <c r="L382" s="913"/>
      <c r="M382" s="913"/>
      <c r="N382" s="913"/>
      <c r="O382" s="913"/>
      <c r="P382" s="913"/>
      <c r="Q382" s="913"/>
      <c r="R382" s="913"/>
      <c r="S382" s="913"/>
      <c r="T382" s="913"/>
      <c r="U382" s="913"/>
      <c r="V382" s="913"/>
      <c r="W382" s="913"/>
      <c r="X382" s="913"/>
      <c r="Y382" s="913"/>
      <c r="Z382" s="913"/>
      <c r="AA382" s="913"/>
      <c r="AB382" s="913"/>
      <c r="AC382" s="913"/>
      <c r="AD382" s="913"/>
    </row>
    <row r="383" spans="5:30">
      <c r="E383" s="913"/>
      <c r="F383" s="913"/>
      <c r="G383" s="913"/>
      <c r="H383" s="913"/>
      <c r="I383" s="913"/>
      <c r="J383" s="913"/>
      <c r="K383" s="913"/>
      <c r="L383" s="913"/>
      <c r="M383" s="913"/>
      <c r="N383" s="913"/>
      <c r="O383" s="913"/>
      <c r="P383" s="913"/>
      <c r="Q383" s="913"/>
      <c r="R383" s="913"/>
      <c r="S383" s="913"/>
      <c r="T383" s="913"/>
      <c r="U383" s="913"/>
      <c r="V383" s="913"/>
      <c r="W383" s="913"/>
      <c r="X383" s="913"/>
      <c r="Y383" s="913"/>
      <c r="Z383" s="913"/>
      <c r="AA383" s="913"/>
      <c r="AB383" s="913"/>
      <c r="AC383" s="913"/>
      <c r="AD383" s="913"/>
    </row>
    <row r="384" spans="5:30">
      <c r="E384" s="913"/>
      <c r="F384" s="913"/>
      <c r="G384" s="913"/>
      <c r="H384" s="913"/>
      <c r="I384" s="913"/>
      <c r="J384" s="913"/>
      <c r="K384" s="913"/>
      <c r="L384" s="913"/>
      <c r="M384" s="913"/>
      <c r="N384" s="913"/>
      <c r="O384" s="913"/>
      <c r="P384" s="913"/>
      <c r="Q384" s="913"/>
      <c r="R384" s="913"/>
      <c r="S384" s="913"/>
      <c r="T384" s="913"/>
      <c r="U384" s="913"/>
      <c r="V384" s="913"/>
      <c r="W384" s="913"/>
      <c r="X384" s="913"/>
      <c r="Y384" s="913"/>
      <c r="Z384" s="913"/>
      <c r="AA384" s="913"/>
      <c r="AB384" s="913"/>
      <c r="AC384" s="913"/>
      <c r="AD384" s="913"/>
    </row>
    <row r="385" spans="5:30">
      <c r="E385" s="913"/>
      <c r="F385" s="913"/>
      <c r="G385" s="913"/>
      <c r="H385" s="913"/>
      <c r="I385" s="913"/>
      <c r="J385" s="913"/>
      <c r="K385" s="913"/>
      <c r="L385" s="913"/>
      <c r="M385" s="913"/>
      <c r="N385" s="913"/>
      <c r="O385" s="913"/>
      <c r="P385" s="913"/>
      <c r="Q385" s="913"/>
      <c r="R385" s="913"/>
      <c r="S385" s="913"/>
      <c r="T385" s="913"/>
      <c r="U385" s="913"/>
      <c r="V385" s="913"/>
      <c r="W385" s="913"/>
      <c r="X385" s="913"/>
      <c r="Y385" s="913"/>
      <c r="Z385" s="913"/>
      <c r="AA385" s="913"/>
      <c r="AB385" s="913"/>
      <c r="AC385" s="913"/>
      <c r="AD385" s="913"/>
    </row>
    <row r="386" spans="5:30">
      <c r="E386" s="913"/>
      <c r="F386" s="913"/>
      <c r="G386" s="913"/>
      <c r="H386" s="913"/>
      <c r="I386" s="913"/>
      <c r="J386" s="913"/>
      <c r="K386" s="913"/>
      <c r="L386" s="913"/>
      <c r="M386" s="913"/>
      <c r="N386" s="913"/>
      <c r="O386" s="913"/>
      <c r="P386" s="913"/>
      <c r="Q386" s="913"/>
      <c r="R386" s="913"/>
      <c r="S386" s="913"/>
      <c r="T386" s="913"/>
      <c r="U386" s="913"/>
      <c r="V386" s="913"/>
      <c r="W386" s="913"/>
      <c r="X386" s="913"/>
      <c r="Y386" s="913"/>
      <c r="Z386" s="913"/>
      <c r="AA386" s="913"/>
      <c r="AB386" s="913"/>
      <c r="AC386" s="913"/>
      <c r="AD386" s="913"/>
    </row>
    <row r="387" spans="5:30">
      <c r="E387" s="913"/>
      <c r="F387" s="913"/>
      <c r="G387" s="913"/>
      <c r="H387" s="913"/>
      <c r="I387" s="913"/>
      <c r="J387" s="913"/>
      <c r="K387" s="913"/>
      <c r="L387" s="913"/>
      <c r="M387" s="913"/>
      <c r="N387" s="913"/>
      <c r="O387" s="913"/>
      <c r="P387" s="913"/>
      <c r="Q387" s="913"/>
      <c r="R387" s="913"/>
      <c r="S387" s="913"/>
      <c r="T387" s="913"/>
      <c r="U387" s="913"/>
      <c r="V387" s="913"/>
      <c r="W387" s="913"/>
      <c r="X387" s="913"/>
      <c r="Y387" s="913"/>
      <c r="Z387" s="913"/>
      <c r="AA387" s="913"/>
      <c r="AB387" s="913"/>
      <c r="AC387" s="913"/>
      <c r="AD387" s="913"/>
    </row>
    <row r="388" spans="5:30">
      <c r="E388" s="913"/>
      <c r="F388" s="913"/>
      <c r="G388" s="913"/>
      <c r="H388" s="913"/>
      <c r="I388" s="913"/>
      <c r="J388" s="913"/>
      <c r="K388" s="913"/>
      <c r="L388" s="913"/>
      <c r="M388" s="913"/>
      <c r="N388" s="913"/>
      <c r="O388" s="913"/>
      <c r="P388" s="913"/>
      <c r="Q388" s="913"/>
      <c r="R388" s="913"/>
      <c r="S388" s="913"/>
      <c r="T388" s="913"/>
      <c r="U388" s="913"/>
      <c r="V388" s="913"/>
      <c r="W388" s="913"/>
      <c r="X388" s="913"/>
      <c r="Y388" s="913"/>
      <c r="Z388" s="913"/>
      <c r="AA388" s="913"/>
      <c r="AB388" s="913"/>
      <c r="AC388" s="913"/>
      <c r="AD388" s="913"/>
    </row>
    <row r="389" spans="5:30">
      <c r="E389" s="913"/>
      <c r="F389" s="913"/>
      <c r="G389" s="913"/>
      <c r="H389" s="913"/>
      <c r="I389" s="913"/>
      <c r="J389" s="913"/>
      <c r="K389" s="913"/>
      <c r="L389" s="913"/>
      <c r="M389" s="913"/>
      <c r="N389" s="913"/>
      <c r="O389" s="913"/>
      <c r="P389" s="913"/>
      <c r="Q389" s="913"/>
      <c r="R389" s="913"/>
      <c r="S389" s="913"/>
      <c r="T389" s="913"/>
      <c r="U389" s="913"/>
      <c r="V389" s="913"/>
      <c r="W389" s="913"/>
      <c r="X389" s="913"/>
      <c r="Y389" s="913"/>
      <c r="Z389" s="913"/>
      <c r="AA389" s="913"/>
      <c r="AB389" s="913"/>
      <c r="AC389" s="913"/>
      <c r="AD389" s="913"/>
    </row>
    <row r="390" spans="5:30">
      <c r="E390" s="913"/>
      <c r="F390" s="913"/>
      <c r="G390" s="913"/>
      <c r="H390" s="913"/>
      <c r="I390" s="913"/>
      <c r="J390" s="913"/>
      <c r="K390" s="913"/>
      <c r="L390" s="913"/>
      <c r="M390" s="913"/>
      <c r="N390" s="913"/>
      <c r="O390" s="913"/>
      <c r="P390" s="913"/>
      <c r="Q390" s="913"/>
      <c r="R390" s="913"/>
      <c r="S390" s="913"/>
      <c r="T390" s="913"/>
      <c r="U390" s="913"/>
      <c r="V390" s="913"/>
      <c r="W390" s="913"/>
      <c r="X390" s="913"/>
      <c r="Y390" s="913"/>
      <c r="Z390" s="913"/>
      <c r="AA390" s="913"/>
      <c r="AB390" s="913"/>
      <c r="AC390" s="913"/>
      <c r="AD390" s="913"/>
    </row>
    <row r="391" spans="5:30">
      <c r="E391" s="913"/>
      <c r="F391" s="913"/>
      <c r="G391" s="913"/>
      <c r="H391" s="913"/>
      <c r="I391" s="913"/>
      <c r="J391" s="913"/>
      <c r="K391" s="913"/>
      <c r="L391" s="913"/>
      <c r="M391" s="913"/>
      <c r="N391" s="913"/>
      <c r="O391" s="913"/>
      <c r="P391" s="913"/>
      <c r="Q391" s="913"/>
      <c r="R391" s="913"/>
      <c r="S391" s="913"/>
      <c r="T391" s="913"/>
      <c r="U391" s="913"/>
      <c r="V391" s="913"/>
      <c r="W391" s="913"/>
      <c r="X391" s="913"/>
      <c r="Y391" s="913"/>
      <c r="Z391" s="913"/>
      <c r="AA391" s="913"/>
      <c r="AB391" s="913"/>
      <c r="AC391" s="913"/>
      <c r="AD391" s="913"/>
    </row>
    <row r="392" spans="5:30">
      <c r="E392" s="913"/>
      <c r="F392" s="913"/>
      <c r="G392" s="913"/>
      <c r="H392" s="913"/>
      <c r="I392" s="913"/>
      <c r="J392" s="913"/>
      <c r="K392" s="913"/>
      <c r="L392" s="913"/>
      <c r="M392" s="913"/>
      <c r="N392" s="913"/>
      <c r="O392" s="913"/>
      <c r="P392" s="913"/>
      <c r="Q392" s="913"/>
      <c r="R392" s="913"/>
      <c r="S392" s="913"/>
      <c r="T392" s="913"/>
      <c r="U392" s="913"/>
      <c r="V392" s="913"/>
      <c r="W392" s="913"/>
      <c r="X392" s="913"/>
      <c r="Y392" s="913"/>
      <c r="Z392" s="913"/>
      <c r="AA392" s="913"/>
      <c r="AB392" s="913"/>
      <c r="AC392" s="913"/>
      <c r="AD392" s="913"/>
    </row>
    <row r="393" spans="5:30">
      <c r="E393" s="913"/>
      <c r="F393" s="913"/>
      <c r="G393" s="913"/>
      <c r="H393" s="913"/>
      <c r="I393" s="913"/>
      <c r="J393" s="913"/>
      <c r="K393" s="913"/>
      <c r="L393" s="913"/>
      <c r="M393" s="913"/>
      <c r="N393" s="913"/>
      <c r="O393" s="913"/>
      <c r="P393" s="913"/>
      <c r="Q393" s="913"/>
      <c r="R393" s="913"/>
      <c r="S393" s="913"/>
      <c r="T393" s="913"/>
      <c r="U393" s="913"/>
      <c r="V393" s="913"/>
      <c r="W393" s="913"/>
      <c r="X393" s="913"/>
      <c r="Y393" s="913"/>
      <c r="Z393" s="913"/>
      <c r="AA393" s="913"/>
      <c r="AB393" s="913"/>
      <c r="AC393" s="913"/>
      <c r="AD393" s="913"/>
    </row>
    <row r="394" spans="5:30">
      <c r="E394" s="913"/>
      <c r="F394" s="913"/>
      <c r="G394" s="913"/>
      <c r="H394" s="913"/>
      <c r="I394" s="913"/>
      <c r="J394" s="913"/>
      <c r="K394" s="913"/>
      <c r="L394" s="913"/>
      <c r="M394" s="913"/>
      <c r="N394" s="913"/>
      <c r="O394" s="913"/>
      <c r="P394" s="913"/>
      <c r="Q394" s="913"/>
      <c r="R394" s="913"/>
      <c r="S394" s="913"/>
      <c r="T394" s="913"/>
      <c r="U394" s="913"/>
      <c r="V394" s="913"/>
      <c r="W394" s="913"/>
      <c r="X394" s="913"/>
      <c r="Y394" s="913"/>
      <c r="Z394" s="913"/>
      <c r="AA394" s="913"/>
      <c r="AB394" s="913"/>
      <c r="AC394" s="913"/>
      <c r="AD394" s="913"/>
    </row>
    <row r="395" spans="5:30">
      <c r="E395" s="913"/>
      <c r="F395" s="913"/>
      <c r="G395" s="913"/>
      <c r="H395" s="913"/>
      <c r="I395" s="913"/>
      <c r="J395" s="913"/>
      <c r="K395" s="913"/>
      <c r="L395" s="913"/>
      <c r="M395" s="913"/>
      <c r="N395" s="913"/>
      <c r="O395" s="913"/>
      <c r="P395" s="913"/>
      <c r="Q395" s="913"/>
      <c r="R395" s="913"/>
      <c r="S395" s="913"/>
      <c r="T395" s="913"/>
      <c r="U395" s="913"/>
      <c r="V395" s="913"/>
      <c r="W395" s="913"/>
      <c r="X395" s="913"/>
      <c r="Y395" s="913"/>
      <c r="Z395" s="913"/>
      <c r="AA395" s="913"/>
      <c r="AB395" s="913"/>
      <c r="AC395" s="913"/>
      <c r="AD395" s="913"/>
    </row>
    <row r="396" spans="5:30">
      <c r="E396" s="913"/>
      <c r="F396" s="913"/>
      <c r="G396" s="913"/>
      <c r="H396" s="913"/>
      <c r="I396" s="913"/>
      <c r="J396" s="913"/>
      <c r="K396" s="913"/>
      <c r="L396" s="913"/>
      <c r="M396" s="913"/>
      <c r="N396" s="913"/>
      <c r="O396" s="913"/>
      <c r="P396" s="913"/>
      <c r="Q396" s="913"/>
      <c r="R396" s="913"/>
      <c r="S396" s="913"/>
      <c r="T396" s="913"/>
      <c r="U396" s="913"/>
      <c r="V396" s="913"/>
      <c r="W396" s="913"/>
      <c r="X396" s="913"/>
      <c r="Y396" s="913"/>
      <c r="Z396" s="913"/>
      <c r="AA396" s="913"/>
      <c r="AB396" s="913"/>
      <c r="AC396" s="913"/>
      <c r="AD396" s="913"/>
    </row>
    <row r="397" spans="5:30">
      <c r="E397" s="913"/>
      <c r="F397" s="913"/>
      <c r="G397" s="913"/>
      <c r="H397" s="913"/>
      <c r="I397" s="913"/>
      <c r="J397" s="913"/>
      <c r="K397" s="913"/>
      <c r="L397" s="913"/>
      <c r="M397" s="913"/>
      <c r="N397" s="913"/>
      <c r="O397" s="913"/>
      <c r="P397" s="913"/>
      <c r="Q397" s="913"/>
      <c r="R397" s="913"/>
      <c r="S397" s="913"/>
      <c r="T397" s="913"/>
      <c r="U397" s="913"/>
      <c r="V397" s="913"/>
      <c r="W397" s="913"/>
      <c r="X397" s="913"/>
      <c r="Y397" s="913"/>
      <c r="Z397" s="913"/>
      <c r="AA397" s="913"/>
      <c r="AB397" s="913"/>
      <c r="AC397" s="913"/>
      <c r="AD397" s="913"/>
    </row>
  </sheetData>
  <mergeCells count="22">
    <mergeCell ref="W39:Y39"/>
    <mergeCell ref="M39:N39"/>
    <mergeCell ref="O39:P39"/>
    <mergeCell ref="Q39:R39"/>
    <mergeCell ref="S39:T39"/>
    <mergeCell ref="U39:V39"/>
    <mergeCell ref="C39:D39"/>
    <mergeCell ref="E39:F39"/>
    <mergeCell ref="G39:H39"/>
    <mergeCell ref="I39:J39"/>
    <mergeCell ref="K39:L39"/>
    <mergeCell ref="AC8:AE8"/>
    <mergeCell ref="A1:AE1"/>
    <mergeCell ref="A3:AE3"/>
    <mergeCell ref="A5:AE5"/>
    <mergeCell ref="A32:W32"/>
    <mergeCell ref="C38:V38"/>
    <mergeCell ref="A36:W36"/>
    <mergeCell ref="C8:D8"/>
    <mergeCell ref="E8:F8"/>
    <mergeCell ref="M8:N8"/>
    <mergeCell ref="A34:W34"/>
  </mergeCells>
  <phoneticPr fontId="19" type="noConversion"/>
  <pageMargins left="0.98425196850393704"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zoomScale="75" zoomScaleNormal="75" workbookViewId="0">
      <selection activeCell="P58" sqref="P58"/>
    </sheetView>
  </sheetViews>
  <sheetFormatPr baseColWidth="10" defaultColWidth="11.44140625" defaultRowHeight="13.2"/>
  <cols>
    <col min="1" max="1" width="9.44140625" style="913" customWidth="1"/>
    <col min="2" max="2" width="26.77734375" style="913" customWidth="1"/>
    <col min="3" max="6" width="9.77734375" style="913" customWidth="1"/>
    <col min="7" max="8" width="9.21875" style="913" customWidth="1"/>
    <col min="9" max="10" width="9.5546875" style="913" customWidth="1"/>
    <col min="11" max="12" width="10.44140625" style="913" customWidth="1"/>
    <col min="13" max="14" width="10.21875" style="913" customWidth="1"/>
    <col min="15" max="18" width="9.77734375" style="913" customWidth="1"/>
    <col min="19" max="20" width="10" style="913" customWidth="1"/>
    <col min="21" max="22" width="10.5546875" style="913" customWidth="1"/>
    <col min="23" max="24" width="9.5546875" style="913" customWidth="1"/>
    <col min="25" max="26" width="9.21875" style="913" customWidth="1"/>
    <col min="27" max="30" width="8.21875" style="913" customWidth="1"/>
    <col min="31" max="31" width="9.77734375" style="913" customWidth="1"/>
    <col min="32" max="16384" width="11.44140625" style="913"/>
  </cols>
  <sheetData>
    <row r="1" spans="1:31">
      <c r="A1" s="1711" t="s">
        <v>195</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row>
    <row r="2" spans="1:31">
      <c r="A2" s="926"/>
      <c r="B2" s="933"/>
    </row>
    <row r="3" spans="1:31">
      <c r="A3" s="1711" t="str">
        <f>+'89'!A3</f>
        <v>SERVICIO DE SALUD   ACONCAGUA   2020</v>
      </c>
      <c r="B3" s="1711"/>
      <c r="C3" s="1711"/>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row>
    <row r="4" spans="1:31">
      <c r="A4" s="926"/>
      <c r="B4" s="933"/>
    </row>
    <row r="5" spans="1:31">
      <c r="A5" s="1711" t="s">
        <v>217</v>
      </c>
      <c r="B5" s="1711"/>
      <c r="C5" s="1711"/>
      <c r="D5" s="1711"/>
      <c r="E5" s="1711"/>
      <c r="F5" s="1711"/>
      <c r="G5" s="1711"/>
      <c r="H5" s="1711"/>
      <c r="I5" s="1711"/>
      <c r="J5" s="1711"/>
      <c r="K5" s="1711"/>
      <c r="L5" s="1711"/>
      <c r="M5" s="1711"/>
      <c r="N5" s="1711"/>
      <c r="O5" s="1711"/>
      <c r="P5" s="1711"/>
      <c r="Q5" s="1711"/>
      <c r="R5" s="1711"/>
      <c r="S5" s="1711"/>
      <c r="T5" s="1711"/>
      <c r="U5" s="1711"/>
      <c r="V5" s="1711"/>
      <c r="W5" s="1711"/>
      <c r="X5" s="1711"/>
      <c r="Y5" s="1711"/>
      <c r="Z5" s="1711"/>
      <c r="AA5" s="1711"/>
      <c r="AB5" s="1711"/>
      <c r="AC5" s="1711"/>
      <c r="AD5" s="1711"/>
      <c r="AE5" s="1711"/>
    </row>
    <row r="6" spans="1:31">
      <c r="A6" s="934"/>
    </row>
    <row r="7" spans="1:31" ht="18.75" customHeight="1">
      <c r="A7" s="1299" t="s">
        <v>680</v>
      </c>
      <c r="B7" s="868"/>
      <c r="C7" s="869"/>
      <c r="D7" s="869"/>
      <c r="E7" s="869"/>
      <c r="F7" s="870" t="s">
        <v>681</v>
      </c>
      <c r="G7" s="870"/>
      <c r="H7" s="870"/>
      <c r="I7" s="870"/>
      <c r="J7" s="870"/>
      <c r="K7" s="870"/>
      <c r="L7" s="870"/>
      <c r="M7" s="870"/>
      <c r="N7" s="870"/>
      <c r="O7" s="870"/>
      <c r="P7" s="870"/>
      <c r="Q7" s="870"/>
      <c r="R7" s="870"/>
      <c r="S7" s="870"/>
      <c r="T7" s="870"/>
      <c r="U7" s="870"/>
      <c r="V7" s="870"/>
      <c r="W7" s="870"/>
      <c r="X7" s="870"/>
      <c r="Y7" s="870"/>
      <c r="Z7" s="870"/>
      <c r="AA7" s="870"/>
      <c r="AB7" s="870"/>
      <c r="AC7" s="870"/>
      <c r="AD7" s="870"/>
      <c r="AE7" s="871"/>
    </row>
    <row r="8" spans="1:31" ht="23.25" customHeight="1">
      <c r="A8" s="1300" t="s">
        <v>682</v>
      </c>
      <c r="B8" s="1337" t="s">
        <v>683</v>
      </c>
      <c r="C8" s="1701" t="s">
        <v>684</v>
      </c>
      <c r="D8" s="1702"/>
      <c r="E8" s="1703" t="s">
        <v>630</v>
      </c>
      <c r="F8" s="1700"/>
      <c r="G8" s="1291" t="s">
        <v>685</v>
      </c>
      <c r="H8" s="1291"/>
      <c r="I8" s="1291" t="s">
        <v>686</v>
      </c>
      <c r="J8" s="1291"/>
      <c r="K8" s="1291" t="s">
        <v>429</v>
      </c>
      <c r="L8" s="1291"/>
      <c r="M8" s="1704" t="s">
        <v>687</v>
      </c>
      <c r="N8" s="1705"/>
      <c r="O8" s="1291" t="s">
        <v>688</v>
      </c>
      <c r="P8" s="1291"/>
      <c r="Q8" s="1291" t="s">
        <v>393</v>
      </c>
      <c r="R8" s="1291"/>
      <c r="S8" s="1291" t="s">
        <v>411</v>
      </c>
      <c r="T8" s="1291"/>
      <c r="U8" s="1291" t="s">
        <v>416</v>
      </c>
      <c r="V8" s="1291"/>
      <c r="W8" s="1291" t="s">
        <v>689</v>
      </c>
      <c r="X8" s="1291"/>
      <c r="Y8" s="1291" t="s">
        <v>418</v>
      </c>
      <c r="Z8" s="1291"/>
      <c r="AA8" s="1291" t="s">
        <v>690</v>
      </c>
      <c r="AB8" s="876"/>
      <c r="AC8" s="1706" t="s">
        <v>517</v>
      </c>
      <c r="AD8" s="1707"/>
      <c r="AE8" s="1703"/>
    </row>
    <row r="9" spans="1:31" ht="13.8" thickBot="1">
      <c r="A9" s="1302"/>
      <c r="B9" s="1338"/>
      <c r="C9" s="1305" t="s">
        <v>1461</v>
      </c>
      <c r="D9" s="871" t="s">
        <v>1462</v>
      </c>
      <c r="E9" s="1287" t="s">
        <v>1461</v>
      </c>
      <c r="F9" s="1288" t="s">
        <v>1462</v>
      </c>
      <c r="G9" s="1286" t="s">
        <v>1461</v>
      </c>
      <c r="H9" s="1288" t="s">
        <v>1462</v>
      </c>
      <c r="I9" s="1287" t="s">
        <v>1461</v>
      </c>
      <c r="J9" s="1288" t="s">
        <v>1462</v>
      </c>
      <c r="K9" s="1287" t="s">
        <v>1461</v>
      </c>
      <c r="L9" s="1288" t="s">
        <v>1462</v>
      </c>
      <c r="M9" s="1305" t="s">
        <v>1461</v>
      </c>
      <c r="N9" s="871" t="s">
        <v>1462</v>
      </c>
      <c r="O9" s="1286" t="s">
        <v>1461</v>
      </c>
      <c r="P9" s="1288" t="s">
        <v>1462</v>
      </c>
      <c r="Q9" s="1287" t="s">
        <v>1461</v>
      </c>
      <c r="R9" s="1287" t="s">
        <v>1462</v>
      </c>
      <c r="S9" s="1286" t="s">
        <v>1461</v>
      </c>
      <c r="T9" s="1288" t="s">
        <v>1462</v>
      </c>
      <c r="U9" s="1287" t="s">
        <v>1461</v>
      </c>
      <c r="V9" s="1288" t="s">
        <v>1462</v>
      </c>
      <c r="W9" s="1287" t="s">
        <v>1461</v>
      </c>
      <c r="X9" s="1287" t="s">
        <v>1462</v>
      </c>
      <c r="Y9" s="1286" t="s">
        <v>1461</v>
      </c>
      <c r="Z9" s="1288" t="s">
        <v>1462</v>
      </c>
      <c r="AA9" s="1287" t="s">
        <v>1461</v>
      </c>
      <c r="AB9" s="1288" t="s">
        <v>1462</v>
      </c>
      <c r="AC9" s="1305" t="s">
        <v>1461</v>
      </c>
      <c r="AD9" s="871" t="s">
        <v>1462</v>
      </c>
      <c r="AE9" s="899" t="s">
        <v>491</v>
      </c>
    </row>
    <row r="10" spans="1:31" ht="18" customHeight="1">
      <c r="A10" s="935" t="s">
        <v>716</v>
      </c>
      <c r="B10" s="936" t="s">
        <v>717</v>
      </c>
      <c r="C10" s="1330">
        <f t="shared" ref="C10:D13" si="0">+E10+G10+I10+K10</f>
        <v>0</v>
      </c>
      <c r="D10" s="1331">
        <f t="shared" si="0"/>
        <v>2</v>
      </c>
      <c r="E10" s="911"/>
      <c r="F10" s="911">
        <v>2</v>
      </c>
      <c r="G10" s="1309"/>
      <c r="H10" s="1341"/>
      <c r="I10" s="1309"/>
      <c r="J10" s="1341"/>
      <c r="K10" s="911"/>
      <c r="L10" s="911"/>
      <c r="M10" s="1322">
        <f>+O10+Q10+S10+U10+W10+Y10</f>
        <v>13</v>
      </c>
      <c r="N10" s="1323">
        <f>+P10+R10+T10+V10+X10+Z10</f>
        <v>26</v>
      </c>
      <c r="P10" s="913">
        <v>1</v>
      </c>
      <c r="Q10" s="1306"/>
      <c r="R10" s="871"/>
      <c r="U10" s="1306">
        <v>1</v>
      </c>
      <c r="V10" s="871">
        <v>1</v>
      </c>
      <c r="W10" s="913">
        <v>6</v>
      </c>
      <c r="X10" s="913">
        <v>18</v>
      </c>
      <c r="Y10" s="1306">
        <v>6</v>
      </c>
      <c r="Z10" s="871">
        <v>6</v>
      </c>
      <c r="AA10" s="913">
        <v>2</v>
      </c>
      <c r="AC10" s="1322">
        <f t="shared" ref="AC10:AD13" si="1">+M10+C10+AA10</f>
        <v>15</v>
      </c>
      <c r="AD10" s="1323">
        <f t="shared" si="1"/>
        <v>28</v>
      </c>
      <c r="AE10" s="1334">
        <f t="shared" ref="AE10:AE13" si="2">SUM(AC10:AD10)</f>
        <v>43</v>
      </c>
    </row>
    <row r="11" spans="1:31" ht="20.25" customHeight="1">
      <c r="A11" s="935" t="s">
        <v>693</v>
      </c>
      <c r="B11" s="936" t="s">
        <v>694</v>
      </c>
      <c r="C11" s="1332">
        <f t="shared" si="0"/>
        <v>4</v>
      </c>
      <c r="D11" s="1333">
        <f t="shared" si="0"/>
        <v>1</v>
      </c>
      <c r="E11" s="911">
        <v>4</v>
      </c>
      <c r="F11" s="911">
        <v>1</v>
      </c>
      <c r="G11" s="1293"/>
      <c r="H11" s="937"/>
      <c r="I11" s="1293"/>
      <c r="J11" s="937"/>
      <c r="K11" s="911"/>
      <c r="L11" s="911"/>
      <c r="M11" s="1324">
        <f t="shared" ref="M11:N26" si="3">+O11+Q11+S11+U11+W11+Y11</f>
        <v>25</v>
      </c>
      <c r="N11" s="1325">
        <f t="shared" si="3"/>
        <v>27</v>
      </c>
      <c r="P11" s="913">
        <v>1</v>
      </c>
      <c r="Q11" s="929"/>
      <c r="R11" s="930"/>
      <c r="U11" s="929"/>
      <c r="V11" s="930"/>
      <c r="W11" s="913">
        <v>15</v>
      </c>
      <c r="X11" s="913">
        <v>20</v>
      </c>
      <c r="Y11" s="929">
        <v>10</v>
      </c>
      <c r="Z11" s="930">
        <v>6</v>
      </c>
      <c r="AA11" s="913">
        <v>1</v>
      </c>
      <c r="AB11" s="913">
        <v>1</v>
      </c>
      <c r="AC11" s="1324">
        <f t="shared" si="1"/>
        <v>30</v>
      </c>
      <c r="AD11" s="1325">
        <f t="shared" si="1"/>
        <v>29</v>
      </c>
      <c r="AE11" s="1335">
        <f t="shared" si="2"/>
        <v>59</v>
      </c>
    </row>
    <row r="12" spans="1:31" ht="19.5" customHeight="1">
      <c r="A12" s="935" t="s">
        <v>196</v>
      </c>
      <c r="B12" s="936" t="s">
        <v>197</v>
      </c>
      <c r="C12" s="1332">
        <f t="shared" si="0"/>
        <v>2</v>
      </c>
      <c r="D12" s="1333">
        <f t="shared" si="0"/>
        <v>0</v>
      </c>
      <c r="E12" s="911">
        <v>2</v>
      </c>
      <c r="F12" s="911"/>
      <c r="G12" s="1293"/>
      <c r="H12" s="937"/>
      <c r="I12" s="1293"/>
      <c r="J12" s="937"/>
      <c r="K12" s="911"/>
      <c r="L12" s="911"/>
      <c r="M12" s="1324">
        <f t="shared" si="3"/>
        <v>3</v>
      </c>
      <c r="N12" s="1325">
        <f t="shared" si="3"/>
        <v>4</v>
      </c>
      <c r="Q12" s="929"/>
      <c r="R12" s="930"/>
      <c r="U12" s="929"/>
      <c r="V12" s="930"/>
      <c r="W12" s="913">
        <v>1</v>
      </c>
      <c r="X12" s="913">
        <v>3</v>
      </c>
      <c r="Y12" s="929">
        <v>2</v>
      </c>
      <c r="Z12" s="930">
        <v>1</v>
      </c>
      <c r="AC12" s="1324">
        <f t="shared" si="1"/>
        <v>5</v>
      </c>
      <c r="AD12" s="1325">
        <f t="shared" si="1"/>
        <v>4</v>
      </c>
      <c r="AE12" s="1335">
        <f t="shared" si="2"/>
        <v>9</v>
      </c>
    </row>
    <row r="13" spans="1:31" ht="20.25" customHeight="1">
      <c r="A13" s="935" t="s">
        <v>720</v>
      </c>
      <c r="B13" s="936" t="s">
        <v>721</v>
      </c>
      <c r="C13" s="1332">
        <f t="shared" si="0"/>
        <v>1</v>
      </c>
      <c r="D13" s="1333">
        <f t="shared" si="0"/>
        <v>2</v>
      </c>
      <c r="E13" s="911">
        <v>1</v>
      </c>
      <c r="F13" s="911">
        <v>2</v>
      </c>
      <c r="G13" s="1293"/>
      <c r="H13" s="937"/>
      <c r="I13" s="1293"/>
      <c r="J13" s="937"/>
      <c r="K13" s="911"/>
      <c r="L13" s="911"/>
      <c r="M13" s="1324">
        <f t="shared" si="3"/>
        <v>27</v>
      </c>
      <c r="N13" s="1325">
        <f t="shared" si="3"/>
        <v>26</v>
      </c>
      <c r="O13" s="913">
        <v>1</v>
      </c>
      <c r="Q13" s="929">
        <v>1</v>
      </c>
      <c r="R13" s="930"/>
      <c r="U13" s="929">
        <v>1</v>
      </c>
      <c r="V13" s="930">
        <v>2</v>
      </c>
      <c r="W13" s="913">
        <v>16</v>
      </c>
      <c r="X13" s="913">
        <v>16</v>
      </c>
      <c r="Y13" s="929">
        <v>8</v>
      </c>
      <c r="Z13" s="930">
        <v>8</v>
      </c>
      <c r="AC13" s="1324">
        <f t="shared" si="1"/>
        <v>28</v>
      </c>
      <c r="AD13" s="1325">
        <f t="shared" si="1"/>
        <v>28</v>
      </c>
      <c r="AE13" s="1335">
        <f t="shared" si="2"/>
        <v>56</v>
      </c>
    </row>
    <row r="14" spans="1:31" ht="19.5" customHeight="1">
      <c r="A14" s="935" t="s">
        <v>198</v>
      </c>
      <c r="B14" s="936" t="s">
        <v>199</v>
      </c>
      <c r="C14" s="1332">
        <f>+E14+G14+I14+K14</f>
        <v>1</v>
      </c>
      <c r="D14" s="1333">
        <f>+F14+H14+J14+L14</f>
        <v>2</v>
      </c>
      <c r="E14" s="911">
        <v>1</v>
      </c>
      <c r="F14" s="911">
        <v>2</v>
      </c>
      <c r="G14" s="1293"/>
      <c r="H14" s="937"/>
      <c r="I14" s="1293"/>
      <c r="J14" s="937"/>
      <c r="K14" s="911"/>
      <c r="L14" s="911"/>
      <c r="M14" s="1324">
        <f t="shared" si="3"/>
        <v>27</v>
      </c>
      <c r="N14" s="1325">
        <f t="shared" si="3"/>
        <v>25</v>
      </c>
      <c r="O14" s="913">
        <v>3</v>
      </c>
      <c r="P14" s="913">
        <v>2</v>
      </c>
      <c r="Q14" s="929">
        <v>3</v>
      </c>
      <c r="R14" s="930">
        <v>2</v>
      </c>
      <c r="U14" s="929">
        <v>1</v>
      </c>
      <c r="V14" s="930">
        <v>1</v>
      </c>
      <c r="W14" s="913">
        <v>15</v>
      </c>
      <c r="X14" s="913">
        <v>17</v>
      </c>
      <c r="Y14" s="929">
        <v>5</v>
      </c>
      <c r="Z14" s="930">
        <v>3</v>
      </c>
      <c r="AA14" s="913">
        <v>2</v>
      </c>
      <c r="AC14" s="1324">
        <f>+M14+C14+AA14</f>
        <v>30</v>
      </c>
      <c r="AD14" s="1325">
        <f>+N14+D14+AB14</f>
        <v>27</v>
      </c>
      <c r="AE14" s="1335">
        <f>SUM(AC14:AD14)</f>
        <v>57</v>
      </c>
    </row>
    <row r="15" spans="1:31" ht="19.5" customHeight="1">
      <c r="A15" s="935" t="s">
        <v>200</v>
      </c>
      <c r="B15" s="936" t="s">
        <v>201</v>
      </c>
      <c r="C15" s="1332">
        <f t="shared" ref="C15:D26" si="4">+E15+G15+I15+K15</f>
        <v>0</v>
      </c>
      <c r="D15" s="1333">
        <f t="shared" si="4"/>
        <v>0</v>
      </c>
      <c r="E15" s="911"/>
      <c r="F15" s="911"/>
      <c r="G15" s="1293"/>
      <c r="H15" s="937"/>
      <c r="I15" s="1293"/>
      <c r="J15" s="937"/>
      <c r="K15" s="911"/>
      <c r="L15" s="911"/>
      <c r="M15" s="1324">
        <f t="shared" si="3"/>
        <v>6</v>
      </c>
      <c r="N15" s="1325">
        <f t="shared" si="3"/>
        <v>3</v>
      </c>
      <c r="Q15" s="929"/>
      <c r="R15" s="930"/>
      <c r="U15" s="929"/>
      <c r="V15" s="930"/>
      <c r="W15" s="913">
        <v>5</v>
      </c>
      <c r="X15" s="913">
        <v>1</v>
      </c>
      <c r="Y15" s="929">
        <v>1</v>
      </c>
      <c r="Z15" s="930">
        <v>2</v>
      </c>
      <c r="AC15" s="1324">
        <f t="shared" ref="AC15:AD26" si="5">+M15+C15+AA15</f>
        <v>6</v>
      </c>
      <c r="AD15" s="1325">
        <f t="shared" si="5"/>
        <v>3</v>
      </c>
      <c r="AE15" s="1335">
        <f t="shared" ref="AE15:AE25" si="6">SUM(AC15:AD15)</f>
        <v>9</v>
      </c>
    </row>
    <row r="16" spans="1:31" ht="19.5" customHeight="1">
      <c r="A16" s="935" t="s">
        <v>202</v>
      </c>
      <c r="B16" s="936" t="s">
        <v>203</v>
      </c>
      <c r="C16" s="1332">
        <f t="shared" si="4"/>
        <v>0</v>
      </c>
      <c r="D16" s="1333">
        <f t="shared" si="4"/>
        <v>0</v>
      </c>
      <c r="E16" s="911"/>
      <c r="F16" s="911"/>
      <c r="G16" s="1293"/>
      <c r="H16" s="937"/>
      <c r="I16" s="1293"/>
      <c r="J16" s="937"/>
      <c r="K16" s="911"/>
      <c r="L16" s="911"/>
      <c r="M16" s="1324">
        <f t="shared" si="3"/>
        <v>0</v>
      </c>
      <c r="N16" s="1325">
        <f t="shared" si="3"/>
        <v>2</v>
      </c>
      <c r="Q16" s="929"/>
      <c r="R16" s="930"/>
      <c r="U16" s="929"/>
      <c r="V16" s="930"/>
      <c r="X16" s="913">
        <v>2</v>
      </c>
      <c r="Y16" s="929"/>
      <c r="Z16" s="930"/>
      <c r="AC16" s="1324">
        <f t="shared" si="5"/>
        <v>0</v>
      </c>
      <c r="AD16" s="1325">
        <f t="shared" si="5"/>
        <v>2</v>
      </c>
      <c r="AE16" s="1335">
        <f t="shared" si="6"/>
        <v>2</v>
      </c>
    </row>
    <row r="17" spans="1:31" ht="20.25" customHeight="1">
      <c r="A17" s="935" t="s">
        <v>691</v>
      </c>
      <c r="B17" s="936" t="s">
        <v>692</v>
      </c>
      <c r="C17" s="1332">
        <f t="shared" si="4"/>
        <v>3</v>
      </c>
      <c r="D17" s="1333">
        <f t="shared" si="4"/>
        <v>2</v>
      </c>
      <c r="E17" s="911">
        <v>2</v>
      </c>
      <c r="F17" s="911">
        <v>2</v>
      </c>
      <c r="G17" s="1293"/>
      <c r="H17" s="937"/>
      <c r="I17" s="1293">
        <v>1</v>
      </c>
      <c r="J17" s="937"/>
      <c r="K17" s="911"/>
      <c r="L17" s="911"/>
      <c r="M17" s="1324">
        <f t="shared" si="3"/>
        <v>66</v>
      </c>
      <c r="N17" s="1325">
        <f t="shared" si="3"/>
        <v>56</v>
      </c>
      <c r="O17" s="913">
        <v>2</v>
      </c>
      <c r="Q17" s="929"/>
      <c r="R17" s="930"/>
      <c r="T17" s="913">
        <v>1</v>
      </c>
      <c r="U17" s="929"/>
      <c r="V17" s="930"/>
      <c r="W17" s="913">
        <v>51</v>
      </c>
      <c r="X17" s="913">
        <v>33</v>
      </c>
      <c r="Y17" s="929">
        <v>13</v>
      </c>
      <c r="Z17" s="930">
        <v>22</v>
      </c>
      <c r="AA17" s="913">
        <v>3</v>
      </c>
      <c r="AC17" s="1324">
        <f t="shared" si="5"/>
        <v>72</v>
      </c>
      <c r="AD17" s="1325">
        <f t="shared" si="5"/>
        <v>58</v>
      </c>
      <c r="AE17" s="1335">
        <f t="shared" si="6"/>
        <v>130</v>
      </c>
    </row>
    <row r="18" spans="1:31" ht="19.5" customHeight="1">
      <c r="A18" s="935" t="s">
        <v>695</v>
      </c>
      <c r="B18" s="936" t="s">
        <v>696</v>
      </c>
      <c r="C18" s="1332">
        <f t="shared" si="4"/>
        <v>4</v>
      </c>
      <c r="D18" s="1333">
        <f t="shared" si="4"/>
        <v>1</v>
      </c>
      <c r="E18" s="911">
        <v>3</v>
      </c>
      <c r="F18" s="911">
        <v>1</v>
      </c>
      <c r="G18" s="1293">
        <v>1</v>
      </c>
      <c r="H18" s="937"/>
      <c r="I18" s="1293"/>
      <c r="J18" s="937"/>
      <c r="K18" s="911"/>
      <c r="L18" s="911"/>
      <c r="M18" s="1324">
        <f t="shared" si="3"/>
        <v>119</v>
      </c>
      <c r="N18" s="1325">
        <f t="shared" si="3"/>
        <v>120</v>
      </c>
      <c r="O18" s="913">
        <v>2</v>
      </c>
      <c r="P18" s="913">
        <v>5</v>
      </c>
      <c r="Q18" s="929">
        <v>1</v>
      </c>
      <c r="R18" s="930"/>
      <c r="U18" s="929">
        <v>6</v>
      </c>
      <c r="V18" s="930"/>
      <c r="W18" s="913">
        <v>77</v>
      </c>
      <c r="X18" s="913">
        <v>71</v>
      </c>
      <c r="Y18" s="929">
        <v>33</v>
      </c>
      <c r="Z18" s="930">
        <v>44</v>
      </c>
      <c r="AA18" s="913">
        <v>1</v>
      </c>
      <c r="AB18" s="913">
        <v>3</v>
      </c>
      <c r="AC18" s="1324">
        <f t="shared" si="5"/>
        <v>124</v>
      </c>
      <c r="AD18" s="1325">
        <f t="shared" si="5"/>
        <v>124</v>
      </c>
      <c r="AE18" s="1335">
        <f t="shared" si="6"/>
        <v>248</v>
      </c>
    </row>
    <row r="19" spans="1:31" ht="19.5" customHeight="1">
      <c r="A19" s="935" t="s">
        <v>712</v>
      </c>
      <c r="B19" s="936" t="s">
        <v>713</v>
      </c>
      <c r="C19" s="1332">
        <f t="shared" si="4"/>
        <v>0</v>
      </c>
      <c r="D19" s="1333">
        <f t="shared" si="4"/>
        <v>0</v>
      </c>
      <c r="E19" s="911"/>
      <c r="F19" s="911"/>
      <c r="G19" s="1293"/>
      <c r="H19" s="937"/>
      <c r="I19" s="1293"/>
      <c r="J19" s="937"/>
      <c r="K19" s="911"/>
      <c r="L19" s="911"/>
      <c r="M19" s="1324">
        <f t="shared" si="3"/>
        <v>35</v>
      </c>
      <c r="N19" s="1325">
        <f t="shared" si="3"/>
        <v>23</v>
      </c>
      <c r="Q19" s="929"/>
      <c r="R19" s="930"/>
      <c r="U19" s="929"/>
      <c r="V19" s="930"/>
      <c r="W19" s="913">
        <v>25</v>
      </c>
      <c r="X19" s="913">
        <v>20</v>
      </c>
      <c r="Y19" s="929">
        <v>10</v>
      </c>
      <c r="Z19" s="930">
        <v>3</v>
      </c>
      <c r="AB19" s="913">
        <v>1</v>
      </c>
      <c r="AC19" s="1324">
        <f t="shared" si="5"/>
        <v>35</v>
      </c>
      <c r="AD19" s="1325">
        <f t="shared" si="5"/>
        <v>24</v>
      </c>
      <c r="AE19" s="1335">
        <f t="shared" si="6"/>
        <v>59</v>
      </c>
    </row>
    <row r="20" spans="1:31" ht="18.75" customHeight="1">
      <c r="A20" s="935" t="s">
        <v>204</v>
      </c>
      <c r="B20" s="936" t="s">
        <v>205</v>
      </c>
      <c r="C20" s="1332">
        <f t="shared" si="4"/>
        <v>2</v>
      </c>
      <c r="D20" s="1333">
        <f t="shared" si="4"/>
        <v>2</v>
      </c>
      <c r="E20" s="911">
        <v>2</v>
      </c>
      <c r="F20" s="911">
        <v>2</v>
      </c>
      <c r="G20" s="1293"/>
      <c r="H20" s="937"/>
      <c r="I20" s="1293"/>
      <c r="J20" s="937"/>
      <c r="K20" s="911"/>
      <c r="L20" s="911"/>
      <c r="M20" s="1324">
        <f t="shared" si="3"/>
        <v>16</v>
      </c>
      <c r="N20" s="1325">
        <f t="shared" si="3"/>
        <v>15</v>
      </c>
      <c r="O20" s="913">
        <v>1</v>
      </c>
      <c r="P20" s="913">
        <v>1</v>
      </c>
      <c r="Q20" s="929"/>
      <c r="R20" s="930"/>
      <c r="U20" s="929"/>
      <c r="V20" s="930"/>
      <c r="W20" s="913">
        <v>9</v>
      </c>
      <c r="X20" s="913">
        <v>10</v>
      </c>
      <c r="Y20" s="929">
        <v>6</v>
      </c>
      <c r="Z20" s="930">
        <v>4</v>
      </c>
      <c r="AB20" s="913">
        <v>1</v>
      </c>
      <c r="AC20" s="1324">
        <f t="shared" si="5"/>
        <v>18</v>
      </c>
      <c r="AD20" s="1325">
        <f t="shared" si="5"/>
        <v>18</v>
      </c>
      <c r="AE20" s="1335">
        <f t="shared" si="6"/>
        <v>36</v>
      </c>
    </row>
    <row r="21" spans="1:31" ht="19.5" customHeight="1">
      <c r="A21" s="935" t="s">
        <v>206</v>
      </c>
      <c r="B21" s="936" t="s">
        <v>207</v>
      </c>
      <c r="C21" s="1332">
        <f t="shared" si="4"/>
        <v>0</v>
      </c>
      <c r="D21" s="1333">
        <f t="shared" si="4"/>
        <v>0</v>
      </c>
      <c r="E21" s="911"/>
      <c r="F21" s="911"/>
      <c r="G21" s="1293"/>
      <c r="H21" s="937"/>
      <c r="I21" s="1293"/>
      <c r="J21" s="937"/>
      <c r="K21" s="911"/>
      <c r="L21" s="911"/>
      <c r="M21" s="1324">
        <f t="shared" si="3"/>
        <v>6</v>
      </c>
      <c r="N21" s="1325">
        <f t="shared" si="3"/>
        <v>5</v>
      </c>
      <c r="Q21" s="929"/>
      <c r="R21" s="930"/>
      <c r="U21" s="929"/>
      <c r="V21" s="930"/>
      <c r="W21" s="913">
        <v>3</v>
      </c>
      <c r="X21" s="913">
        <v>5</v>
      </c>
      <c r="Y21" s="929">
        <v>3</v>
      </c>
      <c r="Z21" s="930"/>
      <c r="AB21" s="913">
        <v>1</v>
      </c>
      <c r="AC21" s="1324">
        <f t="shared" si="5"/>
        <v>6</v>
      </c>
      <c r="AD21" s="1325">
        <f t="shared" si="5"/>
        <v>6</v>
      </c>
      <c r="AE21" s="1335">
        <f t="shared" si="6"/>
        <v>12</v>
      </c>
    </row>
    <row r="22" spans="1:31" ht="19.5" customHeight="1">
      <c r="A22" s="935" t="s">
        <v>714</v>
      </c>
      <c r="B22" s="936" t="s">
        <v>715</v>
      </c>
      <c r="C22" s="1332">
        <f t="shared" si="4"/>
        <v>1</v>
      </c>
      <c r="D22" s="1333">
        <f t="shared" si="4"/>
        <v>5</v>
      </c>
      <c r="E22" s="911">
        <v>1</v>
      </c>
      <c r="F22" s="911">
        <v>5</v>
      </c>
      <c r="G22" s="1293"/>
      <c r="H22" s="937"/>
      <c r="I22" s="1293"/>
      <c r="J22" s="937"/>
      <c r="K22" s="911"/>
      <c r="L22" s="911"/>
      <c r="M22" s="1324">
        <f t="shared" si="3"/>
        <v>38</v>
      </c>
      <c r="N22" s="1325">
        <f t="shared" si="3"/>
        <v>67</v>
      </c>
      <c r="O22" s="913">
        <v>1</v>
      </c>
      <c r="P22" s="913">
        <v>3</v>
      </c>
      <c r="Q22" s="929"/>
      <c r="R22" s="930"/>
      <c r="U22" s="929"/>
      <c r="V22" s="930">
        <v>2</v>
      </c>
      <c r="W22" s="913">
        <v>28</v>
      </c>
      <c r="X22" s="913">
        <v>43</v>
      </c>
      <c r="Y22" s="929">
        <v>9</v>
      </c>
      <c r="Z22" s="930">
        <v>19</v>
      </c>
      <c r="AA22" s="913">
        <v>4</v>
      </c>
      <c r="AB22" s="913">
        <v>1</v>
      </c>
      <c r="AC22" s="1324">
        <f t="shared" si="5"/>
        <v>43</v>
      </c>
      <c r="AD22" s="1325">
        <f t="shared" si="5"/>
        <v>73</v>
      </c>
      <c r="AE22" s="1335">
        <f t="shared" si="6"/>
        <v>116</v>
      </c>
    </row>
    <row r="23" spans="1:31" ht="18.75" customHeight="1">
      <c r="A23" s="935" t="s">
        <v>208</v>
      </c>
      <c r="B23" s="936" t="s">
        <v>209</v>
      </c>
      <c r="C23" s="1332">
        <f t="shared" si="4"/>
        <v>0</v>
      </c>
      <c r="D23" s="1333">
        <f t="shared" si="4"/>
        <v>0</v>
      </c>
      <c r="E23" s="911"/>
      <c r="F23" s="911"/>
      <c r="G23" s="1293"/>
      <c r="H23" s="937"/>
      <c r="I23" s="1293"/>
      <c r="J23" s="937"/>
      <c r="K23" s="911"/>
      <c r="L23" s="911"/>
      <c r="M23" s="1324">
        <f t="shared" si="3"/>
        <v>0</v>
      </c>
      <c r="N23" s="1325">
        <f t="shared" si="3"/>
        <v>0</v>
      </c>
      <c r="Q23" s="929"/>
      <c r="R23" s="930"/>
      <c r="U23" s="929"/>
      <c r="V23" s="930"/>
      <c r="Y23" s="929"/>
      <c r="Z23" s="930"/>
      <c r="AC23" s="1324">
        <f t="shared" si="5"/>
        <v>0</v>
      </c>
      <c r="AD23" s="1325">
        <f t="shared" si="5"/>
        <v>0</v>
      </c>
      <c r="AE23" s="1335">
        <f t="shared" si="6"/>
        <v>0</v>
      </c>
    </row>
    <row r="24" spans="1:31" ht="19.5" customHeight="1">
      <c r="A24" s="935" t="s">
        <v>722</v>
      </c>
      <c r="B24" s="936" t="s">
        <v>723</v>
      </c>
      <c r="C24" s="1332">
        <f t="shared" si="4"/>
        <v>0</v>
      </c>
      <c r="D24" s="1333">
        <f t="shared" si="4"/>
        <v>0</v>
      </c>
      <c r="E24" s="911"/>
      <c r="F24" s="911"/>
      <c r="G24" s="1293"/>
      <c r="H24" s="937"/>
      <c r="I24" s="1293"/>
      <c r="J24" s="937"/>
      <c r="K24" s="911"/>
      <c r="L24" s="911"/>
      <c r="M24" s="1324">
        <f t="shared" si="3"/>
        <v>0</v>
      </c>
      <c r="N24" s="1325">
        <f t="shared" si="3"/>
        <v>0</v>
      </c>
      <c r="Q24" s="929"/>
      <c r="R24" s="930"/>
      <c r="U24" s="929"/>
      <c r="V24" s="930"/>
      <c r="Y24" s="929"/>
      <c r="Z24" s="930"/>
      <c r="AC24" s="1324">
        <f t="shared" si="5"/>
        <v>0</v>
      </c>
      <c r="AD24" s="1325">
        <f t="shared" si="5"/>
        <v>0</v>
      </c>
      <c r="AE24" s="1335">
        <f t="shared" si="6"/>
        <v>0</v>
      </c>
    </row>
    <row r="25" spans="1:31" ht="20.25" customHeight="1">
      <c r="A25" s="935" t="s">
        <v>724</v>
      </c>
      <c r="B25" s="936" t="s">
        <v>725</v>
      </c>
      <c r="C25" s="1332">
        <f t="shared" si="4"/>
        <v>0</v>
      </c>
      <c r="D25" s="1333">
        <f t="shared" si="4"/>
        <v>0</v>
      </c>
      <c r="E25" s="911"/>
      <c r="F25" s="911"/>
      <c r="G25" s="1293"/>
      <c r="H25" s="937"/>
      <c r="I25" s="1293"/>
      <c r="J25" s="937"/>
      <c r="K25" s="911"/>
      <c r="L25" s="911"/>
      <c r="M25" s="1324">
        <f t="shared" si="3"/>
        <v>0</v>
      </c>
      <c r="N25" s="1325">
        <f t="shared" si="3"/>
        <v>0</v>
      </c>
      <c r="Q25" s="929"/>
      <c r="R25" s="930"/>
      <c r="U25" s="929"/>
      <c r="V25" s="930"/>
      <c r="Y25" s="929"/>
      <c r="Z25" s="930"/>
      <c r="AC25" s="1324">
        <f t="shared" si="5"/>
        <v>0</v>
      </c>
      <c r="AD25" s="1325">
        <f t="shared" si="5"/>
        <v>0</v>
      </c>
      <c r="AE25" s="1335">
        <f t="shared" si="6"/>
        <v>0</v>
      </c>
    </row>
    <row r="26" spans="1:31" ht="21.75" customHeight="1">
      <c r="A26" s="935" t="s">
        <v>718</v>
      </c>
      <c r="B26" s="936" t="s">
        <v>738</v>
      </c>
      <c r="C26" s="1332">
        <f t="shared" si="4"/>
        <v>0</v>
      </c>
      <c r="D26" s="1333">
        <f t="shared" si="4"/>
        <v>1</v>
      </c>
      <c r="E26" s="911"/>
      <c r="F26" s="911">
        <v>1</v>
      </c>
      <c r="G26" s="1293"/>
      <c r="H26" s="937"/>
      <c r="I26" s="1293"/>
      <c r="J26" s="937"/>
      <c r="K26" s="911"/>
      <c r="L26" s="911"/>
      <c r="M26" s="1324">
        <f t="shared" si="3"/>
        <v>21</v>
      </c>
      <c r="N26" s="1325">
        <f t="shared" si="3"/>
        <v>14</v>
      </c>
      <c r="Q26" s="929"/>
      <c r="R26" s="930"/>
      <c r="U26" s="929"/>
      <c r="V26" s="930"/>
      <c r="W26" s="913">
        <v>14</v>
      </c>
      <c r="X26" s="913">
        <v>10</v>
      </c>
      <c r="Y26" s="929">
        <v>7</v>
      </c>
      <c r="Z26" s="930">
        <v>4</v>
      </c>
      <c r="AC26" s="1324">
        <f t="shared" si="5"/>
        <v>21</v>
      </c>
      <c r="AD26" s="1325">
        <f t="shared" si="5"/>
        <v>15</v>
      </c>
      <c r="AE26" s="1335">
        <f t="shared" ref="AE26" si="7">SUM(AC26:AD26)</f>
        <v>36</v>
      </c>
    </row>
    <row r="27" spans="1:31" ht="21.75" customHeight="1">
      <c r="A27" s="880" t="s">
        <v>710</v>
      </c>
      <c r="B27" s="884" t="s">
        <v>210</v>
      </c>
      <c r="C27" s="1332">
        <f t="shared" ref="C27:C29" si="8">+E27+G27+I27+K27</f>
        <v>2</v>
      </c>
      <c r="D27" s="1333">
        <f t="shared" ref="D27:D29" si="9">+F27+H27+J27+L27</f>
        <v>2</v>
      </c>
      <c r="E27" s="911">
        <v>2</v>
      </c>
      <c r="F27" s="911">
        <v>2</v>
      </c>
      <c r="G27" s="1293"/>
      <c r="H27" s="937"/>
      <c r="I27" s="1293"/>
      <c r="J27" s="937"/>
      <c r="K27" s="911"/>
      <c r="L27" s="911"/>
      <c r="M27" s="1324">
        <f t="shared" ref="M27:M29" si="10">+O27+Q27+S27+U27+W27+Y27</f>
        <v>43</v>
      </c>
      <c r="N27" s="1325">
        <f t="shared" ref="N27:N29" si="11">+P27+R27+T27+V27+X27+Z27</f>
        <v>30</v>
      </c>
      <c r="P27" s="913">
        <v>4</v>
      </c>
      <c r="Q27" s="929"/>
      <c r="R27" s="930"/>
      <c r="U27" s="929">
        <v>1</v>
      </c>
      <c r="V27" s="930"/>
      <c r="W27" s="913">
        <v>30</v>
      </c>
      <c r="X27" s="913">
        <v>16</v>
      </c>
      <c r="Y27" s="929">
        <v>12</v>
      </c>
      <c r="Z27" s="930">
        <v>10</v>
      </c>
      <c r="AA27" s="913">
        <v>1</v>
      </c>
      <c r="AB27" s="913">
        <v>2</v>
      </c>
      <c r="AC27" s="1324">
        <f t="shared" ref="AC27:AC29" si="12">+M27+C27+AA27</f>
        <v>46</v>
      </c>
      <c r="AD27" s="1325">
        <f t="shared" ref="AD27:AD29" si="13">+N27+D27+AB27</f>
        <v>34</v>
      </c>
      <c r="AE27" s="1335">
        <f t="shared" ref="AE27:AE29" si="14">SUM(AC27:AD27)</f>
        <v>80</v>
      </c>
    </row>
    <row r="28" spans="1:31" ht="21.75" customHeight="1">
      <c r="A28" s="245" t="s">
        <v>1660</v>
      </c>
      <c r="B28" s="293" t="s">
        <v>1662</v>
      </c>
      <c r="C28" s="1332">
        <f t="shared" si="8"/>
        <v>9</v>
      </c>
      <c r="D28" s="1333">
        <f t="shared" si="9"/>
        <v>4</v>
      </c>
      <c r="E28" s="911">
        <v>9</v>
      </c>
      <c r="F28" s="911">
        <v>4</v>
      </c>
      <c r="G28" s="1293"/>
      <c r="H28" s="937"/>
      <c r="I28" s="1293"/>
      <c r="J28" s="937"/>
      <c r="K28" s="911"/>
      <c r="L28" s="911"/>
      <c r="M28" s="1324">
        <f t="shared" si="10"/>
        <v>25</v>
      </c>
      <c r="N28" s="1325">
        <f t="shared" si="11"/>
        <v>15</v>
      </c>
      <c r="O28" s="913">
        <v>4</v>
      </c>
      <c r="Q28" s="929">
        <v>7</v>
      </c>
      <c r="R28" s="930">
        <v>1</v>
      </c>
      <c r="U28" s="929"/>
      <c r="V28" s="930"/>
      <c r="W28" s="913">
        <v>8</v>
      </c>
      <c r="X28" s="913">
        <v>10</v>
      </c>
      <c r="Y28" s="929">
        <v>6</v>
      </c>
      <c r="Z28" s="930">
        <v>4</v>
      </c>
      <c r="AB28" s="913">
        <v>3</v>
      </c>
      <c r="AC28" s="1324">
        <f t="shared" si="12"/>
        <v>34</v>
      </c>
      <c r="AD28" s="1325">
        <f t="shared" si="13"/>
        <v>22</v>
      </c>
      <c r="AE28" s="1335">
        <f t="shared" si="14"/>
        <v>56</v>
      </c>
    </row>
    <row r="29" spans="1:31" ht="27.75" customHeight="1">
      <c r="A29" s="245" t="s">
        <v>1661</v>
      </c>
      <c r="B29" s="293" t="s">
        <v>1663</v>
      </c>
      <c r="C29" s="1332">
        <f t="shared" si="8"/>
        <v>2</v>
      </c>
      <c r="D29" s="1333">
        <f t="shared" si="9"/>
        <v>0</v>
      </c>
      <c r="E29" s="911">
        <v>2</v>
      </c>
      <c r="F29" s="911"/>
      <c r="G29" s="1293"/>
      <c r="H29" s="937"/>
      <c r="I29" s="1293"/>
      <c r="J29" s="937"/>
      <c r="K29" s="911"/>
      <c r="L29" s="911"/>
      <c r="M29" s="1324">
        <f t="shared" si="10"/>
        <v>9</v>
      </c>
      <c r="N29" s="1325">
        <f t="shared" si="11"/>
        <v>4</v>
      </c>
      <c r="O29" s="913">
        <v>1</v>
      </c>
      <c r="Q29" s="929"/>
      <c r="R29" s="930"/>
      <c r="U29" s="929"/>
      <c r="V29" s="930"/>
      <c r="W29" s="913">
        <v>5</v>
      </c>
      <c r="X29" s="913">
        <v>3</v>
      </c>
      <c r="Y29" s="929">
        <v>3</v>
      </c>
      <c r="Z29" s="930">
        <v>1</v>
      </c>
      <c r="AA29" s="913">
        <v>2</v>
      </c>
      <c r="AC29" s="1324">
        <f t="shared" si="12"/>
        <v>13</v>
      </c>
      <c r="AD29" s="1325">
        <f t="shared" si="13"/>
        <v>4</v>
      </c>
      <c r="AE29" s="1335">
        <f t="shared" si="14"/>
        <v>17</v>
      </c>
    </row>
    <row r="30" spans="1:31" ht="21.75" customHeight="1" thickBot="1">
      <c r="A30" s="938"/>
      <c r="B30" s="938" t="s">
        <v>832</v>
      </c>
      <c r="C30" s="1326">
        <f>SUM(C10:C29)</f>
        <v>31</v>
      </c>
      <c r="D30" s="1327">
        <f>SUM(D10:D29)</f>
        <v>24</v>
      </c>
      <c r="E30" s="924">
        <f>SUM(E10:E29)</f>
        <v>29</v>
      </c>
      <c r="F30" s="924">
        <f t="shared" ref="F30:AE30" si="15">SUM(F10:F29)</f>
        <v>24</v>
      </c>
      <c r="G30" s="1295">
        <f t="shared" si="15"/>
        <v>1</v>
      </c>
      <c r="H30" s="1296">
        <f t="shared" si="15"/>
        <v>0</v>
      </c>
      <c r="I30" s="1295">
        <f t="shared" si="15"/>
        <v>1</v>
      </c>
      <c r="J30" s="1296">
        <f t="shared" si="15"/>
        <v>0</v>
      </c>
      <c r="K30" s="924">
        <f t="shared" si="15"/>
        <v>0</v>
      </c>
      <c r="L30" s="924">
        <f t="shared" si="15"/>
        <v>0</v>
      </c>
      <c r="M30" s="1326">
        <f t="shared" si="15"/>
        <v>479</v>
      </c>
      <c r="N30" s="1327">
        <f t="shared" si="15"/>
        <v>462</v>
      </c>
      <c r="O30" s="924">
        <f t="shared" si="15"/>
        <v>15</v>
      </c>
      <c r="P30" s="924">
        <f t="shared" si="15"/>
        <v>17</v>
      </c>
      <c r="Q30" s="1295">
        <f t="shared" si="15"/>
        <v>12</v>
      </c>
      <c r="R30" s="1296">
        <f t="shared" si="15"/>
        <v>3</v>
      </c>
      <c r="S30" s="924">
        <f t="shared" si="15"/>
        <v>0</v>
      </c>
      <c r="T30" s="924">
        <f t="shared" si="15"/>
        <v>1</v>
      </c>
      <c r="U30" s="1295">
        <f t="shared" si="15"/>
        <v>10</v>
      </c>
      <c r="V30" s="1296">
        <f t="shared" si="15"/>
        <v>6</v>
      </c>
      <c r="W30" s="924">
        <f t="shared" si="15"/>
        <v>308</v>
      </c>
      <c r="X30" s="924">
        <f t="shared" si="15"/>
        <v>298</v>
      </c>
      <c r="Y30" s="1295">
        <f t="shared" si="15"/>
        <v>134</v>
      </c>
      <c r="Z30" s="1296">
        <f t="shared" si="15"/>
        <v>137</v>
      </c>
      <c r="AA30" s="924">
        <f t="shared" si="15"/>
        <v>16</v>
      </c>
      <c r="AB30" s="924">
        <f t="shared" si="15"/>
        <v>13</v>
      </c>
      <c r="AC30" s="1326">
        <f t="shared" si="15"/>
        <v>526</v>
      </c>
      <c r="AD30" s="1327">
        <f t="shared" si="15"/>
        <v>499</v>
      </c>
      <c r="AE30" s="1336">
        <f t="shared" si="15"/>
        <v>1025</v>
      </c>
    </row>
    <row r="31" spans="1:31" ht="21.75" customHeight="1">
      <c r="A31" s="915"/>
      <c r="B31" s="915"/>
      <c r="C31" s="915"/>
      <c r="D31" s="915"/>
      <c r="E31" s="915"/>
      <c r="F31" s="915"/>
      <c r="G31" s="915"/>
      <c r="H31" s="915"/>
      <c r="I31" s="915"/>
      <c r="J31" s="915"/>
      <c r="K31" s="915"/>
      <c r="L31" s="915"/>
      <c r="M31" s="915"/>
      <c r="N31" s="915"/>
      <c r="O31" s="915"/>
      <c r="P31" s="915"/>
      <c r="Q31" s="915"/>
      <c r="R31" s="915"/>
      <c r="S31" s="915"/>
      <c r="T31" s="915"/>
      <c r="U31" s="915"/>
      <c r="V31" s="915"/>
      <c r="W31" s="915"/>
      <c r="X31" s="915"/>
      <c r="Y31" s="925"/>
      <c r="Z31" s="925"/>
    </row>
    <row r="32" spans="1:31">
      <c r="A32" s="1711" t="s">
        <v>211</v>
      </c>
      <c r="B32" s="1711"/>
      <c r="C32" s="1711"/>
      <c r="D32" s="1711"/>
      <c r="E32" s="1711"/>
      <c r="F32" s="1711"/>
      <c r="G32" s="1711"/>
      <c r="H32" s="1711"/>
      <c r="I32" s="1711"/>
      <c r="J32" s="1711"/>
      <c r="K32" s="1711"/>
      <c r="L32" s="1711"/>
      <c r="M32" s="1711"/>
      <c r="N32" s="1711"/>
      <c r="O32" s="1711"/>
      <c r="P32" s="1711"/>
      <c r="Q32" s="1711"/>
      <c r="R32" s="1711"/>
      <c r="S32" s="1711"/>
      <c r="T32" s="1711"/>
      <c r="U32" s="1711"/>
      <c r="V32" s="1711"/>
      <c r="W32" s="1711"/>
      <c r="X32" s="1289"/>
      <c r="Y32" s="927"/>
      <c r="Z32" s="927"/>
    </row>
    <row r="33" spans="1:26">
      <c r="A33" s="926"/>
      <c r="B33" s="926"/>
      <c r="C33" s="928"/>
      <c r="D33" s="928"/>
      <c r="E33" s="928"/>
      <c r="F33" s="928"/>
      <c r="G33" s="928"/>
      <c r="H33" s="928"/>
      <c r="I33" s="928"/>
      <c r="J33" s="928"/>
    </row>
    <row r="34" spans="1:26">
      <c r="A34" s="1711" t="str">
        <f>+A3</f>
        <v>SERVICIO DE SALUD   ACONCAGUA   2020</v>
      </c>
      <c r="B34" s="1711"/>
      <c r="C34" s="1711"/>
      <c r="D34" s="1711"/>
      <c r="E34" s="1711"/>
      <c r="F34" s="1711"/>
      <c r="G34" s="1711"/>
      <c r="H34" s="1711"/>
      <c r="I34" s="1711"/>
      <c r="J34" s="1711"/>
      <c r="K34" s="1711"/>
      <c r="L34" s="1711"/>
      <c r="M34" s="1711"/>
      <c r="N34" s="1711"/>
      <c r="O34" s="1711"/>
      <c r="P34" s="1711"/>
      <c r="Q34" s="1711"/>
      <c r="R34" s="1711"/>
      <c r="S34" s="1711"/>
      <c r="T34" s="1711"/>
      <c r="U34" s="1711"/>
      <c r="V34" s="1711"/>
      <c r="W34" s="1711"/>
      <c r="X34" s="1289"/>
    </row>
    <row r="35" spans="1:26" ht="15.75" customHeight="1">
      <c r="A35" s="926"/>
      <c r="B35" s="926"/>
      <c r="C35" s="928"/>
      <c r="D35" s="928"/>
      <c r="E35" s="928"/>
      <c r="F35" s="928"/>
      <c r="G35" s="928"/>
      <c r="H35" s="928"/>
      <c r="I35" s="928"/>
      <c r="J35" s="928"/>
    </row>
    <row r="36" spans="1:26">
      <c r="A36" s="1711" t="s">
        <v>217</v>
      </c>
      <c r="B36" s="1711"/>
      <c r="C36" s="1711"/>
      <c r="D36" s="1711"/>
      <c r="E36" s="1711"/>
      <c r="F36" s="1711"/>
      <c r="G36" s="1711"/>
      <c r="H36" s="1711"/>
      <c r="I36" s="1711"/>
      <c r="J36" s="1711"/>
      <c r="K36" s="1711"/>
      <c r="L36" s="1711"/>
      <c r="M36" s="1711"/>
      <c r="N36" s="1711"/>
      <c r="O36" s="1711"/>
      <c r="P36" s="1711"/>
      <c r="Q36" s="1711"/>
      <c r="R36" s="1711"/>
      <c r="S36" s="1711"/>
      <c r="T36" s="1711"/>
      <c r="U36" s="1711"/>
      <c r="V36" s="1711"/>
      <c r="W36" s="1711"/>
      <c r="X36" s="1289"/>
    </row>
    <row r="38" spans="1:26" ht="21.75" customHeight="1">
      <c r="A38" s="1299" t="s">
        <v>680</v>
      </c>
      <c r="B38" s="868"/>
      <c r="C38" s="1708" t="s">
        <v>726</v>
      </c>
      <c r="D38" s="1709"/>
      <c r="E38" s="1709"/>
      <c r="F38" s="1709"/>
      <c r="G38" s="1709"/>
      <c r="H38" s="1709"/>
      <c r="I38" s="1709"/>
      <c r="J38" s="1709"/>
      <c r="K38" s="1709"/>
      <c r="L38" s="1709"/>
      <c r="M38" s="1709"/>
      <c r="N38" s="1709"/>
      <c r="O38" s="1709"/>
      <c r="P38" s="1709"/>
      <c r="Q38" s="1709"/>
      <c r="R38" s="1709"/>
      <c r="S38" s="1709"/>
      <c r="T38" s="1709"/>
      <c r="U38" s="1709"/>
      <c r="V38" s="1709"/>
      <c r="W38" s="1307"/>
      <c r="X38" s="1307"/>
      <c r="Y38" s="898"/>
      <c r="Z38" s="910"/>
    </row>
    <row r="39" spans="1:26" ht="23.25" customHeight="1">
      <c r="A39" s="1300" t="s">
        <v>682</v>
      </c>
      <c r="B39" s="1337" t="s">
        <v>683</v>
      </c>
      <c r="C39" s="1700" t="s">
        <v>728</v>
      </c>
      <c r="D39" s="1700"/>
      <c r="E39" s="1700" t="s">
        <v>729</v>
      </c>
      <c r="F39" s="1700"/>
      <c r="G39" s="1700" t="s">
        <v>730</v>
      </c>
      <c r="H39" s="1700"/>
      <c r="I39" s="1700" t="s">
        <v>731</v>
      </c>
      <c r="J39" s="1700"/>
      <c r="K39" s="1700" t="s">
        <v>732</v>
      </c>
      <c r="L39" s="1700"/>
      <c r="M39" s="1700" t="s">
        <v>733</v>
      </c>
      <c r="N39" s="1700"/>
      <c r="O39" s="1700" t="s">
        <v>734</v>
      </c>
      <c r="P39" s="1700"/>
      <c r="Q39" s="1700" t="s">
        <v>735</v>
      </c>
      <c r="R39" s="1700"/>
      <c r="S39" s="1700" t="s">
        <v>736</v>
      </c>
      <c r="T39" s="1700"/>
      <c r="U39" s="1700" t="s">
        <v>737</v>
      </c>
      <c r="V39" s="1700"/>
      <c r="W39" s="1700" t="s">
        <v>517</v>
      </c>
      <c r="X39" s="1700"/>
      <c r="Y39" s="1700"/>
    </row>
    <row r="40" spans="1:26">
      <c r="A40" s="1302"/>
      <c r="B40" s="1338"/>
      <c r="C40" s="1286" t="s">
        <v>1461</v>
      </c>
      <c r="D40" s="1288" t="s">
        <v>1462</v>
      </c>
      <c r="E40" s="1287" t="s">
        <v>1461</v>
      </c>
      <c r="F40" s="1288" t="s">
        <v>1462</v>
      </c>
      <c r="G40" s="1287" t="s">
        <v>1461</v>
      </c>
      <c r="H40" s="1288" t="s">
        <v>1462</v>
      </c>
      <c r="I40" s="1287" t="s">
        <v>1461</v>
      </c>
      <c r="J40" s="1288" t="s">
        <v>1462</v>
      </c>
      <c r="K40" s="1287" t="s">
        <v>1461</v>
      </c>
      <c r="L40" s="1288" t="s">
        <v>1462</v>
      </c>
      <c r="M40" s="1287" t="s">
        <v>1461</v>
      </c>
      <c r="N40" s="1288" t="s">
        <v>1462</v>
      </c>
      <c r="O40" s="1287" t="s">
        <v>1461</v>
      </c>
      <c r="P40" s="1288" t="s">
        <v>1462</v>
      </c>
      <c r="Q40" s="1287" t="s">
        <v>1461</v>
      </c>
      <c r="R40" s="1288" t="s">
        <v>1462</v>
      </c>
      <c r="S40" s="1287" t="s">
        <v>1461</v>
      </c>
      <c r="T40" s="1288" t="s">
        <v>1462</v>
      </c>
      <c r="U40" s="1287" t="s">
        <v>1461</v>
      </c>
      <c r="V40" s="1288" t="s">
        <v>1462</v>
      </c>
      <c r="W40" s="1287" t="s">
        <v>1461</v>
      </c>
      <c r="X40" s="1288" t="s">
        <v>1462</v>
      </c>
      <c r="Y40" s="1304" t="s">
        <v>491</v>
      </c>
    </row>
    <row r="41" spans="1:26" ht="20.25" customHeight="1">
      <c r="A41" s="935" t="s">
        <v>716</v>
      </c>
      <c r="B41" s="936" t="s">
        <v>717</v>
      </c>
      <c r="E41" s="1306"/>
      <c r="F41" s="871"/>
      <c r="H41" s="913">
        <v>1</v>
      </c>
      <c r="I41" s="929"/>
      <c r="J41" s="930"/>
      <c r="M41" s="929"/>
      <c r="N41" s="930">
        <v>1</v>
      </c>
      <c r="Q41" s="1306">
        <v>1</v>
      </c>
      <c r="R41" s="871">
        <v>3</v>
      </c>
      <c r="S41" s="913">
        <v>6</v>
      </c>
      <c r="T41" s="913">
        <v>6</v>
      </c>
      <c r="U41" s="1306">
        <v>8</v>
      </c>
      <c r="V41" s="871">
        <v>17</v>
      </c>
      <c r="W41" s="1309">
        <f>+C41+E41+G41+I41+K41+M41+O41+Q41+S41+U41</f>
        <v>15</v>
      </c>
      <c r="X41" s="1341">
        <f>+D41+F41+H41+J41+L41+N41+P41+R41+T41+V41</f>
        <v>28</v>
      </c>
      <c r="Y41" s="937">
        <f t="shared" ref="Y41:Y44" si="16">SUM(W41:X41)</f>
        <v>43</v>
      </c>
    </row>
    <row r="42" spans="1:26" ht="19.5" customHeight="1">
      <c r="A42" s="935" t="s">
        <v>693</v>
      </c>
      <c r="B42" s="936" t="s">
        <v>694</v>
      </c>
      <c r="E42" s="929"/>
      <c r="F42" s="930"/>
      <c r="I42" s="929"/>
      <c r="J42" s="930"/>
      <c r="M42" s="929"/>
      <c r="N42" s="930"/>
      <c r="Q42" s="929">
        <v>1</v>
      </c>
      <c r="R42" s="930">
        <v>3</v>
      </c>
      <c r="S42" s="913">
        <v>11</v>
      </c>
      <c r="T42" s="913">
        <v>16</v>
      </c>
      <c r="U42" s="929">
        <v>18</v>
      </c>
      <c r="V42" s="930">
        <v>10</v>
      </c>
      <c r="W42" s="1293">
        <f>+C42+E42+G42+I42+K42+M42+O42+Q42+S42+U42</f>
        <v>30</v>
      </c>
      <c r="X42" s="937">
        <f>+D42+F42+H42+J42+L42+N42+P42+R42+T42+V42</f>
        <v>29</v>
      </c>
      <c r="Y42" s="937">
        <f t="shared" si="16"/>
        <v>59</v>
      </c>
    </row>
    <row r="43" spans="1:26" ht="18" customHeight="1">
      <c r="A43" s="935" t="s">
        <v>196</v>
      </c>
      <c r="B43" s="936" t="s">
        <v>197</v>
      </c>
      <c r="E43" s="929"/>
      <c r="F43" s="930"/>
      <c r="I43" s="929"/>
      <c r="J43" s="930"/>
      <c r="M43" s="929"/>
      <c r="N43" s="930"/>
      <c r="Q43" s="929">
        <v>2</v>
      </c>
      <c r="R43" s="930">
        <v>1</v>
      </c>
      <c r="S43" s="913">
        <v>1</v>
      </c>
      <c r="T43" s="913">
        <v>1</v>
      </c>
      <c r="U43" s="929">
        <v>2</v>
      </c>
      <c r="V43" s="930">
        <v>2</v>
      </c>
      <c r="W43" s="1293">
        <f t="shared" ref="W43:W60" si="17">+C43+E43+G43+I43+K43+M43+O43+Q43+S43+U43</f>
        <v>5</v>
      </c>
      <c r="X43" s="937">
        <f t="shared" ref="X43:X60" si="18">+D43+F43+H43+J43+L43+N43+P43+R43+T43+V43</f>
        <v>4</v>
      </c>
      <c r="Y43" s="937">
        <f t="shared" si="16"/>
        <v>9</v>
      </c>
    </row>
    <row r="44" spans="1:26" ht="19.5" customHeight="1">
      <c r="A44" s="935" t="s">
        <v>720</v>
      </c>
      <c r="B44" s="936" t="s">
        <v>721</v>
      </c>
      <c r="E44" s="929"/>
      <c r="F44" s="930"/>
      <c r="I44" s="929"/>
      <c r="J44" s="930"/>
      <c r="M44" s="929"/>
      <c r="N44" s="930"/>
      <c r="Q44" s="929">
        <v>7</v>
      </c>
      <c r="R44" s="930">
        <v>1</v>
      </c>
      <c r="S44" s="913">
        <v>12</v>
      </c>
      <c r="T44" s="913">
        <v>6</v>
      </c>
      <c r="U44" s="929">
        <v>9</v>
      </c>
      <c r="V44" s="930">
        <v>21</v>
      </c>
      <c r="W44" s="1293">
        <f t="shared" si="17"/>
        <v>28</v>
      </c>
      <c r="X44" s="937">
        <f t="shared" si="18"/>
        <v>28</v>
      </c>
      <c r="Y44" s="937">
        <f t="shared" si="16"/>
        <v>56</v>
      </c>
    </row>
    <row r="45" spans="1:26" ht="19.5" customHeight="1">
      <c r="A45" s="935" t="s">
        <v>198</v>
      </c>
      <c r="B45" s="936" t="s">
        <v>199</v>
      </c>
      <c r="E45" s="1345"/>
      <c r="F45" s="1346"/>
      <c r="I45" s="929">
        <v>1</v>
      </c>
      <c r="J45" s="930"/>
      <c r="M45" s="929">
        <v>1</v>
      </c>
      <c r="N45" s="930">
        <v>3</v>
      </c>
      <c r="O45" s="913">
        <v>1</v>
      </c>
      <c r="P45" s="913">
        <v>2</v>
      </c>
      <c r="Q45" s="929">
        <v>10</v>
      </c>
      <c r="R45" s="930">
        <v>13</v>
      </c>
      <c r="S45" s="913">
        <v>11</v>
      </c>
      <c r="T45" s="913">
        <v>5</v>
      </c>
      <c r="U45" s="929">
        <v>6</v>
      </c>
      <c r="V45" s="930">
        <v>4</v>
      </c>
      <c r="W45" s="1293">
        <f t="shared" si="17"/>
        <v>30</v>
      </c>
      <c r="X45" s="937">
        <f t="shared" si="18"/>
        <v>27</v>
      </c>
      <c r="Y45" s="937">
        <f>SUM(W45:X45)</f>
        <v>57</v>
      </c>
    </row>
    <row r="46" spans="1:26" ht="19.5" customHeight="1">
      <c r="A46" s="935" t="s">
        <v>200</v>
      </c>
      <c r="B46" s="936" t="s">
        <v>201</v>
      </c>
      <c r="E46" s="929"/>
      <c r="F46" s="930"/>
      <c r="I46" s="929"/>
      <c r="J46" s="930"/>
      <c r="M46" s="929"/>
      <c r="N46" s="930"/>
      <c r="Q46" s="929">
        <v>2</v>
      </c>
      <c r="R46" s="930"/>
      <c r="T46" s="913">
        <v>2</v>
      </c>
      <c r="U46" s="929">
        <v>4</v>
      </c>
      <c r="V46" s="930">
        <v>1</v>
      </c>
      <c r="W46" s="1293">
        <f t="shared" si="17"/>
        <v>6</v>
      </c>
      <c r="X46" s="937">
        <f t="shared" si="18"/>
        <v>3</v>
      </c>
      <c r="Y46" s="937">
        <f t="shared" ref="Y46:Y60" si="19">SUM(W46:X46)</f>
        <v>9</v>
      </c>
    </row>
    <row r="47" spans="1:26" ht="19.5" customHeight="1">
      <c r="A47" s="935" t="s">
        <v>202</v>
      </c>
      <c r="B47" s="936" t="s">
        <v>203</v>
      </c>
      <c r="E47" s="929"/>
      <c r="F47" s="930"/>
      <c r="I47" s="929"/>
      <c r="J47" s="930"/>
      <c r="M47" s="929"/>
      <c r="N47" s="930"/>
      <c r="Q47" s="929"/>
      <c r="R47" s="930"/>
      <c r="U47" s="929"/>
      <c r="V47" s="930">
        <v>2</v>
      </c>
      <c r="W47" s="1293">
        <f t="shared" si="17"/>
        <v>0</v>
      </c>
      <c r="X47" s="937">
        <f t="shared" si="18"/>
        <v>2</v>
      </c>
      <c r="Y47" s="937">
        <f t="shared" si="19"/>
        <v>2</v>
      </c>
    </row>
    <row r="48" spans="1:26" ht="18" customHeight="1">
      <c r="A48" s="935" t="s">
        <v>691</v>
      </c>
      <c r="B48" s="936" t="s">
        <v>692</v>
      </c>
      <c r="E48" s="929"/>
      <c r="F48" s="930"/>
      <c r="I48" s="929"/>
      <c r="J48" s="930"/>
      <c r="M48" s="929"/>
      <c r="N48" s="930"/>
      <c r="Q48" s="929">
        <v>4</v>
      </c>
      <c r="R48" s="930">
        <v>4</v>
      </c>
      <c r="S48" s="913">
        <v>18</v>
      </c>
      <c r="T48" s="913">
        <v>17</v>
      </c>
      <c r="U48" s="929">
        <v>50</v>
      </c>
      <c r="V48" s="930">
        <v>37</v>
      </c>
      <c r="W48" s="1293">
        <f t="shared" si="17"/>
        <v>72</v>
      </c>
      <c r="X48" s="937">
        <f t="shared" si="18"/>
        <v>58</v>
      </c>
      <c r="Y48" s="937">
        <f t="shared" si="19"/>
        <v>130</v>
      </c>
    </row>
    <row r="49" spans="1:25" ht="18.75" customHeight="1">
      <c r="A49" s="935" t="s">
        <v>695</v>
      </c>
      <c r="B49" s="936" t="s">
        <v>696</v>
      </c>
      <c r="E49" s="929"/>
      <c r="F49" s="930"/>
      <c r="G49" s="913">
        <v>1</v>
      </c>
      <c r="I49" s="929">
        <v>2</v>
      </c>
      <c r="J49" s="930"/>
      <c r="K49" s="913">
        <v>1</v>
      </c>
      <c r="L49" s="913">
        <v>1</v>
      </c>
      <c r="M49" s="929"/>
      <c r="N49" s="930"/>
      <c r="P49" s="913">
        <v>2</v>
      </c>
      <c r="Q49" s="929">
        <v>10</v>
      </c>
      <c r="R49" s="930">
        <v>8</v>
      </c>
      <c r="S49" s="913">
        <v>31</v>
      </c>
      <c r="T49" s="913">
        <v>15</v>
      </c>
      <c r="U49" s="929">
        <v>79</v>
      </c>
      <c r="V49" s="930">
        <v>98</v>
      </c>
      <c r="W49" s="1293">
        <f t="shared" si="17"/>
        <v>124</v>
      </c>
      <c r="X49" s="937">
        <f t="shared" si="18"/>
        <v>124</v>
      </c>
      <c r="Y49" s="937">
        <f t="shared" si="19"/>
        <v>248</v>
      </c>
    </row>
    <row r="50" spans="1:25" ht="19.5" customHeight="1">
      <c r="A50" s="935" t="s">
        <v>712</v>
      </c>
      <c r="B50" s="936" t="s">
        <v>713</v>
      </c>
      <c r="E50" s="929"/>
      <c r="F50" s="930"/>
      <c r="I50" s="929"/>
      <c r="J50" s="930">
        <v>4</v>
      </c>
      <c r="M50" s="929">
        <v>1</v>
      </c>
      <c r="N50" s="930"/>
      <c r="Q50" s="929">
        <v>2</v>
      </c>
      <c r="R50" s="930">
        <v>4</v>
      </c>
      <c r="S50" s="913">
        <v>19</v>
      </c>
      <c r="T50" s="913">
        <v>4</v>
      </c>
      <c r="U50" s="929">
        <v>13</v>
      </c>
      <c r="V50" s="930">
        <v>12</v>
      </c>
      <c r="W50" s="1293">
        <f t="shared" si="17"/>
        <v>35</v>
      </c>
      <c r="X50" s="937">
        <f t="shared" si="18"/>
        <v>24</v>
      </c>
      <c r="Y50" s="937">
        <f t="shared" si="19"/>
        <v>59</v>
      </c>
    </row>
    <row r="51" spans="1:25" ht="18" customHeight="1">
      <c r="A51" s="935" t="s">
        <v>204</v>
      </c>
      <c r="B51" s="936" t="s">
        <v>205</v>
      </c>
      <c r="E51" s="929"/>
      <c r="F51" s="930"/>
      <c r="I51" s="929">
        <v>1</v>
      </c>
      <c r="J51" s="930"/>
      <c r="M51" s="929">
        <v>1</v>
      </c>
      <c r="N51" s="930"/>
      <c r="Q51" s="929">
        <v>4</v>
      </c>
      <c r="R51" s="930">
        <v>5</v>
      </c>
      <c r="S51" s="913">
        <v>5</v>
      </c>
      <c r="T51" s="913">
        <v>3</v>
      </c>
      <c r="U51" s="929">
        <v>7</v>
      </c>
      <c r="V51" s="930">
        <v>10</v>
      </c>
      <c r="W51" s="1293">
        <f t="shared" si="17"/>
        <v>18</v>
      </c>
      <c r="X51" s="937">
        <f t="shared" si="18"/>
        <v>18</v>
      </c>
      <c r="Y51" s="937">
        <f t="shared" si="19"/>
        <v>36</v>
      </c>
    </row>
    <row r="52" spans="1:25" ht="19.5" customHeight="1">
      <c r="A52" s="935" t="s">
        <v>206</v>
      </c>
      <c r="B52" s="936" t="s">
        <v>207</v>
      </c>
      <c r="E52" s="929"/>
      <c r="F52" s="930"/>
      <c r="I52" s="929"/>
      <c r="J52" s="930"/>
      <c r="M52" s="929"/>
      <c r="N52" s="930"/>
      <c r="P52" s="913">
        <v>1</v>
      </c>
      <c r="Q52" s="929">
        <v>1</v>
      </c>
      <c r="R52" s="930">
        <v>1</v>
      </c>
      <c r="S52" s="913">
        <v>4</v>
      </c>
      <c r="T52" s="913">
        <v>2</v>
      </c>
      <c r="U52" s="929">
        <v>1</v>
      </c>
      <c r="V52" s="930">
        <v>2</v>
      </c>
      <c r="W52" s="1293">
        <f t="shared" si="17"/>
        <v>6</v>
      </c>
      <c r="X52" s="937">
        <f t="shared" si="18"/>
        <v>6</v>
      </c>
      <c r="Y52" s="937">
        <f t="shared" si="19"/>
        <v>12</v>
      </c>
    </row>
    <row r="53" spans="1:25" ht="18.75" customHeight="1">
      <c r="A53" s="935" t="s">
        <v>714</v>
      </c>
      <c r="B53" s="936" t="s">
        <v>715</v>
      </c>
      <c r="E53" s="929"/>
      <c r="F53" s="930"/>
      <c r="I53" s="929"/>
      <c r="J53" s="930"/>
      <c r="L53" s="913">
        <v>1</v>
      </c>
      <c r="M53" s="929"/>
      <c r="N53" s="930"/>
      <c r="P53" s="913">
        <v>3</v>
      </c>
      <c r="Q53" s="929">
        <v>2</v>
      </c>
      <c r="R53" s="930">
        <v>20</v>
      </c>
      <c r="S53" s="913">
        <v>13</v>
      </c>
      <c r="T53" s="913">
        <v>14</v>
      </c>
      <c r="U53" s="929">
        <v>28</v>
      </c>
      <c r="V53" s="930">
        <v>35</v>
      </c>
      <c r="W53" s="1293">
        <f t="shared" si="17"/>
        <v>43</v>
      </c>
      <c r="X53" s="937">
        <f t="shared" si="18"/>
        <v>73</v>
      </c>
      <c r="Y53" s="937">
        <f t="shared" si="19"/>
        <v>116</v>
      </c>
    </row>
    <row r="54" spans="1:25" ht="18.75" customHeight="1">
      <c r="A54" s="935" t="s">
        <v>208</v>
      </c>
      <c r="B54" s="936" t="s">
        <v>209</v>
      </c>
      <c r="C54" s="919"/>
      <c r="D54" s="919"/>
      <c r="E54" s="1345"/>
      <c r="F54" s="1346"/>
      <c r="G54" s="919"/>
      <c r="H54" s="919"/>
      <c r="I54" s="1345"/>
      <c r="J54" s="1346"/>
      <c r="M54" s="929"/>
      <c r="N54" s="930"/>
      <c r="Q54" s="929"/>
      <c r="R54" s="930"/>
      <c r="U54" s="1345"/>
      <c r="V54" s="1346"/>
      <c r="W54" s="1293">
        <f t="shared" si="17"/>
        <v>0</v>
      </c>
      <c r="X54" s="937">
        <f t="shared" si="18"/>
        <v>0</v>
      </c>
      <c r="Y54" s="937">
        <f t="shared" si="19"/>
        <v>0</v>
      </c>
    </row>
    <row r="55" spans="1:25" ht="18" customHeight="1">
      <c r="A55" s="935" t="s">
        <v>722</v>
      </c>
      <c r="B55" s="936" t="s">
        <v>723</v>
      </c>
      <c r="E55" s="929"/>
      <c r="F55" s="930"/>
      <c r="I55" s="1345"/>
      <c r="J55" s="1346"/>
      <c r="M55" s="929"/>
      <c r="N55" s="930"/>
      <c r="Q55" s="1345"/>
      <c r="R55" s="1346"/>
      <c r="S55" s="919"/>
      <c r="T55" s="919"/>
      <c r="U55" s="1345"/>
      <c r="V55" s="1346"/>
      <c r="W55" s="1293">
        <f t="shared" si="17"/>
        <v>0</v>
      </c>
      <c r="X55" s="937">
        <f t="shared" si="18"/>
        <v>0</v>
      </c>
      <c r="Y55" s="937">
        <f t="shared" si="19"/>
        <v>0</v>
      </c>
    </row>
    <row r="56" spans="1:25" ht="20.25" customHeight="1">
      <c r="A56" s="935" t="s">
        <v>724</v>
      </c>
      <c r="B56" s="936" t="s">
        <v>725</v>
      </c>
      <c r="E56" s="929"/>
      <c r="F56" s="930"/>
      <c r="I56" s="929"/>
      <c r="J56" s="930"/>
      <c r="M56" s="929"/>
      <c r="N56" s="930"/>
      <c r="Q56" s="929"/>
      <c r="R56" s="930"/>
      <c r="U56" s="929"/>
      <c r="V56" s="930"/>
      <c r="W56" s="1293">
        <f t="shared" si="17"/>
        <v>0</v>
      </c>
      <c r="X56" s="937">
        <f t="shared" si="18"/>
        <v>0</v>
      </c>
      <c r="Y56" s="937">
        <f t="shared" si="19"/>
        <v>0</v>
      </c>
    </row>
    <row r="57" spans="1:25" ht="19.5" customHeight="1">
      <c r="A57" s="935" t="s">
        <v>718</v>
      </c>
      <c r="B57" s="936" t="s">
        <v>738</v>
      </c>
      <c r="E57" s="929"/>
      <c r="F57" s="930"/>
      <c r="I57" s="929"/>
      <c r="J57" s="930"/>
      <c r="M57" s="929"/>
      <c r="N57" s="930">
        <v>1</v>
      </c>
      <c r="O57" s="913">
        <v>1</v>
      </c>
      <c r="Q57" s="929">
        <v>7</v>
      </c>
      <c r="R57" s="930">
        <v>3</v>
      </c>
      <c r="S57" s="913">
        <v>3</v>
      </c>
      <c r="T57" s="913">
        <v>8</v>
      </c>
      <c r="U57" s="929">
        <v>10</v>
      </c>
      <c r="V57" s="930">
        <v>3</v>
      </c>
      <c r="W57" s="1293">
        <f t="shared" si="17"/>
        <v>21</v>
      </c>
      <c r="X57" s="937">
        <f t="shared" si="18"/>
        <v>15</v>
      </c>
      <c r="Y57" s="937">
        <f t="shared" si="19"/>
        <v>36</v>
      </c>
    </row>
    <row r="58" spans="1:25" ht="19.5" customHeight="1">
      <c r="A58" s="880" t="s">
        <v>710</v>
      </c>
      <c r="B58" s="884" t="s">
        <v>210</v>
      </c>
      <c r="E58" s="929"/>
      <c r="F58" s="930"/>
      <c r="G58" s="913">
        <v>1</v>
      </c>
      <c r="I58" s="929"/>
      <c r="J58" s="930">
        <v>1</v>
      </c>
      <c r="K58" s="913">
        <v>1</v>
      </c>
      <c r="M58" s="929"/>
      <c r="N58" s="930">
        <v>3</v>
      </c>
      <c r="O58" s="913">
        <v>5</v>
      </c>
      <c r="Q58" s="929">
        <v>14</v>
      </c>
      <c r="R58" s="930">
        <v>12</v>
      </c>
      <c r="S58" s="913">
        <v>11</v>
      </c>
      <c r="T58" s="913">
        <v>5</v>
      </c>
      <c r="U58" s="929">
        <v>14</v>
      </c>
      <c r="V58" s="930">
        <v>13</v>
      </c>
      <c r="W58" s="1293">
        <f t="shared" ref="W58:W59" si="20">+C58+E58+G58+I58+K58+M58+O58+Q58+S58+U58</f>
        <v>46</v>
      </c>
      <c r="X58" s="937">
        <f t="shared" ref="X58:X59" si="21">+D58+F58+H58+J58+L58+N58+P58+R58+T58+V58</f>
        <v>34</v>
      </c>
      <c r="Y58" s="937">
        <f t="shared" ref="Y58:Y59" si="22">SUM(W58:X58)</f>
        <v>80</v>
      </c>
    </row>
    <row r="59" spans="1:25" ht="19.5" customHeight="1">
      <c r="A59" s="245" t="s">
        <v>1660</v>
      </c>
      <c r="B59" s="293" t="s">
        <v>1662</v>
      </c>
      <c r="E59" s="929"/>
      <c r="F59" s="930"/>
      <c r="I59" s="929"/>
      <c r="J59" s="930"/>
      <c r="M59" s="929"/>
      <c r="N59" s="930"/>
      <c r="Q59" s="929">
        <v>6</v>
      </c>
      <c r="R59" s="930">
        <v>3</v>
      </c>
      <c r="S59" s="913">
        <v>10</v>
      </c>
      <c r="T59" s="913">
        <v>8</v>
      </c>
      <c r="U59" s="929">
        <v>18</v>
      </c>
      <c r="V59" s="930">
        <v>11</v>
      </c>
      <c r="W59" s="1293">
        <f t="shared" si="20"/>
        <v>34</v>
      </c>
      <c r="X59" s="937">
        <f t="shared" si="21"/>
        <v>22</v>
      </c>
      <c r="Y59" s="937">
        <f t="shared" si="22"/>
        <v>56</v>
      </c>
    </row>
    <row r="60" spans="1:25" ht="27.75" customHeight="1">
      <c r="A60" s="245" t="s">
        <v>1661</v>
      </c>
      <c r="B60" s="293" t="s">
        <v>1663</v>
      </c>
      <c r="E60" s="929"/>
      <c r="F60" s="930"/>
      <c r="I60" s="929"/>
      <c r="J60" s="930"/>
      <c r="M60" s="929"/>
      <c r="N60" s="930"/>
      <c r="Q60" s="929">
        <v>5</v>
      </c>
      <c r="R60" s="930"/>
      <c r="S60" s="913">
        <v>5</v>
      </c>
      <c r="T60" s="913">
        <v>1</v>
      </c>
      <c r="U60" s="929">
        <v>3</v>
      </c>
      <c r="V60" s="930">
        <v>3</v>
      </c>
      <c r="W60" s="1293">
        <f t="shared" si="17"/>
        <v>13</v>
      </c>
      <c r="X60" s="937">
        <f t="shared" si="18"/>
        <v>4</v>
      </c>
      <c r="Y60" s="937">
        <f t="shared" si="19"/>
        <v>17</v>
      </c>
    </row>
    <row r="61" spans="1:25" ht="19.5" customHeight="1">
      <c r="A61" s="938"/>
      <c r="B61" s="938" t="s">
        <v>832</v>
      </c>
      <c r="C61" s="1308">
        <f t="shared" ref="C61" si="23">SUM(C41:C60)</f>
        <v>0</v>
      </c>
      <c r="D61" s="931">
        <f>SUM(D41:D60)</f>
        <v>0</v>
      </c>
      <c r="E61" s="1308">
        <f>SUM(E41:E60)</f>
        <v>0</v>
      </c>
      <c r="F61" s="1312">
        <f t="shared" ref="F61:X61" si="24">SUM(F41:F60)</f>
        <v>0</v>
      </c>
      <c r="G61" s="931">
        <f t="shared" si="24"/>
        <v>2</v>
      </c>
      <c r="H61" s="931">
        <f t="shared" si="24"/>
        <v>1</v>
      </c>
      <c r="I61" s="1308">
        <f t="shared" si="24"/>
        <v>4</v>
      </c>
      <c r="J61" s="1312">
        <f t="shared" si="24"/>
        <v>5</v>
      </c>
      <c r="K61" s="931">
        <f t="shared" si="24"/>
        <v>2</v>
      </c>
      <c r="L61" s="931">
        <f t="shared" si="24"/>
        <v>2</v>
      </c>
      <c r="M61" s="1308">
        <f t="shared" si="24"/>
        <v>3</v>
      </c>
      <c r="N61" s="1312">
        <f t="shared" si="24"/>
        <v>8</v>
      </c>
      <c r="O61" s="931">
        <f t="shared" si="24"/>
        <v>7</v>
      </c>
      <c r="P61" s="931">
        <f t="shared" si="24"/>
        <v>8</v>
      </c>
      <c r="Q61" s="1308">
        <f t="shared" si="24"/>
        <v>78</v>
      </c>
      <c r="R61" s="1312">
        <f t="shared" si="24"/>
        <v>81</v>
      </c>
      <c r="S61" s="931">
        <f t="shared" si="24"/>
        <v>160</v>
      </c>
      <c r="T61" s="931">
        <f t="shared" si="24"/>
        <v>113</v>
      </c>
      <c r="U61" s="1308">
        <f t="shared" si="24"/>
        <v>270</v>
      </c>
      <c r="V61" s="1312">
        <f t="shared" si="24"/>
        <v>281</v>
      </c>
      <c r="W61" s="1308">
        <f t="shared" si="24"/>
        <v>526</v>
      </c>
      <c r="X61" s="1312">
        <f t="shared" si="24"/>
        <v>499</v>
      </c>
      <c r="Y61" s="932">
        <f>SUM(Y41:Y60)</f>
        <v>1025</v>
      </c>
    </row>
  </sheetData>
  <mergeCells count="22">
    <mergeCell ref="C38:V38"/>
    <mergeCell ref="A36:W36"/>
    <mergeCell ref="C8:D8"/>
    <mergeCell ref="E8:F8"/>
    <mergeCell ref="M8:N8"/>
    <mergeCell ref="A34:W34"/>
    <mergeCell ref="AC8:AE8"/>
    <mergeCell ref="A1:AE1"/>
    <mergeCell ref="A3:AE3"/>
    <mergeCell ref="A5:AE5"/>
    <mergeCell ref="A32:W32"/>
    <mergeCell ref="C39:D39"/>
    <mergeCell ref="E39:F39"/>
    <mergeCell ref="G39:H39"/>
    <mergeCell ref="I39:J39"/>
    <mergeCell ref="K39:L39"/>
    <mergeCell ref="W39:Y39"/>
    <mergeCell ref="M39:N39"/>
    <mergeCell ref="O39:P39"/>
    <mergeCell ref="Q39:R39"/>
    <mergeCell ref="S39:T39"/>
    <mergeCell ref="U39:V39"/>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topLeftCell="Q28" zoomScale="75" workbookViewId="0">
      <selection activeCell="AE27" sqref="AE27"/>
    </sheetView>
  </sheetViews>
  <sheetFormatPr baseColWidth="10" defaultColWidth="11.44140625" defaultRowHeight="13.2"/>
  <cols>
    <col min="1" max="1" width="9.44140625" style="897" customWidth="1"/>
    <col min="2" max="2" width="29.21875" style="897" customWidth="1"/>
    <col min="3" max="6" width="9.77734375" style="897" customWidth="1"/>
    <col min="7" max="8" width="10.44140625" style="897" customWidth="1"/>
    <col min="9" max="10" width="9.5546875" style="897" customWidth="1"/>
    <col min="11" max="12" width="10.77734375" style="897" customWidth="1"/>
    <col min="13" max="14" width="11.44140625" style="897"/>
    <col min="15" max="16" width="8.77734375" style="897" customWidth="1"/>
    <col min="17" max="18" width="9.77734375" style="897" customWidth="1"/>
    <col min="19" max="20" width="10" style="897" customWidth="1"/>
    <col min="21" max="22" width="10.5546875" style="897" customWidth="1"/>
    <col min="23" max="24" width="8.5546875" style="897" customWidth="1"/>
    <col min="25" max="26" width="9.21875" style="897" customWidth="1"/>
    <col min="27" max="28" width="9.77734375" style="897" customWidth="1"/>
    <col min="29" max="16384" width="11.44140625" style="897"/>
  </cols>
  <sheetData>
    <row r="1" spans="1:31">
      <c r="A1" s="1712" t="s">
        <v>195</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row>
    <row r="2" spans="1:31">
      <c r="A2" s="939"/>
      <c r="B2" s="939"/>
      <c r="C2" s="940"/>
      <c r="D2" s="940"/>
      <c r="E2" s="940"/>
      <c r="F2" s="940"/>
      <c r="G2" s="940"/>
      <c r="H2" s="940"/>
      <c r="I2" s="940"/>
      <c r="J2" s="940"/>
      <c r="K2" s="940"/>
      <c r="L2" s="940"/>
      <c r="M2" s="940"/>
      <c r="N2" s="940"/>
      <c r="O2" s="940"/>
      <c r="P2" s="940"/>
      <c r="Q2" s="940"/>
      <c r="R2" s="940"/>
      <c r="S2" s="895"/>
      <c r="T2" s="895"/>
      <c r="U2" s="895"/>
      <c r="V2" s="895"/>
      <c r="W2" s="895"/>
      <c r="X2" s="895"/>
      <c r="Y2" s="895"/>
      <c r="Z2" s="895"/>
    </row>
    <row r="3" spans="1:31">
      <c r="A3" s="1712" t="str">
        <f>+'89'!A3</f>
        <v>SERVICIO DE SALUD   ACONCAGUA   2020</v>
      </c>
      <c r="B3" s="1712"/>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row>
    <row r="4" spans="1:31">
      <c r="A4" s="939"/>
      <c r="B4" s="939"/>
      <c r="C4" s="940"/>
      <c r="D4" s="940"/>
      <c r="E4" s="940"/>
      <c r="F4" s="940"/>
      <c r="G4" s="940"/>
      <c r="H4" s="940"/>
      <c r="I4" s="940"/>
      <c r="J4" s="940"/>
      <c r="K4" s="940"/>
      <c r="L4" s="940"/>
      <c r="M4" s="940"/>
      <c r="N4" s="940"/>
      <c r="O4" s="940"/>
      <c r="P4" s="940"/>
      <c r="Q4" s="940"/>
      <c r="R4" s="940"/>
      <c r="S4" s="895"/>
      <c r="T4" s="895"/>
      <c r="U4" s="895"/>
      <c r="V4" s="895"/>
      <c r="W4" s="895"/>
      <c r="X4" s="895"/>
      <c r="Y4" s="895"/>
      <c r="Z4" s="895"/>
    </row>
    <row r="5" spans="1:31">
      <c r="A5" s="1712" t="s">
        <v>218</v>
      </c>
      <c r="B5" s="1712"/>
      <c r="C5" s="1712"/>
      <c r="D5" s="1712"/>
      <c r="E5" s="1712"/>
      <c r="F5" s="1712"/>
      <c r="G5" s="1712"/>
      <c r="H5" s="1712"/>
      <c r="I5" s="1712"/>
      <c r="J5" s="1712"/>
      <c r="K5" s="1712"/>
      <c r="L5" s="1712"/>
      <c r="M5" s="1712"/>
      <c r="N5" s="1712"/>
      <c r="O5" s="1712"/>
      <c r="P5" s="1712"/>
      <c r="Q5" s="1712"/>
      <c r="R5" s="1712"/>
      <c r="S5" s="1712"/>
      <c r="T5" s="1712"/>
      <c r="U5" s="1712"/>
      <c r="V5" s="1712"/>
      <c r="W5" s="1712"/>
      <c r="X5" s="1712"/>
      <c r="Y5" s="1712"/>
      <c r="Z5" s="1712"/>
      <c r="AA5" s="1712"/>
      <c r="AB5" s="1712"/>
      <c r="AC5" s="1712"/>
      <c r="AD5" s="1712"/>
      <c r="AE5" s="1712"/>
    </row>
    <row r="6" spans="1:31">
      <c r="A6" s="909"/>
    </row>
    <row r="7" spans="1:31" ht="18.75" customHeight="1">
      <c r="A7" s="1299" t="s">
        <v>680</v>
      </c>
      <c r="B7" s="868"/>
      <c r="C7" s="869"/>
      <c r="D7" s="869"/>
      <c r="E7" s="869"/>
      <c r="F7" s="870" t="s">
        <v>681</v>
      </c>
      <c r="G7" s="870"/>
      <c r="H7" s="870"/>
      <c r="I7" s="870"/>
      <c r="J7" s="870"/>
      <c r="K7" s="870"/>
      <c r="L7" s="870"/>
      <c r="M7" s="870"/>
      <c r="N7" s="870"/>
      <c r="O7" s="870"/>
      <c r="P7" s="870"/>
      <c r="Q7" s="870"/>
      <c r="R7" s="870"/>
      <c r="S7" s="870"/>
      <c r="T7" s="870"/>
      <c r="U7" s="870"/>
      <c r="V7" s="870"/>
      <c r="W7" s="870"/>
      <c r="X7" s="870"/>
      <c r="Y7" s="870"/>
      <c r="Z7" s="870"/>
      <c r="AA7" s="870"/>
      <c r="AB7" s="870"/>
      <c r="AC7" s="870"/>
      <c r="AD7" s="870"/>
      <c r="AE7" s="871"/>
    </row>
    <row r="8" spans="1:31" ht="23.25" customHeight="1">
      <c r="A8" s="1300" t="s">
        <v>682</v>
      </c>
      <c r="B8" s="1337" t="s">
        <v>683</v>
      </c>
      <c r="C8" s="1701" t="s">
        <v>684</v>
      </c>
      <c r="D8" s="1702"/>
      <c r="E8" s="1703" t="s">
        <v>630</v>
      </c>
      <c r="F8" s="1700"/>
      <c r="G8" s="1291" t="s">
        <v>685</v>
      </c>
      <c r="H8" s="1291"/>
      <c r="I8" s="1291" t="s">
        <v>686</v>
      </c>
      <c r="J8" s="1291"/>
      <c r="K8" s="1291" t="s">
        <v>429</v>
      </c>
      <c r="L8" s="1291"/>
      <c r="M8" s="1704" t="s">
        <v>687</v>
      </c>
      <c r="N8" s="1705"/>
      <c r="O8" s="1291" t="s">
        <v>688</v>
      </c>
      <c r="P8" s="1291"/>
      <c r="Q8" s="1291" t="s">
        <v>393</v>
      </c>
      <c r="R8" s="1291"/>
      <c r="S8" s="1291" t="s">
        <v>411</v>
      </c>
      <c r="T8" s="1291"/>
      <c r="U8" s="1291" t="s">
        <v>416</v>
      </c>
      <c r="V8" s="1291"/>
      <c r="W8" s="1291" t="s">
        <v>689</v>
      </c>
      <c r="X8" s="1291"/>
      <c r="Y8" s="1291" t="s">
        <v>418</v>
      </c>
      <c r="Z8" s="1291"/>
      <c r="AA8" s="1291" t="s">
        <v>690</v>
      </c>
      <c r="AB8" s="876"/>
      <c r="AC8" s="1706" t="s">
        <v>517</v>
      </c>
      <c r="AD8" s="1707"/>
      <c r="AE8" s="1703"/>
    </row>
    <row r="9" spans="1:31" ht="13.8" thickBot="1">
      <c r="A9" s="1302"/>
      <c r="B9" s="1338"/>
      <c r="C9" s="1305" t="s">
        <v>1461</v>
      </c>
      <c r="D9" s="871" t="s">
        <v>1462</v>
      </c>
      <c r="E9" s="1287" t="s">
        <v>1461</v>
      </c>
      <c r="F9" s="1288" t="s">
        <v>1462</v>
      </c>
      <c r="G9" s="1286" t="s">
        <v>1461</v>
      </c>
      <c r="H9" s="1288" t="s">
        <v>1462</v>
      </c>
      <c r="I9" s="1287" t="s">
        <v>1461</v>
      </c>
      <c r="J9" s="1288" t="s">
        <v>1462</v>
      </c>
      <c r="K9" s="1287" t="s">
        <v>1461</v>
      </c>
      <c r="L9" s="1288" t="s">
        <v>1462</v>
      </c>
      <c r="M9" s="1305" t="s">
        <v>1461</v>
      </c>
      <c r="N9" s="871" t="s">
        <v>1462</v>
      </c>
      <c r="O9" s="1286" t="s">
        <v>1461</v>
      </c>
      <c r="P9" s="1288" t="s">
        <v>1462</v>
      </c>
      <c r="Q9" s="1287" t="s">
        <v>1461</v>
      </c>
      <c r="R9" s="1287" t="s">
        <v>1462</v>
      </c>
      <c r="S9" s="1286" t="s">
        <v>1461</v>
      </c>
      <c r="T9" s="1288" t="s">
        <v>1462</v>
      </c>
      <c r="U9" s="1287" t="s">
        <v>1461</v>
      </c>
      <c r="V9" s="1288" t="s">
        <v>1462</v>
      </c>
      <c r="W9" s="1287" t="s">
        <v>1461</v>
      </c>
      <c r="X9" s="1287" t="s">
        <v>1462</v>
      </c>
      <c r="Y9" s="1286" t="s">
        <v>1461</v>
      </c>
      <c r="Z9" s="1288" t="s">
        <v>1462</v>
      </c>
      <c r="AA9" s="1287" t="s">
        <v>1461</v>
      </c>
      <c r="AB9" s="1288" t="s">
        <v>1462</v>
      </c>
      <c r="AC9" s="1305" t="s">
        <v>1461</v>
      </c>
      <c r="AD9" s="871" t="s">
        <v>1462</v>
      </c>
      <c r="AE9" s="899" t="s">
        <v>491</v>
      </c>
    </row>
    <row r="10" spans="1:31" ht="18" customHeight="1">
      <c r="A10" s="880" t="s">
        <v>716</v>
      </c>
      <c r="B10" s="881" t="s">
        <v>717</v>
      </c>
      <c r="C10" s="1330">
        <f t="shared" ref="C10" si="0">+E10+G10+I10+K10</f>
        <v>2</v>
      </c>
      <c r="D10" s="1331">
        <f t="shared" ref="D10" si="1">+F10+H10+J10+L10</f>
        <v>1</v>
      </c>
      <c r="E10" s="1003">
        <v>1</v>
      </c>
      <c r="F10" s="1003"/>
      <c r="G10" s="1339"/>
      <c r="H10" s="1340"/>
      <c r="I10" s="1339">
        <v>1</v>
      </c>
      <c r="J10" s="1340">
        <v>1</v>
      </c>
      <c r="K10" s="1003"/>
      <c r="L10" s="1003"/>
      <c r="M10" s="1322">
        <f>+O10+Q10+S10+U10+W10+Y10</f>
        <v>8</v>
      </c>
      <c r="N10" s="1323">
        <f>+P10+R10+T10+V10+X10+Z10</f>
        <v>4</v>
      </c>
      <c r="O10" s="913">
        <v>1</v>
      </c>
      <c r="P10" s="913">
        <v>1</v>
      </c>
      <c r="Q10" s="1306">
        <v>6</v>
      </c>
      <c r="R10" s="871">
        <v>3</v>
      </c>
      <c r="S10" s="913">
        <v>1</v>
      </c>
      <c r="T10" s="913"/>
      <c r="U10" s="1306"/>
      <c r="V10" s="871"/>
      <c r="W10" s="913"/>
      <c r="X10" s="913"/>
      <c r="Y10" s="929"/>
      <c r="Z10" s="930"/>
      <c r="AA10" s="913"/>
      <c r="AB10" s="913"/>
      <c r="AC10" s="1322">
        <f t="shared" ref="AC10:AC13" si="2">+M10+C10+AA10</f>
        <v>10</v>
      </c>
      <c r="AD10" s="1323">
        <f t="shared" ref="AD10:AD13" si="3">+N10+D10+AB10</f>
        <v>5</v>
      </c>
      <c r="AE10" s="1334">
        <f t="shared" ref="AE10:AE13" si="4">SUM(AC10:AD10)</f>
        <v>15</v>
      </c>
    </row>
    <row r="11" spans="1:31" ht="20.25" customHeight="1">
      <c r="A11" s="880" t="s">
        <v>693</v>
      </c>
      <c r="B11" s="881" t="s">
        <v>694</v>
      </c>
      <c r="C11" s="1332">
        <f t="shared" ref="C11:C13" si="5">+E11+G11+I11+K11</f>
        <v>1</v>
      </c>
      <c r="D11" s="1333">
        <f t="shared" ref="D11:D13" si="6">+F11+H11+J11+L11</f>
        <v>0</v>
      </c>
      <c r="E11" s="1003"/>
      <c r="F11" s="1003"/>
      <c r="G11" s="1303">
        <v>1</v>
      </c>
      <c r="H11" s="1294"/>
      <c r="I11" s="1303"/>
      <c r="J11" s="1294"/>
      <c r="K11" s="1003"/>
      <c r="L11" s="1003"/>
      <c r="M11" s="1324">
        <f t="shared" ref="M11:N26" si="7">+O11+Q11+S11+U11+W11+Y11</f>
        <v>7</v>
      </c>
      <c r="N11" s="1325">
        <f t="shared" si="7"/>
        <v>2</v>
      </c>
      <c r="O11" s="913"/>
      <c r="P11" s="913"/>
      <c r="Q11" s="929">
        <v>7</v>
      </c>
      <c r="R11" s="930">
        <v>2</v>
      </c>
      <c r="S11" s="913"/>
      <c r="T11" s="913"/>
      <c r="U11" s="929"/>
      <c r="V11" s="930"/>
      <c r="W11" s="913"/>
      <c r="X11" s="913"/>
      <c r="Y11" s="929"/>
      <c r="Z11" s="930"/>
      <c r="AA11" s="913"/>
      <c r="AB11" s="913">
        <v>1</v>
      </c>
      <c r="AC11" s="1324">
        <f t="shared" si="2"/>
        <v>8</v>
      </c>
      <c r="AD11" s="1325">
        <f t="shared" si="3"/>
        <v>3</v>
      </c>
      <c r="AE11" s="1335">
        <f t="shared" si="4"/>
        <v>11</v>
      </c>
    </row>
    <row r="12" spans="1:31" ht="19.5" customHeight="1">
      <c r="A12" s="880" t="s">
        <v>196</v>
      </c>
      <c r="B12" s="881" t="s">
        <v>197</v>
      </c>
      <c r="C12" s="1332">
        <f t="shared" si="5"/>
        <v>0</v>
      </c>
      <c r="D12" s="1333">
        <f t="shared" si="6"/>
        <v>0</v>
      </c>
      <c r="E12" s="1003"/>
      <c r="F12" s="1003"/>
      <c r="G12" s="1303"/>
      <c r="H12" s="1294"/>
      <c r="I12" s="1303"/>
      <c r="J12" s="1294"/>
      <c r="K12" s="1003"/>
      <c r="L12" s="1003"/>
      <c r="M12" s="1324">
        <f t="shared" si="7"/>
        <v>3</v>
      </c>
      <c r="N12" s="1325">
        <f t="shared" si="7"/>
        <v>1</v>
      </c>
      <c r="O12" s="913"/>
      <c r="P12" s="913"/>
      <c r="Q12" s="929">
        <v>2</v>
      </c>
      <c r="R12" s="930">
        <v>1</v>
      </c>
      <c r="S12" s="913"/>
      <c r="T12" s="913"/>
      <c r="U12" s="929">
        <v>1</v>
      </c>
      <c r="V12" s="930"/>
      <c r="W12" s="913"/>
      <c r="X12" s="913"/>
      <c r="Y12" s="929"/>
      <c r="Z12" s="930"/>
      <c r="AA12" s="913"/>
      <c r="AB12" s="913"/>
      <c r="AC12" s="1324">
        <f t="shared" si="2"/>
        <v>3</v>
      </c>
      <c r="AD12" s="1325">
        <f t="shared" si="3"/>
        <v>1</v>
      </c>
      <c r="AE12" s="1335">
        <f t="shared" si="4"/>
        <v>4</v>
      </c>
    </row>
    <row r="13" spans="1:31" ht="20.25" customHeight="1">
      <c r="A13" s="880" t="s">
        <v>720</v>
      </c>
      <c r="B13" s="881" t="s">
        <v>721</v>
      </c>
      <c r="C13" s="1332">
        <f t="shared" si="5"/>
        <v>0</v>
      </c>
      <c r="D13" s="1333">
        <f t="shared" si="6"/>
        <v>0</v>
      </c>
      <c r="E13" s="1003"/>
      <c r="F13" s="1003"/>
      <c r="G13" s="1303"/>
      <c r="H13" s="1294"/>
      <c r="I13" s="1303"/>
      <c r="J13" s="1294"/>
      <c r="K13" s="1003"/>
      <c r="L13" s="1003"/>
      <c r="M13" s="1324">
        <f t="shared" si="7"/>
        <v>13</v>
      </c>
      <c r="N13" s="1325">
        <f t="shared" si="7"/>
        <v>11</v>
      </c>
      <c r="O13" s="913">
        <v>2</v>
      </c>
      <c r="P13" s="913">
        <v>2</v>
      </c>
      <c r="Q13" s="929">
        <v>9</v>
      </c>
      <c r="R13" s="930">
        <v>8</v>
      </c>
      <c r="S13" s="913">
        <v>1</v>
      </c>
      <c r="T13" s="913"/>
      <c r="U13" s="929"/>
      <c r="V13" s="930"/>
      <c r="W13" s="913"/>
      <c r="X13" s="913">
        <v>1</v>
      </c>
      <c r="Y13" s="929">
        <v>1</v>
      </c>
      <c r="Z13" s="930"/>
      <c r="AA13" s="913"/>
      <c r="AB13" s="913"/>
      <c r="AC13" s="1324">
        <f t="shared" si="2"/>
        <v>13</v>
      </c>
      <c r="AD13" s="1325">
        <f t="shared" si="3"/>
        <v>11</v>
      </c>
      <c r="AE13" s="1335">
        <f t="shared" si="4"/>
        <v>24</v>
      </c>
    </row>
    <row r="14" spans="1:31" ht="19.5" customHeight="1">
      <c r="A14" s="880" t="s">
        <v>198</v>
      </c>
      <c r="B14" s="881" t="s">
        <v>199</v>
      </c>
      <c r="C14" s="1332">
        <f>+E14+G14+I14+K14</f>
        <v>3</v>
      </c>
      <c r="D14" s="1333">
        <f>+F14+H14+J14+L14</f>
        <v>6</v>
      </c>
      <c r="E14" s="1003">
        <v>1</v>
      </c>
      <c r="F14" s="1003">
        <v>6</v>
      </c>
      <c r="G14" s="1303">
        <v>1</v>
      </c>
      <c r="H14" s="1294"/>
      <c r="I14" s="1303">
        <v>1</v>
      </c>
      <c r="J14" s="1294"/>
      <c r="K14" s="1003"/>
      <c r="L14" s="1003"/>
      <c r="M14" s="1324">
        <f t="shared" si="7"/>
        <v>18</v>
      </c>
      <c r="N14" s="1325">
        <f t="shared" si="7"/>
        <v>27</v>
      </c>
      <c r="O14" s="913">
        <v>3</v>
      </c>
      <c r="P14" s="913">
        <v>10</v>
      </c>
      <c r="Q14" s="929">
        <v>13</v>
      </c>
      <c r="R14" s="930">
        <v>17</v>
      </c>
      <c r="S14" s="913">
        <v>1</v>
      </c>
      <c r="T14" s="913"/>
      <c r="U14" s="929"/>
      <c r="V14" s="930"/>
      <c r="W14" s="913"/>
      <c r="X14" s="913"/>
      <c r="Y14" s="929">
        <v>1</v>
      </c>
      <c r="Z14" s="930"/>
      <c r="AA14" s="913">
        <v>2</v>
      </c>
      <c r="AB14" s="913">
        <v>2</v>
      </c>
      <c r="AC14" s="1324">
        <f>+M14+C14+AA14</f>
        <v>23</v>
      </c>
      <c r="AD14" s="1325">
        <f>+N14+D14+AB14</f>
        <v>35</v>
      </c>
      <c r="AE14" s="1335">
        <f>SUM(AC14:AD14)</f>
        <v>58</v>
      </c>
    </row>
    <row r="15" spans="1:31" ht="19.5" customHeight="1">
      <c r="A15" s="880" t="s">
        <v>200</v>
      </c>
      <c r="B15" s="881" t="s">
        <v>201</v>
      </c>
      <c r="C15" s="1332">
        <f t="shared" ref="C15:C29" si="8">+E15+G15+I15+K15</f>
        <v>0</v>
      </c>
      <c r="D15" s="1333">
        <f t="shared" ref="D15:D29" si="9">+F15+H15+J15+L15</f>
        <v>0</v>
      </c>
      <c r="E15" s="1003"/>
      <c r="F15" s="1003"/>
      <c r="G15" s="1303"/>
      <c r="H15" s="1294"/>
      <c r="I15" s="1303"/>
      <c r="J15" s="1294"/>
      <c r="K15" s="1003"/>
      <c r="L15" s="1003"/>
      <c r="M15" s="1324">
        <f t="shared" si="7"/>
        <v>1</v>
      </c>
      <c r="N15" s="1325">
        <f t="shared" si="7"/>
        <v>2</v>
      </c>
      <c r="O15" s="913">
        <v>1</v>
      </c>
      <c r="P15" s="913">
        <v>1</v>
      </c>
      <c r="Q15" s="929"/>
      <c r="R15" s="930">
        <v>1</v>
      </c>
      <c r="S15" s="913"/>
      <c r="T15" s="913"/>
      <c r="U15" s="929"/>
      <c r="V15" s="930"/>
      <c r="W15" s="913"/>
      <c r="X15" s="913"/>
      <c r="Y15" s="929"/>
      <c r="Z15" s="930"/>
      <c r="AA15" s="913"/>
      <c r="AB15" s="913"/>
      <c r="AC15" s="1324">
        <f t="shared" ref="AC15:AC25" si="10">+M15+C15+AA15</f>
        <v>1</v>
      </c>
      <c r="AD15" s="1325">
        <f t="shared" ref="AD15:AD25" si="11">+N15+D15+AB15</f>
        <v>2</v>
      </c>
      <c r="AE15" s="1335">
        <f t="shared" ref="AE15:AE25" si="12">SUM(AC15:AD15)</f>
        <v>3</v>
      </c>
    </row>
    <row r="16" spans="1:31" ht="19.5" customHeight="1">
      <c r="A16" s="880" t="s">
        <v>202</v>
      </c>
      <c r="B16" s="881" t="s">
        <v>203</v>
      </c>
      <c r="C16" s="1332">
        <f t="shared" si="8"/>
        <v>0</v>
      </c>
      <c r="D16" s="1333">
        <f t="shared" si="9"/>
        <v>0</v>
      </c>
      <c r="E16" s="1003"/>
      <c r="F16" s="1003"/>
      <c r="G16" s="1303"/>
      <c r="H16" s="1294"/>
      <c r="I16" s="1303"/>
      <c r="J16" s="1294"/>
      <c r="K16" s="1003"/>
      <c r="L16" s="1003"/>
      <c r="M16" s="1324">
        <f t="shared" si="7"/>
        <v>0</v>
      </c>
      <c r="N16" s="1325">
        <f t="shared" si="7"/>
        <v>0</v>
      </c>
      <c r="O16" s="913"/>
      <c r="P16" s="913"/>
      <c r="Q16" s="929"/>
      <c r="R16" s="930"/>
      <c r="S16" s="913"/>
      <c r="T16" s="913"/>
      <c r="U16" s="929"/>
      <c r="V16" s="930"/>
      <c r="W16" s="913"/>
      <c r="X16" s="913"/>
      <c r="Y16" s="929"/>
      <c r="Z16" s="930"/>
      <c r="AA16" s="913"/>
      <c r="AB16" s="913"/>
      <c r="AC16" s="1324">
        <f t="shared" si="10"/>
        <v>0</v>
      </c>
      <c r="AD16" s="1325">
        <f t="shared" si="11"/>
        <v>0</v>
      </c>
      <c r="AE16" s="1335">
        <f t="shared" si="12"/>
        <v>0</v>
      </c>
    </row>
    <row r="17" spans="1:31" ht="20.25" customHeight="1">
      <c r="A17" s="880" t="s">
        <v>691</v>
      </c>
      <c r="B17" s="881" t="s">
        <v>692</v>
      </c>
      <c r="C17" s="1332">
        <f t="shared" si="8"/>
        <v>4</v>
      </c>
      <c r="D17" s="1333">
        <f t="shared" si="9"/>
        <v>5</v>
      </c>
      <c r="E17" s="1003">
        <v>2</v>
      </c>
      <c r="F17" s="1003">
        <v>1</v>
      </c>
      <c r="G17" s="1303"/>
      <c r="H17" s="1294">
        <v>3</v>
      </c>
      <c r="I17" s="1303">
        <v>1</v>
      </c>
      <c r="J17" s="1294">
        <v>1</v>
      </c>
      <c r="K17" s="1003">
        <v>1</v>
      </c>
      <c r="L17" s="1003"/>
      <c r="M17" s="1324">
        <f t="shared" si="7"/>
        <v>22</v>
      </c>
      <c r="N17" s="1325">
        <f t="shared" si="7"/>
        <v>48</v>
      </c>
      <c r="O17" s="913">
        <v>7</v>
      </c>
      <c r="P17" s="913">
        <v>3</v>
      </c>
      <c r="Q17" s="929">
        <v>14</v>
      </c>
      <c r="R17" s="930">
        <v>43</v>
      </c>
      <c r="S17" s="913">
        <v>1</v>
      </c>
      <c r="T17" s="913">
        <v>1</v>
      </c>
      <c r="U17" s="929"/>
      <c r="V17" s="930">
        <v>1</v>
      </c>
      <c r="W17" s="913"/>
      <c r="X17" s="913"/>
      <c r="Y17" s="929"/>
      <c r="Z17" s="930"/>
      <c r="AA17" s="913"/>
      <c r="AB17" s="913"/>
      <c r="AC17" s="1324">
        <f t="shared" si="10"/>
        <v>26</v>
      </c>
      <c r="AD17" s="1325">
        <f t="shared" si="11"/>
        <v>53</v>
      </c>
      <c r="AE17" s="1335">
        <f t="shared" si="12"/>
        <v>79</v>
      </c>
    </row>
    <row r="18" spans="1:31" ht="19.5" customHeight="1">
      <c r="A18" s="880" t="s">
        <v>695</v>
      </c>
      <c r="B18" s="881" t="s">
        <v>696</v>
      </c>
      <c r="C18" s="1332">
        <f t="shared" si="8"/>
        <v>8</v>
      </c>
      <c r="D18" s="1333">
        <f t="shared" si="9"/>
        <v>2</v>
      </c>
      <c r="E18" s="1003">
        <v>6</v>
      </c>
      <c r="F18" s="1003">
        <v>1</v>
      </c>
      <c r="G18" s="1303">
        <v>1</v>
      </c>
      <c r="H18" s="1294">
        <v>1</v>
      </c>
      <c r="I18" s="1303"/>
      <c r="J18" s="1294"/>
      <c r="K18" s="1003">
        <v>1</v>
      </c>
      <c r="L18" s="1003"/>
      <c r="M18" s="1324">
        <f t="shared" si="7"/>
        <v>64</v>
      </c>
      <c r="N18" s="1325">
        <f t="shared" si="7"/>
        <v>50</v>
      </c>
      <c r="O18" s="913">
        <v>5</v>
      </c>
      <c r="P18" s="913">
        <v>1</v>
      </c>
      <c r="Q18" s="929">
        <v>58</v>
      </c>
      <c r="R18" s="930">
        <v>47</v>
      </c>
      <c r="S18" s="913">
        <v>1</v>
      </c>
      <c r="T18" s="913"/>
      <c r="U18" s="929"/>
      <c r="V18" s="930">
        <v>1</v>
      </c>
      <c r="W18" s="913"/>
      <c r="X18" s="913">
        <v>1</v>
      </c>
      <c r="Y18" s="929"/>
      <c r="Z18" s="930"/>
      <c r="AA18" s="913"/>
      <c r="AB18" s="913"/>
      <c r="AC18" s="1324">
        <f t="shared" si="10"/>
        <v>72</v>
      </c>
      <c r="AD18" s="1325">
        <f t="shared" si="11"/>
        <v>52</v>
      </c>
      <c r="AE18" s="1335">
        <f t="shared" si="12"/>
        <v>124</v>
      </c>
    </row>
    <row r="19" spans="1:31" ht="19.5" customHeight="1">
      <c r="A19" s="880" t="s">
        <v>712</v>
      </c>
      <c r="B19" s="881" t="s">
        <v>713</v>
      </c>
      <c r="C19" s="1332">
        <f t="shared" si="8"/>
        <v>2</v>
      </c>
      <c r="D19" s="1333">
        <f t="shared" si="9"/>
        <v>0</v>
      </c>
      <c r="E19" s="1003">
        <v>2</v>
      </c>
      <c r="F19" s="1003"/>
      <c r="G19" s="1303"/>
      <c r="H19" s="1294"/>
      <c r="I19" s="1303"/>
      <c r="J19" s="1294"/>
      <c r="K19" s="1003"/>
      <c r="L19" s="1003"/>
      <c r="M19" s="1324">
        <f t="shared" si="7"/>
        <v>14</v>
      </c>
      <c r="N19" s="1325">
        <f t="shared" si="7"/>
        <v>10</v>
      </c>
      <c r="O19" s="913">
        <v>2</v>
      </c>
      <c r="P19" s="913"/>
      <c r="Q19" s="929">
        <v>12</v>
      </c>
      <c r="R19" s="930">
        <v>10</v>
      </c>
      <c r="S19" s="913"/>
      <c r="T19" s="913"/>
      <c r="U19" s="929"/>
      <c r="V19" s="930"/>
      <c r="W19" s="913"/>
      <c r="X19" s="913"/>
      <c r="Y19" s="929"/>
      <c r="Z19" s="930"/>
      <c r="AA19" s="913">
        <v>1</v>
      </c>
      <c r="AB19" s="913"/>
      <c r="AC19" s="1324">
        <f t="shared" si="10"/>
        <v>17</v>
      </c>
      <c r="AD19" s="1325">
        <f t="shared" si="11"/>
        <v>10</v>
      </c>
      <c r="AE19" s="1335">
        <f t="shared" si="12"/>
        <v>27</v>
      </c>
    </row>
    <row r="20" spans="1:31" ht="18.75" customHeight="1">
      <c r="A20" s="880" t="s">
        <v>204</v>
      </c>
      <c r="B20" s="881" t="s">
        <v>205</v>
      </c>
      <c r="C20" s="1332">
        <f t="shared" si="8"/>
        <v>0</v>
      </c>
      <c r="D20" s="1333">
        <f t="shared" si="9"/>
        <v>0</v>
      </c>
      <c r="E20" s="1003"/>
      <c r="F20" s="1003"/>
      <c r="G20" s="1303"/>
      <c r="H20" s="1294"/>
      <c r="I20" s="1303"/>
      <c r="J20" s="1294"/>
      <c r="K20" s="1003"/>
      <c r="L20" s="1003"/>
      <c r="M20" s="1324">
        <f t="shared" si="7"/>
        <v>4</v>
      </c>
      <c r="N20" s="1325">
        <f t="shared" si="7"/>
        <v>10</v>
      </c>
      <c r="O20" s="913">
        <v>1</v>
      </c>
      <c r="P20" s="913">
        <v>1</v>
      </c>
      <c r="Q20" s="929">
        <v>3</v>
      </c>
      <c r="R20" s="930">
        <v>8</v>
      </c>
      <c r="S20" s="913"/>
      <c r="T20" s="913">
        <v>1</v>
      </c>
      <c r="U20" s="929"/>
      <c r="V20" s="930"/>
      <c r="W20" s="913"/>
      <c r="X20" s="913"/>
      <c r="Y20" s="929"/>
      <c r="Z20" s="930"/>
      <c r="AA20" s="913"/>
      <c r="AB20" s="913"/>
      <c r="AC20" s="1324">
        <f t="shared" si="10"/>
        <v>4</v>
      </c>
      <c r="AD20" s="1325">
        <f t="shared" si="11"/>
        <v>10</v>
      </c>
      <c r="AE20" s="1335">
        <f t="shared" si="12"/>
        <v>14</v>
      </c>
    </row>
    <row r="21" spans="1:31" ht="19.5" customHeight="1">
      <c r="A21" s="880" t="s">
        <v>206</v>
      </c>
      <c r="B21" s="881" t="s">
        <v>207</v>
      </c>
      <c r="C21" s="1332">
        <f t="shared" si="8"/>
        <v>0</v>
      </c>
      <c r="D21" s="1333">
        <f t="shared" si="9"/>
        <v>0</v>
      </c>
      <c r="E21" s="1003"/>
      <c r="F21" s="1003"/>
      <c r="G21" s="1303"/>
      <c r="H21" s="1294"/>
      <c r="I21" s="1303"/>
      <c r="J21" s="1294"/>
      <c r="K21" s="1003"/>
      <c r="L21" s="1003"/>
      <c r="M21" s="1324">
        <f t="shared" si="7"/>
        <v>2</v>
      </c>
      <c r="N21" s="1325">
        <f t="shared" si="7"/>
        <v>6</v>
      </c>
      <c r="O21" s="913"/>
      <c r="P21" s="913"/>
      <c r="Q21" s="929">
        <v>2</v>
      </c>
      <c r="R21" s="930">
        <v>6</v>
      </c>
      <c r="S21" s="913"/>
      <c r="T21" s="913"/>
      <c r="U21" s="929"/>
      <c r="V21" s="930"/>
      <c r="W21" s="913"/>
      <c r="X21" s="913"/>
      <c r="Y21" s="929"/>
      <c r="Z21" s="930"/>
      <c r="AA21" s="913"/>
      <c r="AB21" s="913"/>
      <c r="AC21" s="1324">
        <f t="shared" si="10"/>
        <v>2</v>
      </c>
      <c r="AD21" s="1325">
        <f t="shared" si="11"/>
        <v>6</v>
      </c>
      <c r="AE21" s="1335">
        <f t="shared" si="12"/>
        <v>8</v>
      </c>
    </row>
    <row r="22" spans="1:31" ht="19.5" customHeight="1">
      <c r="A22" s="880" t="s">
        <v>714</v>
      </c>
      <c r="B22" s="881" t="s">
        <v>715</v>
      </c>
      <c r="C22" s="1332">
        <f t="shared" si="8"/>
        <v>3</v>
      </c>
      <c r="D22" s="1333">
        <f t="shared" si="9"/>
        <v>2</v>
      </c>
      <c r="E22" s="1003">
        <v>2</v>
      </c>
      <c r="F22" s="1003">
        <v>2</v>
      </c>
      <c r="G22" s="1303">
        <v>1</v>
      </c>
      <c r="H22" s="1294"/>
      <c r="I22" s="1303"/>
      <c r="J22" s="1294"/>
      <c r="K22" s="1003"/>
      <c r="L22" s="1003"/>
      <c r="M22" s="1324">
        <f t="shared" si="7"/>
        <v>16</v>
      </c>
      <c r="N22" s="1325">
        <f t="shared" si="7"/>
        <v>33</v>
      </c>
      <c r="O22" s="913">
        <v>1</v>
      </c>
      <c r="P22" s="913">
        <v>6</v>
      </c>
      <c r="Q22" s="929">
        <v>15</v>
      </c>
      <c r="R22" s="930">
        <v>26</v>
      </c>
      <c r="S22" s="913"/>
      <c r="T22" s="913"/>
      <c r="U22" s="929"/>
      <c r="V22" s="930">
        <v>1</v>
      </c>
      <c r="W22" s="913"/>
      <c r="X22" s="913"/>
      <c r="Y22" s="929"/>
      <c r="Z22" s="930"/>
      <c r="AA22" s="913">
        <v>1</v>
      </c>
      <c r="AB22" s="913">
        <v>2</v>
      </c>
      <c r="AC22" s="1324">
        <f t="shared" si="10"/>
        <v>20</v>
      </c>
      <c r="AD22" s="1325">
        <f t="shared" si="11"/>
        <v>37</v>
      </c>
      <c r="AE22" s="1335">
        <f t="shared" si="12"/>
        <v>57</v>
      </c>
    </row>
    <row r="23" spans="1:31" ht="18.75" customHeight="1">
      <c r="A23" s="880" t="s">
        <v>208</v>
      </c>
      <c r="B23" s="881" t="s">
        <v>209</v>
      </c>
      <c r="C23" s="1332">
        <f t="shared" si="8"/>
        <v>0</v>
      </c>
      <c r="D23" s="1333">
        <f t="shared" si="9"/>
        <v>0</v>
      </c>
      <c r="E23" s="1003"/>
      <c r="F23" s="1003"/>
      <c r="G23" s="1303"/>
      <c r="H23" s="1294"/>
      <c r="I23" s="1303"/>
      <c r="J23" s="1294"/>
      <c r="K23" s="1003"/>
      <c r="L23" s="1003"/>
      <c r="M23" s="1324">
        <f t="shared" si="7"/>
        <v>0</v>
      </c>
      <c r="N23" s="1325">
        <f t="shared" si="7"/>
        <v>0</v>
      </c>
      <c r="O23" s="913"/>
      <c r="P23" s="913"/>
      <c r="Q23" s="929"/>
      <c r="R23" s="930"/>
      <c r="S23" s="913"/>
      <c r="T23" s="913"/>
      <c r="U23" s="929"/>
      <c r="V23" s="930"/>
      <c r="W23" s="913"/>
      <c r="X23" s="913"/>
      <c r="Y23" s="929"/>
      <c r="Z23" s="930"/>
      <c r="AA23" s="913"/>
      <c r="AB23" s="913"/>
      <c r="AC23" s="1324">
        <f t="shared" si="10"/>
        <v>0</v>
      </c>
      <c r="AD23" s="1325">
        <f t="shared" si="11"/>
        <v>0</v>
      </c>
      <c r="AE23" s="1335">
        <f t="shared" si="12"/>
        <v>0</v>
      </c>
    </row>
    <row r="24" spans="1:31" ht="19.5" customHeight="1">
      <c r="A24" s="880" t="s">
        <v>722</v>
      </c>
      <c r="B24" s="881" t="s">
        <v>723</v>
      </c>
      <c r="C24" s="1332">
        <f t="shared" si="8"/>
        <v>0</v>
      </c>
      <c r="D24" s="1333">
        <f t="shared" si="9"/>
        <v>0</v>
      </c>
      <c r="E24" s="1003"/>
      <c r="F24" s="1003"/>
      <c r="G24" s="1303"/>
      <c r="H24" s="1294"/>
      <c r="I24" s="1303"/>
      <c r="J24" s="1294"/>
      <c r="K24" s="1003"/>
      <c r="L24" s="1003"/>
      <c r="M24" s="1324">
        <f t="shared" si="7"/>
        <v>0</v>
      </c>
      <c r="N24" s="1325">
        <f t="shared" si="7"/>
        <v>0</v>
      </c>
      <c r="O24" s="913"/>
      <c r="P24" s="913"/>
      <c r="Q24" s="929"/>
      <c r="R24" s="930"/>
      <c r="S24" s="913"/>
      <c r="T24" s="913"/>
      <c r="U24" s="929"/>
      <c r="V24" s="930"/>
      <c r="W24" s="913"/>
      <c r="X24" s="913"/>
      <c r="Y24" s="929"/>
      <c r="Z24" s="930"/>
      <c r="AA24" s="913"/>
      <c r="AB24" s="913"/>
      <c r="AC24" s="1324">
        <f t="shared" si="10"/>
        <v>0</v>
      </c>
      <c r="AD24" s="1325">
        <f t="shared" si="11"/>
        <v>0</v>
      </c>
      <c r="AE24" s="1335">
        <f t="shared" si="12"/>
        <v>0</v>
      </c>
    </row>
    <row r="25" spans="1:31" ht="20.25" customHeight="1">
      <c r="A25" s="880" t="s">
        <v>724</v>
      </c>
      <c r="B25" s="881" t="s">
        <v>725</v>
      </c>
      <c r="C25" s="1332">
        <f t="shared" si="8"/>
        <v>0</v>
      </c>
      <c r="D25" s="1333">
        <f t="shared" si="9"/>
        <v>0</v>
      </c>
      <c r="E25" s="1003"/>
      <c r="F25" s="1003"/>
      <c r="G25" s="1303"/>
      <c r="H25" s="1294"/>
      <c r="I25" s="1303"/>
      <c r="J25" s="1294"/>
      <c r="K25" s="1003"/>
      <c r="L25" s="1003"/>
      <c r="M25" s="1324">
        <f t="shared" si="7"/>
        <v>0</v>
      </c>
      <c r="N25" s="1325">
        <f t="shared" si="7"/>
        <v>0</v>
      </c>
      <c r="O25" s="913"/>
      <c r="P25" s="913"/>
      <c r="Q25" s="929"/>
      <c r="R25" s="930"/>
      <c r="S25" s="913"/>
      <c r="T25" s="913"/>
      <c r="U25" s="929"/>
      <c r="V25" s="930"/>
      <c r="W25" s="913"/>
      <c r="X25" s="913"/>
      <c r="Y25" s="929"/>
      <c r="Z25" s="930"/>
      <c r="AA25" s="913"/>
      <c r="AB25" s="913"/>
      <c r="AC25" s="1324">
        <f t="shared" si="10"/>
        <v>0</v>
      </c>
      <c r="AD25" s="1325">
        <f t="shared" si="11"/>
        <v>0</v>
      </c>
      <c r="AE25" s="1335">
        <f t="shared" si="12"/>
        <v>0</v>
      </c>
    </row>
    <row r="26" spans="1:31" ht="21.75" customHeight="1">
      <c r="A26" s="880" t="s">
        <v>718</v>
      </c>
      <c r="B26" s="881" t="s">
        <v>738</v>
      </c>
      <c r="C26" s="1332">
        <f t="shared" si="8"/>
        <v>1</v>
      </c>
      <c r="D26" s="1333">
        <f t="shared" si="9"/>
        <v>0</v>
      </c>
      <c r="E26" s="1003">
        <v>1</v>
      </c>
      <c r="F26" s="1003"/>
      <c r="G26" s="1303"/>
      <c r="H26" s="1294"/>
      <c r="I26" s="1303"/>
      <c r="J26" s="1294"/>
      <c r="K26" s="1003"/>
      <c r="L26" s="1003"/>
      <c r="M26" s="1324">
        <f t="shared" si="7"/>
        <v>11</v>
      </c>
      <c r="N26" s="1325">
        <f t="shared" si="7"/>
        <v>8</v>
      </c>
      <c r="O26" s="913">
        <v>3</v>
      </c>
      <c r="P26" s="913"/>
      <c r="Q26" s="929">
        <v>8</v>
      </c>
      <c r="R26" s="930">
        <v>8</v>
      </c>
      <c r="S26" s="913"/>
      <c r="T26" s="913"/>
      <c r="U26" s="929"/>
      <c r="V26" s="930"/>
      <c r="W26" s="913"/>
      <c r="X26" s="913"/>
      <c r="Y26" s="929"/>
      <c r="Z26" s="930"/>
      <c r="AA26" s="913"/>
      <c r="AB26" s="913"/>
      <c r="AC26" s="1324">
        <f t="shared" ref="AC26:AD29" si="13">+M26+C26+AA26</f>
        <v>12</v>
      </c>
      <c r="AD26" s="1325">
        <f t="shared" si="13"/>
        <v>8</v>
      </c>
      <c r="AE26" s="1335">
        <f t="shared" ref="AE26:AE29" si="14">SUM(AC26:AD26)</f>
        <v>20</v>
      </c>
    </row>
    <row r="27" spans="1:31" ht="21.75" customHeight="1">
      <c r="A27" s="880" t="s">
        <v>710</v>
      </c>
      <c r="B27" s="884" t="s">
        <v>210</v>
      </c>
      <c r="C27" s="1332">
        <f t="shared" ref="C27:C28" si="15">+E27+G27+I27+K27</f>
        <v>3</v>
      </c>
      <c r="D27" s="1333">
        <f t="shared" ref="D27:D28" si="16">+F27+H27+J27+L27</f>
        <v>2</v>
      </c>
      <c r="E27" s="1003">
        <v>1</v>
      </c>
      <c r="F27" s="1003">
        <v>2</v>
      </c>
      <c r="G27" s="1303"/>
      <c r="H27" s="1294"/>
      <c r="I27" s="1303">
        <v>1</v>
      </c>
      <c r="J27" s="1294"/>
      <c r="K27" s="1003">
        <v>1</v>
      </c>
      <c r="L27" s="1003"/>
      <c r="M27" s="1324">
        <f t="shared" ref="M27:M28" si="17">+O27+Q27+S27+U27+W27+Y27</f>
        <v>21</v>
      </c>
      <c r="N27" s="1325">
        <f t="shared" ref="N27:N28" si="18">+P27+R27+T27+V27+X27+Z27</f>
        <v>17</v>
      </c>
      <c r="O27" s="913">
        <v>2</v>
      </c>
      <c r="P27" s="913">
        <v>3</v>
      </c>
      <c r="Q27" s="929">
        <v>17</v>
      </c>
      <c r="R27" s="930">
        <v>13</v>
      </c>
      <c r="S27" s="913">
        <v>1</v>
      </c>
      <c r="T27" s="913"/>
      <c r="U27" s="929"/>
      <c r="V27" s="930"/>
      <c r="W27" s="913"/>
      <c r="X27" s="913"/>
      <c r="Y27" s="929">
        <v>1</v>
      </c>
      <c r="Z27" s="930">
        <v>1</v>
      </c>
      <c r="AA27" s="913">
        <v>2</v>
      </c>
      <c r="AB27" s="913"/>
      <c r="AC27" s="1324">
        <f t="shared" ref="AC27:AC28" si="19">+M27+C27+AA27</f>
        <v>26</v>
      </c>
      <c r="AD27" s="1325">
        <f t="shared" ref="AD27:AD28" si="20">+N27+D27+AB27</f>
        <v>19</v>
      </c>
      <c r="AE27" s="1335">
        <f t="shared" ref="AE27:AE28" si="21">SUM(AC27:AD27)</f>
        <v>45</v>
      </c>
    </row>
    <row r="28" spans="1:31" ht="21.75" customHeight="1">
      <c r="A28" s="245" t="s">
        <v>1660</v>
      </c>
      <c r="B28" s="293" t="s">
        <v>1662</v>
      </c>
      <c r="C28" s="1332">
        <f t="shared" si="15"/>
        <v>11</v>
      </c>
      <c r="D28" s="1333">
        <f t="shared" si="16"/>
        <v>4</v>
      </c>
      <c r="E28" s="1003">
        <v>11</v>
      </c>
      <c r="F28" s="1003">
        <v>4</v>
      </c>
      <c r="G28" s="1303"/>
      <c r="H28" s="1294"/>
      <c r="I28" s="1303"/>
      <c r="J28" s="1294"/>
      <c r="K28" s="1003"/>
      <c r="L28" s="1003"/>
      <c r="M28" s="1324">
        <f t="shared" si="17"/>
        <v>26</v>
      </c>
      <c r="N28" s="1325">
        <f t="shared" si="18"/>
        <v>30</v>
      </c>
      <c r="O28" s="913">
        <v>9</v>
      </c>
      <c r="P28" s="913">
        <v>5</v>
      </c>
      <c r="Q28" s="929">
        <v>17</v>
      </c>
      <c r="R28" s="930">
        <v>24</v>
      </c>
      <c r="S28" s="913"/>
      <c r="T28" s="913">
        <v>1</v>
      </c>
      <c r="U28" s="929"/>
      <c r="V28" s="930"/>
      <c r="W28" s="913"/>
      <c r="X28" s="913"/>
      <c r="Y28" s="929"/>
      <c r="Z28" s="930"/>
      <c r="AA28" s="913">
        <v>2</v>
      </c>
      <c r="AB28" s="913">
        <v>2</v>
      </c>
      <c r="AC28" s="1324">
        <f t="shared" si="19"/>
        <v>39</v>
      </c>
      <c r="AD28" s="1325">
        <f t="shared" si="20"/>
        <v>36</v>
      </c>
      <c r="AE28" s="1335">
        <f t="shared" si="21"/>
        <v>75</v>
      </c>
    </row>
    <row r="29" spans="1:31" ht="27.75" customHeight="1">
      <c r="A29" s="245" t="s">
        <v>1661</v>
      </c>
      <c r="B29" s="293" t="s">
        <v>1663</v>
      </c>
      <c r="C29" s="1332">
        <f t="shared" si="8"/>
        <v>0</v>
      </c>
      <c r="D29" s="1333">
        <f t="shared" si="9"/>
        <v>0</v>
      </c>
      <c r="E29" s="1003"/>
      <c r="F29" s="1003"/>
      <c r="G29" s="1303"/>
      <c r="H29" s="1294"/>
      <c r="I29" s="1303"/>
      <c r="J29" s="1294"/>
      <c r="K29" s="1003"/>
      <c r="L29" s="1003"/>
      <c r="M29" s="1324">
        <f t="shared" ref="M29:N29" si="22">+O29+Q29+S29+U29+W29+Y29</f>
        <v>6</v>
      </c>
      <c r="N29" s="1325">
        <f t="shared" si="22"/>
        <v>8</v>
      </c>
      <c r="O29" s="913">
        <v>1</v>
      </c>
      <c r="P29" s="913">
        <v>1</v>
      </c>
      <c r="Q29" s="929">
        <v>5</v>
      </c>
      <c r="R29" s="930">
        <v>7</v>
      </c>
      <c r="S29" s="913"/>
      <c r="T29" s="913"/>
      <c r="U29" s="929"/>
      <c r="V29" s="930"/>
      <c r="W29" s="913"/>
      <c r="X29" s="913"/>
      <c r="Y29" s="929"/>
      <c r="Z29" s="930"/>
      <c r="AA29" s="913"/>
      <c r="AB29" s="913"/>
      <c r="AC29" s="1324">
        <f t="shared" si="13"/>
        <v>6</v>
      </c>
      <c r="AD29" s="1325">
        <f t="shared" si="13"/>
        <v>8</v>
      </c>
      <c r="AE29" s="1335">
        <f t="shared" si="14"/>
        <v>14</v>
      </c>
    </row>
    <row r="30" spans="1:31" ht="21.75" customHeight="1" thickBot="1">
      <c r="A30" s="885"/>
      <c r="B30" s="885" t="s">
        <v>832</v>
      </c>
      <c r="C30" s="1326">
        <f>SUM(C10:C29)</f>
        <v>38</v>
      </c>
      <c r="D30" s="1327">
        <f>SUM(D10:D29)</f>
        <v>22</v>
      </c>
      <c r="E30" s="924">
        <f>SUM(E10:E29)</f>
        <v>27</v>
      </c>
      <c r="F30" s="1296">
        <f t="shared" ref="F30:AB30" si="23">SUM(F10:F29)</f>
        <v>16</v>
      </c>
      <c r="G30" s="1295">
        <f t="shared" si="23"/>
        <v>4</v>
      </c>
      <c r="H30" s="1296">
        <f t="shared" si="23"/>
        <v>4</v>
      </c>
      <c r="I30" s="1295">
        <f t="shared" si="23"/>
        <v>4</v>
      </c>
      <c r="J30" s="1296">
        <f t="shared" si="23"/>
        <v>2</v>
      </c>
      <c r="K30" s="1295">
        <f t="shared" si="23"/>
        <v>3</v>
      </c>
      <c r="L30" s="924">
        <f t="shared" si="23"/>
        <v>0</v>
      </c>
      <c r="M30" s="1326">
        <f t="shared" si="23"/>
        <v>236</v>
      </c>
      <c r="N30" s="1327">
        <f t="shared" si="23"/>
        <v>267</v>
      </c>
      <c r="O30" s="924">
        <f t="shared" si="23"/>
        <v>38</v>
      </c>
      <c r="P30" s="1296">
        <f t="shared" si="23"/>
        <v>34</v>
      </c>
      <c r="Q30" s="1295">
        <f t="shared" si="23"/>
        <v>188</v>
      </c>
      <c r="R30" s="1296">
        <f t="shared" si="23"/>
        <v>224</v>
      </c>
      <c r="S30" s="1295">
        <f t="shared" si="23"/>
        <v>6</v>
      </c>
      <c r="T30" s="1296">
        <f t="shared" si="23"/>
        <v>3</v>
      </c>
      <c r="U30" s="1295">
        <f t="shared" si="23"/>
        <v>1</v>
      </c>
      <c r="V30" s="1296">
        <f t="shared" si="23"/>
        <v>3</v>
      </c>
      <c r="W30" s="1295">
        <f t="shared" si="23"/>
        <v>0</v>
      </c>
      <c r="X30" s="1296">
        <f t="shared" si="23"/>
        <v>2</v>
      </c>
      <c r="Y30" s="1295">
        <f t="shared" si="23"/>
        <v>3</v>
      </c>
      <c r="Z30" s="1296">
        <f t="shared" si="23"/>
        <v>1</v>
      </c>
      <c r="AA30" s="1295">
        <f t="shared" si="23"/>
        <v>8</v>
      </c>
      <c r="AB30" s="924">
        <f t="shared" si="23"/>
        <v>7</v>
      </c>
      <c r="AC30" s="1326">
        <f t="shared" ref="AC30:AE30" si="24">SUM(AC10:AC29)</f>
        <v>282</v>
      </c>
      <c r="AD30" s="1327">
        <f t="shared" si="24"/>
        <v>296</v>
      </c>
      <c r="AE30" s="1336">
        <f t="shared" si="24"/>
        <v>578</v>
      </c>
    </row>
    <row r="31" spans="1:31" ht="21.75" customHeight="1">
      <c r="A31" s="888"/>
      <c r="B31" s="888"/>
      <c r="C31" s="915"/>
      <c r="D31" s="915"/>
      <c r="E31" s="915"/>
      <c r="F31" s="915"/>
      <c r="G31" s="915"/>
      <c r="H31" s="915"/>
      <c r="I31" s="915"/>
      <c r="J31" s="915"/>
      <c r="K31" s="915"/>
      <c r="L31" s="915"/>
      <c r="M31" s="915"/>
      <c r="N31" s="915"/>
      <c r="O31" s="915"/>
      <c r="P31" s="915"/>
      <c r="Q31" s="915"/>
      <c r="R31" s="915"/>
      <c r="S31" s="915"/>
      <c r="T31" s="915"/>
      <c r="U31" s="915"/>
      <c r="V31" s="915"/>
      <c r="W31" s="915"/>
      <c r="X31" s="915"/>
      <c r="Y31" s="925"/>
      <c r="Z31" s="925"/>
      <c r="AA31" s="913"/>
      <c r="AB31" s="913"/>
      <c r="AC31" s="913"/>
      <c r="AD31" s="913"/>
      <c r="AE31" s="913"/>
    </row>
    <row r="32" spans="1:31">
      <c r="A32" s="1711" t="s">
        <v>211</v>
      </c>
      <c r="B32" s="1711"/>
      <c r="C32" s="1711"/>
      <c r="D32" s="1711"/>
      <c r="E32" s="1711"/>
      <c r="F32" s="1711"/>
      <c r="G32" s="1711"/>
      <c r="H32" s="1711"/>
      <c r="I32" s="1711"/>
      <c r="J32" s="1711"/>
      <c r="K32" s="1711"/>
      <c r="L32" s="1711"/>
      <c r="M32" s="1711"/>
      <c r="N32" s="1711"/>
      <c r="O32" s="1711"/>
      <c r="P32" s="1711"/>
      <c r="Q32" s="1711"/>
      <c r="R32" s="1711"/>
      <c r="S32" s="1711"/>
      <c r="T32" s="1711"/>
      <c r="U32" s="1711"/>
      <c r="V32" s="1711"/>
      <c r="W32" s="1711"/>
      <c r="X32" s="1289"/>
      <c r="Y32" s="927"/>
      <c r="Z32" s="927"/>
      <c r="AA32" s="913"/>
      <c r="AB32" s="913"/>
      <c r="AC32" s="913"/>
      <c r="AD32" s="913"/>
      <c r="AE32" s="913"/>
    </row>
    <row r="33" spans="1:31">
      <c r="A33" s="941"/>
      <c r="B33" s="941"/>
      <c r="C33" s="933"/>
      <c r="D33" s="933"/>
      <c r="E33" s="933"/>
      <c r="F33" s="933"/>
      <c r="G33" s="933"/>
      <c r="H33" s="933"/>
      <c r="I33" s="933"/>
      <c r="J33" s="933"/>
      <c r="K33" s="933"/>
      <c r="L33" s="933"/>
      <c r="M33" s="933"/>
      <c r="N33" s="933"/>
      <c r="O33" s="913"/>
      <c r="P33" s="913"/>
      <c r="Q33" s="913"/>
      <c r="R33" s="913"/>
      <c r="S33" s="913"/>
      <c r="T33" s="913"/>
      <c r="U33" s="913"/>
      <c r="V33" s="913"/>
      <c r="W33" s="913"/>
      <c r="X33" s="913"/>
      <c r="Y33" s="913"/>
      <c r="Z33" s="913"/>
      <c r="AA33" s="913"/>
      <c r="AB33" s="913"/>
      <c r="AC33" s="913"/>
      <c r="AD33" s="913"/>
      <c r="AE33" s="913"/>
    </row>
    <row r="34" spans="1:31">
      <c r="A34" s="1711" t="str">
        <f>+A3</f>
        <v>SERVICIO DE SALUD   ACONCAGUA   2020</v>
      </c>
      <c r="B34" s="1711"/>
      <c r="C34" s="1711"/>
      <c r="D34" s="1711"/>
      <c r="E34" s="1711"/>
      <c r="F34" s="1711"/>
      <c r="G34" s="1711"/>
      <c r="H34" s="1711"/>
      <c r="I34" s="1711"/>
      <c r="J34" s="1711"/>
      <c r="K34" s="1711"/>
      <c r="L34" s="1711"/>
      <c r="M34" s="1711"/>
      <c r="N34" s="1711"/>
      <c r="O34" s="1711"/>
      <c r="P34" s="1711"/>
      <c r="Q34" s="1711"/>
      <c r="R34" s="1711"/>
      <c r="S34" s="1711"/>
      <c r="T34" s="1711"/>
      <c r="U34" s="1711"/>
      <c r="V34" s="1711"/>
      <c r="W34" s="1711"/>
      <c r="X34" s="1289"/>
      <c r="Y34" s="913"/>
      <c r="Z34" s="913"/>
      <c r="AA34" s="913"/>
      <c r="AB34" s="913"/>
      <c r="AC34" s="913"/>
      <c r="AD34" s="913"/>
      <c r="AE34" s="913"/>
    </row>
    <row r="35" spans="1:31">
      <c r="A35" s="941"/>
      <c r="B35" s="941"/>
      <c r="C35" s="933"/>
      <c r="D35" s="933"/>
      <c r="E35" s="933"/>
      <c r="F35" s="933"/>
      <c r="G35" s="933"/>
      <c r="H35" s="933"/>
      <c r="I35" s="933"/>
      <c r="J35" s="933"/>
      <c r="K35" s="933"/>
      <c r="L35" s="933"/>
      <c r="M35" s="933"/>
      <c r="N35" s="933"/>
      <c r="O35" s="913"/>
      <c r="P35" s="913"/>
      <c r="Q35" s="913"/>
      <c r="R35" s="913"/>
      <c r="S35" s="913"/>
      <c r="T35" s="913"/>
      <c r="U35" s="913"/>
      <c r="V35" s="913"/>
      <c r="W35" s="913"/>
      <c r="X35" s="913"/>
      <c r="Y35" s="913"/>
      <c r="Z35" s="913"/>
      <c r="AA35" s="913"/>
      <c r="AB35" s="913"/>
      <c r="AC35" s="913"/>
      <c r="AD35" s="913"/>
      <c r="AE35" s="913"/>
    </row>
    <row r="36" spans="1:31">
      <c r="A36" s="1711" t="s">
        <v>218</v>
      </c>
      <c r="B36" s="1711"/>
      <c r="C36" s="1711"/>
      <c r="D36" s="1711"/>
      <c r="E36" s="1711"/>
      <c r="F36" s="1711"/>
      <c r="G36" s="1711"/>
      <c r="H36" s="1711"/>
      <c r="I36" s="1711"/>
      <c r="J36" s="1711"/>
      <c r="K36" s="1711"/>
      <c r="L36" s="1711"/>
      <c r="M36" s="1711"/>
      <c r="N36" s="1711"/>
      <c r="O36" s="1711"/>
      <c r="P36" s="1711"/>
      <c r="Q36" s="1711"/>
      <c r="R36" s="1711"/>
      <c r="S36" s="1711"/>
      <c r="T36" s="1711"/>
      <c r="U36" s="1711"/>
      <c r="V36" s="1711"/>
      <c r="W36" s="1711"/>
      <c r="X36" s="1289"/>
      <c r="Y36" s="942"/>
      <c r="Z36" s="942"/>
      <c r="AA36" s="913"/>
      <c r="AB36" s="913"/>
      <c r="AC36" s="913"/>
      <c r="AD36" s="913"/>
      <c r="AE36" s="913"/>
    </row>
    <row r="37" spans="1:31">
      <c r="C37" s="913"/>
      <c r="D37" s="913"/>
      <c r="E37" s="913"/>
      <c r="F37" s="913"/>
      <c r="G37" s="913"/>
      <c r="H37" s="913"/>
      <c r="I37" s="913"/>
      <c r="J37" s="913"/>
      <c r="K37" s="913"/>
      <c r="L37" s="913"/>
      <c r="M37" s="913"/>
      <c r="N37" s="913"/>
      <c r="O37" s="913"/>
      <c r="P37" s="913"/>
      <c r="Q37" s="913"/>
      <c r="R37" s="913"/>
      <c r="S37" s="913"/>
      <c r="T37" s="913"/>
      <c r="U37" s="913"/>
      <c r="V37" s="913"/>
      <c r="W37" s="913"/>
      <c r="X37" s="913"/>
      <c r="Y37" s="913"/>
      <c r="Z37" s="913"/>
      <c r="AA37" s="913"/>
      <c r="AB37" s="913"/>
      <c r="AC37" s="913"/>
      <c r="AD37" s="913"/>
      <c r="AE37" s="913"/>
    </row>
    <row r="38" spans="1:31" ht="21.75" customHeight="1">
      <c r="A38" s="1299" t="s">
        <v>680</v>
      </c>
      <c r="B38" s="1292"/>
      <c r="C38" s="1708" t="s">
        <v>726</v>
      </c>
      <c r="D38" s="1709"/>
      <c r="E38" s="1709"/>
      <c r="F38" s="1709"/>
      <c r="G38" s="1709"/>
      <c r="H38" s="1709"/>
      <c r="I38" s="1709"/>
      <c r="J38" s="1709"/>
      <c r="K38" s="1709"/>
      <c r="L38" s="1709"/>
      <c r="M38" s="1709"/>
      <c r="N38" s="1709"/>
      <c r="O38" s="1709"/>
      <c r="P38" s="1709"/>
      <c r="Q38" s="1709"/>
      <c r="R38" s="1709"/>
      <c r="S38" s="1709"/>
      <c r="T38" s="1709"/>
      <c r="U38" s="1709"/>
      <c r="V38" s="1709"/>
      <c r="W38" s="1307"/>
      <c r="X38" s="1307"/>
      <c r="Y38" s="898"/>
      <c r="Z38" s="910"/>
      <c r="AA38" s="913"/>
      <c r="AB38" s="913"/>
      <c r="AC38" s="913"/>
      <c r="AD38" s="913"/>
      <c r="AE38" s="913"/>
    </row>
    <row r="39" spans="1:31" ht="23.25" customHeight="1">
      <c r="A39" s="1300" t="s">
        <v>682</v>
      </c>
      <c r="B39" s="1301" t="s">
        <v>683</v>
      </c>
      <c r="C39" s="1700" t="s">
        <v>728</v>
      </c>
      <c r="D39" s="1700"/>
      <c r="E39" s="1700" t="s">
        <v>729</v>
      </c>
      <c r="F39" s="1700"/>
      <c r="G39" s="1700" t="s">
        <v>730</v>
      </c>
      <c r="H39" s="1700"/>
      <c r="I39" s="1700" t="s">
        <v>731</v>
      </c>
      <c r="J39" s="1700"/>
      <c r="K39" s="1700" t="s">
        <v>732</v>
      </c>
      <c r="L39" s="1700"/>
      <c r="M39" s="1700" t="s">
        <v>733</v>
      </c>
      <c r="N39" s="1700"/>
      <c r="O39" s="1700" t="s">
        <v>734</v>
      </c>
      <c r="P39" s="1700"/>
      <c r="Q39" s="1700" t="s">
        <v>735</v>
      </c>
      <c r="R39" s="1700"/>
      <c r="S39" s="1700" t="s">
        <v>736</v>
      </c>
      <c r="T39" s="1700"/>
      <c r="U39" s="1700" t="s">
        <v>737</v>
      </c>
      <c r="V39" s="1700"/>
      <c r="W39" s="1700" t="s">
        <v>517</v>
      </c>
      <c r="X39" s="1700"/>
      <c r="Y39" s="1700"/>
      <c r="Z39" s="913"/>
      <c r="AA39" s="913"/>
      <c r="AB39" s="913"/>
      <c r="AC39" s="913"/>
      <c r="AD39" s="913"/>
      <c r="AE39" s="913"/>
    </row>
    <row r="40" spans="1:31">
      <c r="A40" s="1302"/>
      <c r="B40" s="1298"/>
      <c r="C40" s="1286" t="s">
        <v>1461</v>
      </c>
      <c r="D40" s="1288" t="s">
        <v>1462</v>
      </c>
      <c r="E40" s="1287" t="s">
        <v>1461</v>
      </c>
      <c r="F40" s="1288" t="s">
        <v>1462</v>
      </c>
      <c r="G40" s="1287" t="s">
        <v>1461</v>
      </c>
      <c r="H40" s="1288" t="s">
        <v>1462</v>
      </c>
      <c r="I40" s="1287" t="s">
        <v>1461</v>
      </c>
      <c r="J40" s="1288" t="s">
        <v>1462</v>
      </c>
      <c r="K40" s="1287" t="s">
        <v>1461</v>
      </c>
      <c r="L40" s="1288" t="s">
        <v>1462</v>
      </c>
      <c r="M40" s="1287" t="s">
        <v>1461</v>
      </c>
      <c r="N40" s="1288" t="s">
        <v>1462</v>
      </c>
      <c r="O40" s="1287" t="s">
        <v>1461</v>
      </c>
      <c r="P40" s="1288" t="s">
        <v>1462</v>
      </c>
      <c r="Q40" s="1287" t="s">
        <v>1461</v>
      </c>
      <c r="R40" s="1288" t="s">
        <v>1462</v>
      </c>
      <c r="S40" s="1287" t="s">
        <v>1461</v>
      </c>
      <c r="T40" s="1288" t="s">
        <v>1462</v>
      </c>
      <c r="U40" s="1287" t="s">
        <v>1461</v>
      </c>
      <c r="V40" s="1288" t="s">
        <v>1462</v>
      </c>
      <c r="W40" s="1287" t="s">
        <v>1461</v>
      </c>
      <c r="X40" s="1288" t="s">
        <v>1462</v>
      </c>
      <c r="Y40" s="1304" t="s">
        <v>491</v>
      </c>
      <c r="Z40" s="913"/>
      <c r="AA40" s="913"/>
      <c r="AB40" s="913"/>
      <c r="AC40" s="913"/>
      <c r="AD40" s="913"/>
      <c r="AE40" s="913"/>
    </row>
    <row r="41" spans="1:31" ht="20.25" customHeight="1">
      <c r="A41" s="880" t="s">
        <v>716</v>
      </c>
      <c r="B41" s="881" t="s">
        <v>717</v>
      </c>
      <c r="C41" s="913"/>
      <c r="D41" s="913"/>
      <c r="E41" s="1306"/>
      <c r="F41" s="871"/>
      <c r="G41" s="913"/>
      <c r="H41" s="913"/>
      <c r="I41" s="1306"/>
      <c r="J41" s="871"/>
      <c r="K41" s="913"/>
      <c r="L41" s="913"/>
      <c r="M41" s="1306"/>
      <c r="N41" s="871"/>
      <c r="O41" s="913">
        <v>1</v>
      </c>
      <c r="P41" s="913"/>
      <c r="Q41" s="1306">
        <v>5</v>
      </c>
      <c r="R41" s="871">
        <v>1</v>
      </c>
      <c r="S41" s="1306">
        <v>3</v>
      </c>
      <c r="T41" s="871">
        <v>1</v>
      </c>
      <c r="U41" s="913">
        <v>1</v>
      </c>
      <c r="V41" s="913">
        <v>3</v>
      </c>
      <c r="W41" s="1309">
        <f t="shared" ref="W41:W44" si="25">+M41+O41+Q41+S41+U41</f>
        <v>10</v>
      </c>
      <c r="X41" s="1341">
        <f t="shared" ref="X41:X44" si="26">+N41+P41+R41+T41+V41</f>
        <v>5</v>
      </c>
      <c r="Y41" s="937">
        <f t="shared" ref="Y41:Y44" si="27">SUM(W41:X41)</f>
        <v>15</v>
      </c>
      <c r="Z41" s="913"/>
      <c r="AA41" s="913"/>
      <c r="AB41" s="913"/>
      <c r="AC41" s="913"/>
      <c r="AD41" s="913"/>
      <c r="AE41" s="913"/>
    </row>
    <row r="42" spans="1:31" ht="19.5" customHeight="1">
      <c r="A42" s="880" t="s">
        <v>693</v>
      </c>
      <c r="B42" s="881" t="s">
        <v>694</v>
      </c>
      <c r="C42" s="913"/>
      <c r="D42" s="913"/>
      <c r="E42" s="929"/>
      <c r="F42" s="930"/>
      <c r="G42" s="913"/>
      <c r="H42" s="913"/>
      <c r="I42" s="929"/>
      <c r="J42" s="930"/>
      <c r="K42" s="913"/>
      <c r="L42" s="913"/>
      <c r="M42" s="929"/>
      <c r="N42" s="930"/>
      <c r="O42" s="913"/>
      <c r="P42" s="913"/>
      <c r="Q42" s="929"/>
      <c r="R42" s="930"/>
      <c r="S42" s="1303">
        <v>3</v>
      </c>
      <c r="T42" s="1294"/>
      <c r="U42" s="913">
        <v>5</v>
      </c>
      <c r="V42" s="913">
        <v>3</v>
      </c>
      <c r="W42" s="1293">
        <f t="shared" si="25"/>
        <v>8</v>
      </c>
      <c r="X42" s="937">
        <f t="shared" si="26"/>
        <v>3</v>
      </c>
      <c r="Y42" s="937">
        <f t="shared" si="27"/>
        <v>11</v>
      </c>
      <c r="Z42" s="913"/>
      <c r="AA42" s="913"/>
      <c r="AB42" s="913"/>
      <c r="AC42" s="913"/>
      <c r="AD42" s="913"/>
      <c r="AE42" s="913"/>
    </row>
    <row r="43" spans="1:31" ht="18" customHeight="1">
      <c r="A43" s="880" t="s">
        <v>196</v>
      </c>
      <c r="B43" s="881" t="s">
        <v>197</v>
      </c>
      <c r="C43" s="913"/>
      <c r="D43" s="913"/>
      <c r="E43" s="929"/>
      <c r="F43" s="930"/>
      <c r="G43" s="913"/>
      <c r="H43" s="913"/>
      <c r="I43" s="929"/>
      <c r="J43" s="930"/>
      <c r="K43" s="913"/>
      <c r="L43" s="913"/>
      <c r="M43" s="929"/>
      <c r="N43" s="930"/>
      <c r="O43" s="913"/>
      <c r="P43" s="913"/>
      <c r="Q43" s="929"/>
      <c r="R43" s="930"/>
      <c r="S43" s="929">
        <v>2</v>
      </c>
      <c r="T43" s="930"/>
      <c r="U43" s="913">
        <v>1</v>
      </c>
      <c r="V43" s="913">
        <v>1</v>
      </c>
      <c r="W43" s="1293">
        <f t="shared" si="25"/>
        <v>3</v>
      </c>
      <c r="X43" s="937">
        <f t="shared" si="26"/>
        <v>1</v>
      </c>
      <c r="Y43" s="937">
        <f t="shared" si="27"/>
        <v>4</v>
      </c>
      <c r="Z43" s="913"/>
      <c r="AA43" s="913"/>
      <c r="AB43" s="913"/>
      <c r="AC43" s="913"/>
      <c r="AD43" s="913"/>
      <c r="AE43" s="913"/>
    </row>
    <row r="44" spans="1:31" ht="19.5" customHeight="1">
      <c r="A44" s="880" t="s">
        <v>720</v>
      </c>
      <c r="B44" s="881" t="s">
        <v>721</v>
      </c>
      <c r="C44" s="913"/>
      <c r="D44" s="913"/>
      <c r="E44" s="929"/>
      <c r="F44" s="930"/>
      <c r="G44" s="913"/>
      <c r="H44" s="913"/>
      <c r="I44" s="929"/>
      <c r="J44" s="930"/>
      <c r="K44" s="913"/>
      <c r="L44" s="913"/>
      <c r="M44" s="929"/>
      <c r="N44" s="930"/>
      <c r="O44" s="913"/>
      <c r="P44" s="913"/>
      <c r="Q44" s="929"/>
      <c r="R44" s="930">
        <v>2</v>
      </c>
      <c r="S44" s="929">
        <v>6</v>
      </c>
      <c r="T44" s="930">
        <v>5</v>
      </c>
      <c r="U44" s="913">
        <v>7</v>
      </c>
      <c r="V44" s="913">
        <v>4</v>
      </c>
      <c r="W44" s="1293">
        <f t="shared" si="25"/>
        <v>13</v>
      </c>
      <c r="X44" s="937">
        <f t="shared" si="26"/>
        <v>11</v>
      </c>
      <c r="Y44" s="937">
        <f t="shared" si="27"/>
        <v>24</v>
      </c>
      <c r="Z44" s="913"/>
      <c r="AA44" s="913"/>
      <c r="AB44" s="913"/>
      <c r="AC44" s="913"/>
      <c r="AD44" s="913"/>
      <c r="AE44" s="913"/>
    </row>
    <row r="45" spans="1:31" ht="19.5" customHeight="1">
      <c r="A45" s="880" t="s">
        <v>198</v>
      </c>
      <c r="B45" s="881" t="s">
        <v>199</v>
      </c>
      <c r="C45" s="913"/>
      <c r="D45" s="913"/>
      <c r="E45" s="929"/>
      <c r="F45" s="930"/>
      <c r="G45" s="913"/>
      <c r="H45" s="913"/>
      <c r="I45" s="929"/>
      <c r="J45" s="930"/>
      <c r="K45" s="913"/>
      <c r="L45" s="913"/>
      <c r="M45" s="929"/>
      <c r="N45" s="930"/>
      <c r="O45" s="913">
        <v>1</v>
      </c>
      <c r="P45" s="913">
        <v>3</v>
      </c>
      <c r="Q45" s="929">
        <v>14</v>
      </c>
      <c r="R45" s="930">
        <v>18</v>
      </c>
      <c r="S45" s="929">
        <v>6</v>
      </c>
      <c r="T45" s="930">
        <v>11</v>
      </c>
      <c r="U45" s="913">
        <v>2</v>
      </c>
      <c r="V45" s="913">
        <v>3</v>
      </c>
      <c r="W45" s="1293">
        <f>+M45+O45+Q45+S45+U45</f>
        <v>23</v>
      </c>
      <c r="X45" s="937">
        <f>+N45+P45+R45+T45+V45</f>
        <v>35</v>
      </c>
      <c r="Y45" s="937">
        <f>SUM(W45:X45)</f>
        <v>58</v>
      </c>
      <c r="Z45" s="913"/>
      <c r="AA45" s="913"/>
      <c r="AB45" s="913"/>
      <c r="AC45" s="913"/>
      <c r="AD45" s="913"/>
      <c r="AE45" s="913"/>
    </row>
    <row r="46" spans="1:31" ht="19.5" customHeight="1">
      <c r="A46" s="880" t="s">
        <v>200</v>
      </c>
      <c r="B46" s="881" t="s">
        <v>201</v>
      </c>
      <c r="C46" s="913"/>
      <c r="D46" s="913"/>
      <c r="E46" s="929"/>
      <c r="F46" s="930"/>
      <c r="G46" s="913"/>
      <c r="H46" s="913"/>
      <c r="I46" s="929"/>
      <c r="J46" s="930"/>
      <c r="K46" s="913"/>
      <c r="L46" s="913"/>
      <c r="M46" s="929"/>
      <c r="N46" s="930"/>
      <c r="O46" s="913"/>
      <c r="P46" s="913"/>
      <c r="Q46" s="929"/>
      <c r="R46" s="930">
        <v>1</v>
      </c>
      <c r="S46" s="929"/>
      <c r="T46" s="930">
        <v>1</v>
      </c>
      <c r="U46" s="913">
        <v>1</v>
      </c>
      <c r="V46" s="913"/>
      <c r="W46" s="1293">
        <f t="shared" ref="W46:W56" si="28">+M46+O46+Q46+S46+U46</f>
        <v>1</v>
      </c>
      <c r="X46" s="937">
        <f t="shared" ref="X46:X56" si="29">+N46+P46+R46+T46+V46</f>
        <v>2</v>
      </c>
      <c r="Y46" s="937">
        <f t="shared" ref="Y46:Y60" si="30">SUM(W46:X46)</f>
        <v>3</v>
      </c>
      <c r="Z46" s="913"/>
      <c r="AA46" s="913"/>
      <c r="AB46" s="913"/>
      <c r="AC46" s="913"/>
      <c r="AD46" s="913"/>
      <c r="AE46" s="913"/>
    </row>
    <row r="47" spans="1:31" ht="19.5" customHeight="1">
      <c r="A47" s="880" t="s">
        <v>202</v>
      </c>
      <c r="B47" s="881" t="s">
        <v>203</v>
      </c>
      <c r="C47" s="913"/>
      <c r="D47" s="913"/>
      <c r="E47" s="929"/>
      <c r="F47" s="930"/>
      <c r="G47" s="913"/>
      <c r="H47" s="913"/>
      <c r="I47" s="929"/>
      <c r="J47" s="930"/>
      <c r="K47" s="913"/>
      <c r="L47" s="913"/>
      <c r="M47" s="929"/>
      <c r="N47" s="930"/>
      <c r="O47" s="913"/>
      <c r="P47" s="913"/>
      <c r="Q47" s="1303"/>
      <c r="R47" s="1294"/>
      <c r="S47" s="929"/>
      <c r="T47" s="930"/>
      <c r="U47" s="913"/>
      <c r="V47" s="913"/>
      <c r="W47" s="1293">
        <f t="shared" si="28"/>
        <v>0</v>
      </c>
      <c r="X47" s="937">
        <f t="shared" si="29"/>
        <v>0</v>
      </c>
      <c r="Y47" s="937">
        <f t="shared" si="30"/>
        <v>0</v>
      </c>
      <c r="Z47" s="913"/>
      <c r="AA47" s="913"/>
      <c r="AB47" s="913"/>
      <c r="AC47" s="913"/>
      <c r="AD47" s="913"/>
      <c r="AE47" s="913"/>
    </row>
    <row r="48" spans="1:31" ht="18" customHeight="1">
      <c r="A48" s="880" t="s">
        <v>691</v>
      </c>
      <c r="B48" s="881" t="s">
        <v>692</v>
      </c>
      <c r="C48" s="913"/>
      <c r="D48" s="913"/>
      <c r="E48" s="929"/>
      <c r="F48" s="930"/>
      <c r="G48" s="913"/>
      <c r="H48" s="913"/>
      <c r="I48" s="929"/>
      <c r="J48" s="930"/>
      <c r="K48" s="913"/>
      <c r="L48" s="913"/>
      <c r="M48" s="929"/>
      <c r="N48" s="930"/>
      <c r="O48" s="913"/>
      <c r="P48" s="913"/>
      <c r="Q48" s="929"/>
      <c r="R48" s="930">
        <v>1</v>
      </c>
      <c r="S48" s="929">
        <v>7</v>
      </c>
      <c r="T48" s="930">
        <v>14</v>
      </c>
      <c r="U48" s="913">
        <v>19</v>
      </c>
      <c r="V48" s="913">
        <v>38</v>
      </c>
      <c r="W48" s="1293">
        <f t="shared" si="28"/>
        <v>26</v>
      </c>
      <c r="X48" s="937">
        <f t="shared" si="29"/>
        <v>53</v>
      </c>
      <c r="Y48" s="937">
        <f t="shared" si="30"/>
        <v>79</v>
      </c>
      <c r="Z48" s="913"/>
      <c r="AA48" s="913"/>
      <c r="AB48" s="913"/>
      <c r="AC48" s="913"/>
      <c r="AD48" s="913"/>
      <c r="AE48" s="913"/>
    </row>
    <row r="49" spans="1:31" ht="18.75" customHeight="1">
      <c r="A49" s="880" t="s">
        <v>695</v>
      </c>
      <c r="B49" s="881" t="s">
        <v>696</v>
      </c>
      <c r="C49" s="913"/>
      <c r="D49" s="913"/>
      <c r="E49" s="929"/>
      <c r="F49" s="930"/>
      <c r="G49" s="913"/>
      <c r="H49" s="913"/>
      <c r="I49" s="929"/>
      <c r="J49" s="930"/>
      <c r="K49" s="913"/>
      <c r="L49" s="913"/>
      <c r="M49" s="929"/>
      <c r="N49" s="930"/>
      <c r="O49" s="913"/>
      <c r="P49" s="913"/>
      <c r="Q49" s="929">
        <v>4</v>
      </c>
      <c r="R49" s="930">
        <v>1</v>
      </c>
      <c r="S49" s="929">
        <v>15</v>
      </c>
      <c r="T49" s="930">
        <v>7</v>
      </c>
      <c r="U49" s="913">
        <v>53</v>
      </c>
      <c r="V49" s="913">
        <v>44</v>
      </c>
      <c r="W49" s="1293">
        <f>+K49+M49+O49+Q49+S49+U49</f>
        <v>72</v>
      </c>
      <c r="X49" s="937">
        <f t="shared" si="29"/>
        <v>52</v>
      </c>
      <c r="Y49" s="937">
        <f t="shared" si="30"/>
        <v>124</v>
      </c>
      <c r="Z49" s="913"/>
      <c r="AA49" s="913"/>
      <c r="AB49" s="913"/>
      <c r="AC49" s="913"/>
      <c r="AD49" s="913"/>
      <c r="AE49" s="913"/>
    </row>
    <row r="50" spans="1:31" ht="19.5" customHeight="1">
      <c r="A50" s="880" t="s">
        <v>712</v>
      </c>
      <c r="B50" s="881" t="s">
        <v>713</v>
      </c>
      <c r="C50" s="913"/>
      <c r="D50" s="913"/>
      <c r="E50" s="929"/>
      <c r="F50" s="930"/>
      <c r="G50" s="913"/>
      <c r="H50" s="913"/>
      <c r="I50" s="929"/>
      <c r="J50" s="930"/>
      <c r="K50" s="913"/>
      <c r="L50" s="913"/>
      <c r="M50" s="929"/>
      <c r="N50" s="930"/>
      <c r="O50" s="913"/>
      <c r="P50" s="913"/>
      <c r="Q50" s="929">
        <v>5</v>
      </c>
      <c r="R50" s="930">
        <v>3</v>
      </c>
      <c r="S50" s="929">
        <v>3</v>
      </c>
      <c r="T50" s="930">
        <v>2</v>
      </c>
      <c r="U50" s="913">
        <v>9</v>
      </c>
      <c r="V50" s="913">
        <v>5</v>
      </c>
      <c r="W50" s="1293">
        <f t="shared" si="28"/>
        <v>17</v>
      </c>
      <c r="X50" s="937">
        <f t="shared" si="29"/>
        <v>10</v>
      </c>
      <c r="Y50" s="937">
        <f t="shared" si="30"/>
        <v>27</v>
      </c>
      <c r="Z50" s="913"/>
      <c r="AA50" s="913"/>
      <c r="AB50" s="913"/>
      <c r="AC50" s="913"/>
      <c r="AD50" s="913"/>
      <c r="AE50" s="913"/>
    </row>
    <row r="51" spans="1:31" ht="18" customHeight="1">
      <c r="A51" s="880" t="s">
        <v>204</v>
      </c>
      <c r="B51" s="881" t="s">
        <v>205</v>
      </c>
      <c r="C51" s="913"/>
      <c r="D51" s="913"/>
      <c r="E51" s="929"/>
      <c r="F51" s="930"/>
      <c r="G51" s="913"/>
      <c r="H51" s="913"/>
      <c r="I51" s="929"/>
      <c r="J51" s="930"/>
      <c r="K51" s="913"/>
      <c r="L51" s="913"/>
      <c r="M51" s="929"/>
      <c r="N51" s="930"/>
      <c r="O51" s="913"/>
      <c r="P51" s="913"/>
      <c r="Q51" s="929">
        <v>1</v>
      </c>
      <c r="R51" s="930"/>
      <c r="S51" s="929">
        <v>2</v>
      </c>
      <c r="T51" s="930">
        <v>5</v>
      </c>
      <c r="U51" s="913">
        <v>1</v>
      </c>
      <c r="V51" s="913">
        <v>5</v>
      </c>
      <c r="W51" s="1293">
        <f t="shared" si="28"/>
        <v>4</v>
      </c>
      <c r="X51" s="937">
        <f t="shared" si="29"/>
        <v>10</v>
      </c>
      <c r="Y51" s="937">
        <f t="shared" si="30"/>
        <v>14</v>
      </c>
      <c r="Z51" s="913"/>
      <c r="AA51" s="913"/>
      <c r="AB51" s="913"/>
      <c r="AC51" s="913"/>
      <c r="AD51" s="913"/>
      <c r="AE51" s="913"/>
    </row>
    <row r="52" spans="1:31" ht="19.5" customHeight="1">
      <c r="A52" s="880" t="s">
        <v>206</v>
      </c>
      <c r="B52" s="881" t="s">
        <v>207</v>
      </c>
      <c r="C52" s="913"/>
      <c r="D52" s="913"/>
      <c r="E52" s="929"/>
      <c r="F52" s="930"/>
      <c r="G52" s="913"/>
      <c r="H52" s="913"/>
      <c r="I52" s="929"/>
      <c r="J52" s="930"/>
      <c r="K52" s="913"/>
      <c r="L52" s="913"/>
      <c r="M52" s="929"/>
      <c r="N52" s="930"/>
      <c r="O52" s="913"/>
      <c r="P52" s="913"/>
      <c r="Q52" s="929"/>
      <c r="R52" s="930">
        <v>2</v>
      </c>
      <c r="S52" s="929">
        <v>2</v>
      </c>
      <c r="T52" s="930">
        <v>3</v>
      </c>
      <c r="U52" s="913"/>
      <c r="V52" s="913">
        <v>1</v>
      </c>
      <c r="W52" s="1293">
        <f t="shared" si="28"/>
        <v>2</v>
      </c>
      <c r="X52" s="937">
        <f t="shared" si="29"/>
        <v>6</v>
      </c>
      <c r="Y52" s="937">
        <f t="shared" si="30"/>
        <v>8</v>
      </c>
      <c r="Z52" s="913"/>
      <c r="AA52" s="913"/>
      <c r="AB52" s="913"/>
      <c r="AC52" s="913"/>
      <c r="AD52" s="913"/>
      <c r="AE52" s="913"/>
    </row>
    <row r="53" spans="1:31" ht="18.75" customHeight="1">
      <c r="A53" s="880" t="s">
        <v>714</v>
      </c>
      <c r="B53" s="881" t="s">
        <v>715</v>
      </c>
      <c r="C53" s="913"/>
      <c r="D53" s="913"/>
      <c r="E53" s="929"/>
      <c r="F53" s="930"/>
      <c r="G53" s="913"/>
      <c r="H53" s="913"/>
      <c r="I53" s="929"/>
      <c r="J53" s="930"/>
      <c r="K53" s="913"/>
      <c r="L53" s="913"/>
      <c r="M53" s="929"/>
      <c r="N53" s="930"/>
      <c r="O53" s="913"/>
      <c r="P53" s="913">
        <v>1</v>
      </c>
      <c r="Q53" s="929">
        <v>2</v>
      </c>
      <c r="R53" s="930">
        <v>8</v>
      </c>
      <c r="S53" s="929">
        <v>6</v>
      </c>
      <c r="T53" s="930">
        <v>7</v>
      </c>
      <c r="U53" s="913">
        <v>12</v>
      </c>
      <c r="V53" s="913">
        <v>21</v>
      </c>
      <c r="W53" s="1293">
        <f t="shared" si="28"/>
        <v>20</v>
      </c>
      <c r="X53" s="937">
        <f t="shared" si="29"/>
        <v>37</v>
      </c>
      <c r="Y53" s="937">
        <f t="shared" si="30"/>
        <v>57</v>
      </c>
      <c r="Z53" s="913"/>
      <c r="AA53" s="913"/>
      <c r="AB53" s="913"/>
      <c r="AC53" s="913"/>
      <c r="AD53" s="913"/>
      <c r="AE53" s="913"/>
    </row>
    <row r="54" spans="1:31" ht="18.75" customHeight="1">
      <c r="A54" s="880" t="s">
        <v>208</v>
      </c>
      <c r="B54" s="881" t="s">
        <v>209</v>
      </c>
      <c r="C54" s="913"/>
      <c r="D54" s="913"/>
      <c r="E54" s="929"/>
      <c r="F54" s="930"/>
      <c r="G54" s="913"/>
      <c r="H54" s="913"/>
      <c r="I54" s="929"/>
      <c r="J54" s="930"/>
      <c r="K54" s="913"/>
      <c r="L54" s="913"/>
      <c r="M54" s="929"/>
      <c r="N54" s="930"/>
      <c r="Q54" s="929"/>
      <c r="R54" s="930"/>
      <c r="S54" s="1342"/>
      <c r="T54" s="899"/>
      <c r="W54" s="1293">
        <f t="shared" si="28"/>
        <v>0</v>
      </c>
      <c r="X54" s="937">
        <f t="shared" si="29"/>
        <v>0</v>
      </c>
      <c r="Y54" s="937">
        <f t="shared" si="30"/>
        <v>0</v>
      </c>
      <c r="Z54" s="913"/>
      <c r="AA54" s="913"/>
      <c r="AB54" s="913"/>
      <c r="AC54" s="913"/>
      <c r="AD54" s="913"/>
      <c r="AE54" s="913"/>
    </row>
    <row r="55" spans="1:31" ht="18" customHeight="1">
      <c r="A55" s="880" t="s">
        <v>722</v>
      </c>
      <c r="B55" s="881" t="s">
        <v>723</v>
      </c>
      <c r="C55" s="913"/>
      <c r="D55" s="913"/>
      <c r="E55" s="929"/>
      <c r="F55" s="930"/>
      <c r="G55" s="913"/>
      <c r="H55" s="913"/>
      <c r="I55" s="929"/>
      <c r="J55" s="930"/>
      <c r="K55" s="913"/>
      <c r="L55" s="913"/>
      <c r="M55" s="929"/>
      <c r="N55" s="930"/>
      <c r="O55" s="913"/>
      <c r="P55" s="913"/>
      <c r="Q55" s="929"/>
      <c r="R55" s="930"/>
      <c r="S55" s="1343"/>
      <c r="T55" s="1344"/>
      <c r="U55" s="913"/>
      <c r="V55" s="913"/>
      <c r="W55" s="1293">
        <f t="shared" si="28"/>
        <v>0</v>
      </c>
      <c r="X55" s="937">
        <f t="shared" si="29"/>
        <v>0</v>
      </c>
      <c r="Y55" s="937">
        <f t="shared" si="30"/>
        <v>0</v>
      </c>
      <c r="Z55" s="913"/>
      <c r="AA55" s="913"/>
      <c r="AB55" s="913"/>
      <c r="AC55" s="913"/>
      <c r="AD55" s="913"/>
      <c r="AE55" s="913"/>
    </row>
    <row r="56" spans="1:31" ht="20.25" customHeight="1">
      <c r="A56" s="880" t="s">
        <v>724</v>
      </c>
      <c r="B56" s="881" t="s">
        <v>725</v>
      </c>
      <c r="C56" s="913"/>
      <c r="D56" s="913"/>
      <c r="E56" s="929"/>
      <c r="F56" s="930"/>
      <c r="G56" s="913"/>
      <c r="H56" s="913"/>
      <c r="I56" s="929"/>
      <c r="J56" s="930"/>
      <c r="K56" s="913"/>
      <c r="L56" s="913"/>
      <c r="M56" s="929"/>
      <c r="N56" s="930"/>
      <c r="O56" s="913"/>
      <c r="P56" s="913"/>
      <c r="Q56" s="929"/>
      <c r="R56" s="930"/>
      <c r="S56" s="929"/>
      <c r="T56" s="930"/>
      <c r="U56" s="913"/>
      <c r="V56" s="913"/>
      <c r="W56" s="1293">
        <f t="shared" si="28"/>
        <v>0</v>
      </c>
      <c r="X56" s="937">
        <f t="shared" si="29"/>
        <v>0</v>
      </c>
      <c r="Y56" s="937">
        <f t="shared" si="30"/>
        <v>0</v>
      </c>
      <c r="Z56" s="913"/>
      <c r="AA56" s="913"/>
      <c r="AB56" s="913"/>
      <c r="AC56" s="913"/>
      <c r="AD56" s="913"/>
      <c r="AE56" s="913"/>
    </row>
    <row r="57" spans="1:31" ht="19.5" customHeight="1">
      <c r="A57" s="880" t="s">
        <v>718</v>
      </c>
      <c r="B57" s="881" t="s">
        <v>738</v>
      </c>
      <c r="C57" s="913"/>
      <c r="D57" s="913"/>
      <c r="E57" s="929"/>
      <c r="F57" s="930"/>
      <c r="G57" s="913"/>
      <c r="H57" s="913"/>
      <c r="I57" s="929"/>
      <c r="J57" s="930"/>
      <c r="K57" s="913"/>
      <c r="L57" s="913"/>
      <c r="M57" s="929"/>
      <c r="N57" s="930"/>
      <c r="O57" s="913"/>
      <c r="P57" s="913"/>
      <c r="Q57" s="929"/>
      <c r="R57" s="930">
        <v>2</v>
      </c>
      <c r="S57" s="929">
        <v>9</v>
      </c>
      <c r="T57" s="899"/>
      <c r="U57" s="913">
        <v>3</v>
      </c>
      <c r="V57" s="913">
        <v>6</v>
      </c>
      <c r="W57" s="1293">
        <f t="shared" ref="W57:X60" si="31">+M57+O57+Q57+S57+U57</f>
        <v>12</v>
      </c>
      <c r="X57" s="937">
        <f t="shared" si="31"/>
        <v>8</v>
      </c>
      <c r="Y57" s="937">
        <f t="shared" si="30"/>
        <v>20</v>
      </c>
      <c r="Z57" s="913"/>
      <c r="AA57" s="913"/>
      <c r="AB57" s="913"/>
      <c r="AC57" s="913"/>
      <c r="AD57" s="913"/>
      <c r="AE57" s="913"/>
    </row>
    <row r="58" spans="1:31" ht="19.5" customHeight="1">
      <c r="A58" s="880" t="s">
        <v>710</v>
      </c>
      <c r="B58" s="884" t="s">
        <v>210</v>
      </c>
      <c r="C58" s="913"/>
      <c r="D58" s="913"/>
      <c r="E58" s="929"/>
      <c r="F58" s="930"/>
      <c r="G58" s="913"/>
      <c r="H58" s="913"/>
      <c r="I58" s="929"/>
      <c r="J58" s="930"/>
      <c r="K58" s="913"/>
      <c r="L58" s="913"/>
      <c r="M58" s="929"/>
      <c r="N58" s="930"/>
      <c r="O58" s="913">
        <v>1</v>
      </c>
      <c r="P58" s="913">
        <v>1</v>
      </c>
      <c r="Q58" s="929">
        <v>13</v>
      </c>
      <c r="R58" s="930">
        <v>4</v>
      </c>
      <c r="S58" s="929">
        <v>6</v>
      </c>
      <c r="T58" s="930">
        <v>2</v>
      </c>
      <c r="U58" s="913">
        <v>6</v>
      </c>
      <c r="V58" s="913">
        <v>12</v>
      </c>
      <c r="W58" s="1293">
        <f t="shared" ref="W58:W59" si="32">+M58+O58+Q58+S58+U58</f>
        <v>26</v>
      </c>
      <c r="X58" s="937">
        <f t="shared" ref="X58:X59" si="33">+N58+P58+R58+T58+V58</f>
        <v>19</v>
      </c>
      <c r="Y58" s="937">
        <f t="shared" ref="Y58:Y59" si="34">SUM(W58:X58)</f>
        <v>45</v>
      </c>
      <c r="Z58" s="913"/>
      <c r="AA58" s="913"/>
      <c r="AB58" s="913"/>
      <c r="AC58" s="913"/>
      <c r="AD58" s="913"/>
      <c r="AE58" s="913"/>
    </row>
    <row r="59" spans="1:31" ht="19.5" customHeight="1">
      <c r="A59" s="245" t="s">
        <v>1660</v>
      </c>
      <c r="B59" s="293" t="s">
        <v>1662</v>
      </c>
      <c r="C59" s="913"/>
      <c r="D59" s="913"/>
      <c r="E59" s="929"/>
      <c r="F59" s="930"/>
      <c r="G59" s="913"/>
      <c r="H59" s="913"/>
      <c r="I59" s="929"/>
      <c r="J59" s="930"/>
      <c r="K59" s="913"/>
      <c r="L59" s="913"/>
      <c r="M59" s="929"/>
      <c r="N59" s="930"/>
      <c r="O59" s="913"/>
      <c r="P59" s="913"/>
      <c r="Q59" s="929">
        <v>4</v>
      </c>
      <c r="R59" s="930">
        <v>5</v>
      </c>
      <c r="S59" s="929">
        <v>11</v>
      </c>
      <c r="T59" s="930">
        <v>8</v>
      </c>
      <c r="U59" s="913">
        <v>24</v>
      </c>
      <c r="V59" s="913">
        <v>23</v>
      </c>
      <c r="W59" s="1293">
        <f t="shared" si="32"/>
        <v>39</v>
      </c>
      <c r="X59" s="937">
        <f t="shared" si="33"/>
        <v>36</v>
      </c>
      <c r="Y59" s="937">
        <f t="shared" si="34"/>
        <v>75</v>
      </c>
      <c r="Z59" s="913"/>
      <c r="AA59" s="913"/>
      <c r="AB59" s="913"/>
      <c r="AC59" s="913"/>
      <c r="AD59" s="913"/>
      <c r="AE59" s="913"/>
    </row>
    <row r="60" spans="1:31" ht="27.75" customHeight="1">
      <c r="A60" s="245" t="s">
        <v>1661</v>
      </c>
      <c r="B60" s="293" t="s">
        <v>1663</v>
      </c>
      <c r="C60" s="913"/>
      <c r="D60" s="913"/>
      <c r="E60" s="929"/>
      <c r="F60" s="930"/>
      <c r="G60" s="913"/>
      <c r="H60" s="913"/>
      <c r="I60" s="929"/>
      <c r="J60" s="930"/>
      <c r="K60" s="913"/>
      <c r="L60" s="913"/>
      <c r="M60" s="929"/>
      <c r="N60" s="930"/>
      <c r="O60" s="913"/>
      <c r="P60" s="913"/>
      <c r="Q60" s="929">
        <v>2</v>
      </c>
      <c r="R60" s="930">
        <v>4</v>
      </c>
      <c r="S60" s="929">
        <v>2</v>
      </c>
      <c r="T60" s="930">
        <v>1</v>
      </c>
      <c r="U60" s="913">
        <v>2</v>
      </c>
      <c r="V60" s="913">
        <v>3</v>
      </c>
      <c r="W60" s="1293">
        <f t="shared" si="31"/>
        <v>6</v>
      </c>
      <c r="X60" s="937">
        <f t="shared" si="31"/>
        <v>8</v>
      </c>
      <c r="Y60" s="937">
        <f t="shared" si="30"/>
        <v>14</v>
      </c>
      <c r="Z60" s="913"/>
      <c r="AA60" s="913"/>
      <c r="AB60" s="913"/>
      <c r="AC60" s="913"/>
      <c r="AD60" s="913"/>
      <c r="AE60" s="913"/>
    </row>
    <row r="61" spans="1:31" ht="19.5" customHeight="1">
      <c r="A61" s="885"/>
      <c r="B61" s="885" t="s">
        <v>832</v>
      </c>
      <c r="C61" s="1308">
        <f t="shared" ref="C61" si="35">SUM(C41:C60)</f>
        <v>0</v>
      </c>
      <c r="D61" s="931">
        <f>SUM(D41:D60)</f>
        <v>0</v>
      </c>
      <c r="E61" s="1308">
        <f>SUM(E41:E60)</f>
        <v>0</v>
      </c>
      <c r="F61" s="1312">
        <f t="shared" ref="F61:V61" si="36">SUM(F41:F60)</f>
        <v>0</v>
      </c>
      <c r="G61" s="931">
        <f t="shared" si="36"/>
        <v>0</v>
      </c>
      <c r="H61" s="931">
        <f t="shared" si="36"/>
        <v>0</v>
      </c>
      <c r="I61" s="1308">
        <f t="shared" si="36"/>
        <v>0</v>
      </c>
      <c r="J61" s="1312">
        <f t="shared" si="36"/>
        <v>0</v>
      </c>
      <c r="K61" s="931">
        <f t="shared" si="36"/>
        <v>0</v>
      </c>
      <c r="L61" s="931">
        <f t="shared" si="36"/>
        <v>0</v>
      </c>
      <c r="M61" s="1308">
        <f t="shared" si="36"/>
        <v>0</v>
      </c>
      <c r="N61" s="1312">
        <f t="shared" si="36"/>
        <v>0</v>
      </c>
      <c r="O61" s="931">
        <f t="shared" si="36"/>
        <v>3</v>
      </c>
      <c r="P61" s="931">
        <f t="shared" si="36"/>
        <v>5</v>
      </c>
      <c r="Q61" s="1308">
        <f t="shared" si="36"/>
        <v>50</v>
      </c>
      <c r="R61" s="1312">
        <f t="shared" si="36"/>
        <v>52</v>
      </c>
      <c r="S61" s="1308">
        <f t="shared" si="36"/>
        <v>83</v>
      </c>
      <c r="T61" s="1312">
        <f t="shared" si="36"/>
        <v>67</v>
      </c>
      <c r="U61" s="931">
        <f t="shared" si="36"/>
        <v>146</v>
      </c>
      <c r="V61" s="931">
        <f t="shared" si="36"/>
        <v>172</v>
      </c>
      <c r="W61" s="1308">
        <f t="shared" ref="W61:X61" si="37">SUM(W41:W60)</f>
        <v>282</v>
      </c>
      <c r="X61" s="1312">
        <f t="shared" si="37"/>
        <v>296</v>
      </c>
      <c r="Y61" s="932">
        <f>SUM(Y41:Y60)</f>
        <v>578</v>
      </c>
      <c r="AA61" s="913"/>
      <c r="AB61" s="913"/>
      <c r="AC61" s="913"/>
      <c r="AD61" s="913"/>
    </row>
  </sheetData>
  <mergeCells count="22">
    <mergeCell ref="C38:V38"/>
    <mergeCell ref="A36:W36"/>
    <mergeCell ref="C8:D8"/>
    <mergeCell ref="E8:F8"/>
    <mergeCell ref="M8:N8"/>
    <mergeCell ref="A34:W34"/>
    <mergeCell ref="AC8:AE8"/>
    <mergeCell ref="A1:AE1"/>
    <mergeCell ref="A3:AE3"/>
    <mergeCell ref="A5:AE5"/>
    <mergeCell ref="A32:W32"/>
    <mergeCell ref="C39:D39"/>
    <mergeCell ref="E39:F39"/>
    <mergeCell ref="G39:H39"/>
    <mergeCell ref="I39:J39"/>
    <mergeCell ref="K39:L39"/>
    <mergeCell ref="W39:Y39"/>
    <mergeCell ref="M39:N39"/>
    <mergeCell ref="O39:P39"/>
    <mergeCell ref="Q39:R39"/>
    <mergeCell ref="S39:T39"/>
    <mergeCell ref="U39:V39"/>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topLeftCell="R52" zoomScale="75" workbookViewId="0">
      <selection activeCell="AC15" sqref="AC15:AE17"/>
    </sheetView>
  </sheetViews>
  <sheetFormatPr baseColWidth="10" defaultColWidth="11.44140625" defaultRowHeight="13.2"/>
  <cols>
    <col min="1" max="1" width="9.44140625" style="864" customWidth="1"/>
    <col min="2" max="2" width="28.5546875" style="864" customWidth="1"/>
    <col min="3" max="6" width="9.77734375" style="864" customWidth="1"/>
    <col min="7" max="8" width="9.21875" style="864" customWidth="1"/>
    <col min="9" max="10" width="9.5546875" style="864" customWidth="1"/>
    <col min="11" max="14" width="9.21875" style="864" customWidth="1"/>
    <col min="15" max="18" width="9.77734375" style="864" customWidth="1"/>
    <col min="19" max="20" width="10" style="864" customWidth="1"/>
    <col min="21" max="22" width="9" style="864" customWidth="1"/>
    <col min="23" max="24" width="8.5546875" style="864" customWidth="1"/>
    <col min="25" max="26" width="9.21875" style="864" customWidth="1"/>
    <col min="27" max="16384" width="11.44140625" style="864"/>
  </cols>
  <sheetData>
    <row r="1" spans="1:31">
      <c r="A1" s="1713" t="s">
        <v>195</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row>
    <row r="2" spans="1:31">
      <c r="A2" s="861"/>
      <c r="B2" s="861"/>
      <c r="C2" s="943"/>
      <c r="D2" s="943"/>
      <c r="E2" s="943"/>
      <c r="F2" s="943"/>
      <c r="G2" s="943"/>
      <c r="H2" s="943"/>
      <c r="I2" s="943"/>
      <c r="J2" s="943"/>
      <c r="K2" s="943"/>
      <c r="L2" s="943"/>
      <c r="M2" s="943"/>
      <c r="N2" s="943"/>
      <c r="O2" s="862"/>
      <c r="P2" s="862"/>
      <c r="Q2" s="862"/>
      <c r="R2" s="862"/>
      <c r="S2" s="862"/>
      <c r="T2" s="862"/>
      <c r="U2" s="862"/>
      <c r="V2" s="862"/>
      <c r="W2" s="862"/>
      <c r="X2" s="862"/>
      <c r="Y2" s="862"/>
      <c r="Z2" s="862"/>
    </row>
    <row r="3" spans="1:31">
      <c r="A3" s="1713" t="str">
        <f>+'89'!A3</f>
        <v>SERVICIO DE SALUD   ACONCAGUA   2020</v>
      </c>
      <c r="B3" s="1713"/>
      <c r="C3" s="1713"/>
      <c r="D3" s="1713"/>
      <c r="E3" s="1713"/>
      <c r="F3" s="1713"/>
      <c r="G3" s="1713"/>
      <c r="H3" s="1713"/>
      <c r="I3" s="1713"/>
      <c r="J3" s="1713"/>
      <c r="K3" s="1713"/>
      <c r="L3" s="1713"/>
      <c r="M3" s="1713"/>
      <c r="N3" s="1713"/>
      <c r="O3" s="1713"/>
      <c r="P3" s="1713"/>
      <c r="Q3" s="1713"/>
      <c r="R3" s="1713"/>
      <c r="S3" s="1713"/>
      <c r="T3" s="1713"/>
      <c r="U3" s="1713"/>
      <c r="V3" s="1713"/>
      <c r="W3" s="1713"/>
      <c r="X3" s="1713"/>
      <c r="Y3" s="1713"/>
      <c r="Z3" s="1713"/>
      <c r="AA3" s="1713"/>
      <c r="AB3" s="1713"/>
      <c r="AC3" s="1713"/>
      <c r="AD3" s="1713"/>
      <c r="AE3" s="1713"/>
    </row>
    <row r="4" spans="1:31">
      <c r="A4" s="861"/>
      <c r="B4" s="861"/>
      <c r="C4" s="943"/>
      <c r="D4" s="943"/>
      <c r="E4" s="943"/>
      <c r="F4" s="943"/>
      <c r="G4" s="943"/>
      <c r="H4" s="943"/>
      <c r="I4" s="943"/>
      <c r="J4" s="943"/>
      <c r="K4" s="943"/>
      <c r="L4" s="943"/>
      <c r="M4" s="943"/>
      <c r="N4" s="943"/>
      <c r="O4" s="862"/>
      <c r="P4" s="862"/>
      <c r="Q4" s="862"/>
      <c r="R4" s="862"/>
      <c r="S4" s="862"/>
      <c r="T4" s="862"/>
      <c r="U4" s="862"/>
      <c r="V4" s="862"/>
      <c r="W4" s="862"/>
      <c r="X4" s="862"/>
      <c r="Y4" s="862"/>
      <c r="Z4" s="862"/>
    </row>
    <row r="5" spans="1:31">
      <c r="A5" s="1713" t="s">
        <v>219</v>
      </c>
      <c r="B5" s="1713"/>
      <c r="C5" s="1713"/>
      <c r="D5" s="1713"/>
      <c r="E5" s="1713"/>
      <c r="F5" s="1713"/>
      <c r="G5" s="1713"/>
      <c r="H5" s="1713"/>
      <c r="I5" s="1713"/>
      <c r="J5" s="1713"/>
      <c r="K5" s="1713"/>
      <c r="L5" s="1713"/>
      <c r="M5" s="1713"/>
      <c r="N5" s="1713"/>
      <c r="O5" s="1713"/>
      <c r="P5" s="1713"/>
      <c r="Q5" s="1713"/>
      <c r="R5" s="1713"/>
      <c r="S5" s="1713"/>
      <c r="T5" s="1713"/>
      <c r="U5" s="1713"/>
      <c r="V5" s="1713"/>
      <c r="W5" s="1713"/>
      <c r="X5" s="1713"/>
      <c r="Y5" s="1713"/>
      <c r="Z5" s="1713"/>
      <c r="AA5" s="1713"/>
      <c r="AB5" s="1713"/>
      <c r="AC5" s="1713"/>
      <c r="AD5" s="1713"/>
      <c r="AE5" s="1713"/>
    </row>
    <row r="6" spans="1:31">
      <c r="A6" s="944"/>
      <c r="B6" s="944"/>
      <c r="C6" s="944"/>
      <c r="D6" s="944"/>
      <c r="E6" s="944"/>
      <c r="F6" s="944"/>
      <c r="G6" s="944"/>
      <c r="H6" s="944"/>
      <c r="I6" s="944"/>
      <c r="J6" s="944"/>
      <c r="K6" s="944"/>
      <c r="L6" s="944"/>
      <c r="M6" s="944"/>
      <c r="N6" s="944"/>
    </row>
    <row r="7" spans="1:31" ht="18.75" customHeight="1">
      <c r="A7" s="1299" t="s">
        <v>680</v>
      </c>
      <c r="B7" s="868"/>
      <c r="C7" s="869"/>
      <c r="D7" s="869"/>
      <c r="E7" s="869"/>
      <c r="F7" s="870" t="s">
        <v>681</v>
      </c>
      <c r="G7" s="870"/>
      <c r="H7" s="870"/>
      <c r="I7" s="870"/>
      <c r="J7" s="870"/>
      <c r="K7" s="870"/>
      <c r="L7" s="870"/>
      <c r="M7" s="870"/>
      <c r="N7" s="870"/>
      <c r="O7" s="870"/>
      <c r="P7" s="870"/>
      <c r="Q7" s="870"/>
      <c r="R7" s="870"/>
      <c r="S7" s="870"/>
      <c r="T7" s="870"/>
      <c r="U7" s="870"/>
      <c r="V7" s="870"/>
      <c r="W7" s="870"/>
      <c r="X7" s="870"/>
      <c r="Y7" s="870"/>
      <c r="Z7" s="870"/>
      <c r="AA7" s="870"/>
      <c r="AB7" s="870"/>
      <c r="AC7" s="870"/>
      <c r="AD7" s="870"/>
      <c r="AE7" s="871"/>
    </row>
    <row r="8" spans="1:31" ht="23.25" customHeight="1">
      <c r="A8" s="1300" t="s">
        <v>682</v>
      </c>
      <c r="B8" s="1337" t="s">
        <v>683</v>
      </c>
      <c r="C8" s="1701" t="s">
        <v>684</v>
      </c>
      <c r="D8" s="1702"/>
      <c r="E8" s="1703" t="s">
        <v>630</v>
      </c>
      <c r="F8" s="1700"/>
      <c r="G8" s="1291" t="s">
        <v>685</v>
      </c>
      <c r="H8" s="1291"/>
      <c r="I8" s="1291" t="s">
        <v>686</v>
      </c>
      <c r="J8" s="1291"/>
      <c r="K8" s="1291" t="s">
        <v>429</v>
      </c>
      <c r="L8" s="1291"/>
      <c r="M8" s="1704" t="s">
        <v>687</v>
      </c>
      <c r="N8" s="1705"/>
      <c r="O8" s="1291" t="s">
        <v>688</v>
      </c>
      <c r="P8" s="1291"/>
      <c r="Q8" s="1291" t="s">
        <v>393</v>
      </c>
      <c r="R8" s="1291"/>
      <c r="S8" s="1291" t="s">
        <v>411</v>
      </c>
      <c r="T8" s="1291"/>
      <c r="U8" s="1291" t="s">
        <v>416</v>
      </c>
      <c r="V8" s="1291"/>
      <c r="W8" s="1291" t="s">
        <v>689</v>
      </c>
      <c r="X8" s="1291"/>
      <c r="Y8" s="1291" t="s">
        <v>418</v>
      </c>
      <c r="Z8" s="1291"/>
      <c r="AA8" s="1291" t="s">
        <v>690</v>
      </c>
      <c r="AB8" s="876"/>
      <c r="AC8" s="1706" t="s">
        <v>517</v>
      </c>
      <c r="AD8" s="1707"/>
      <c r="AE8" s="1703"/>
    </row>
    <row r="9" spans="1:31" ht="13.8" thickBot="1">
      <c r="A9" s="1302"/>
      <c r="B9" s="1338"/>
      <c r="C9" s="1305" t="s">
        <v>1461</v>
      </c>
      <c r="D9" s="871" t="s">
        <v>1462</v>
      </c>
      <c r="E9" s="1284" t="s">
        <v>1461</v>
      </c>
      <c r="F9" s="1285" t="s">
        <v>1462</v>
      </c>
      <c r="G9" s="1283" t="s">
        <v>1461</v>
      </c>
      <c r="H9" s="1285" t="s">
        <v>1462</v>
      </c>
      <c r="I9" s="1284" t="s">
        <v>1461</v>
      </c>
      <c r="J9" s="1285" t="s">
        <v>1462</v>
      </c>
      <c r="K9" s="1284" t="s">
        <v>1461</v>
      </c>
      <c r="L9" s="1285" t="s">
        <v>1462</v>
      </c>
      <c r="M9" s="1305" t="s">
        <v>1461</v>
      </c>
      <c r="N9" s="871" t="s">
        <v>1462</v>
      </c>
      <c r="O9" s="1283" t="s">
        <v>1461</v>
      </c>
      <c r="P9" s="1285" t="s">
        <v>1462</v>
      </c>
      <c r="Q9" s="1284" t="s">
        <v>1461</v>
      </c>
      <c r="R9" s="1284" t="s">
        <v>1462</v>
      </c>
      <c r="S9" s="1283" t="s">
        <v>1461</v>
      </c>
      <c r="T9" s="1285" t="s">
        <v>1462</v>
      </c>
      <c r="U9" s="1284" t="s">
        <v>1461</v>
      </c>
      <c r="V9" s="1285" t="s">
        <v>1462</v>
      </c>
      <c r="W9" s="1284" t="s">
        <v>1461</v>
      </c>
      <c r="X9" s="1285" t="s">
        <v>1462</v>
      </c>
      <c r="Y9" s="1284" t="s">
        <v>1461</v>
      </c>
      <c r="Z9" s="1285" t="s">
        <v>1462</v>
      </c>
      <c r="AA9" s="1284" t="s">
        <v>1461</v>
      </c>
      <c r="AB9" s="1285" t="s">
        <v>1462</v>
      </c>
      <c r="AC9" s="1305" t="s">
        <v>1461</v>
      </c>
      <c r="AD9" s="871" t="s">
        <v>1462</v>
      </c>
      <c r="AE9" s="899" t="s">
        <v>491</v>
      </c>
    </row>
    <row r="10" spans="1:31" ht="18" customHeight="1">
      <c r="A10" s="880" t="s">
        <v>716</v>
      </c>
      <c r="B10" s="1328" t="s">
        <v>717</v>
      </c>
      <c r="C10" s="1330">
        <f>SUM(E10:L10)</f>
        <v>0</v>
      </c>
      <c r="D10" s="1331">
        <f t="shared" ref="D10:D13" si="0">+F10+H10+J10+L10</f>
        <v>0</v>
      </c>
      <c r="E10" s="911"/>
      <c r="F10" s="930"/>
      <c r="G10" s="929"/>
      <c r="H10" s="930"/>
      <c r="I10" s="913"/>
      <c r="J10" s="913"/>
      <c r="K10" s="1297"/>
      <c r="L10" s="1305"/>
      <c r="M10" s="1322">
        <f>+O10+Q10+S10+U10+W10+Y10</f>
        <v>0</v>
      </c>
      <c r="N10" s="1323">
        <f>+P10+R10+T10+V10+X10+Z10</f>
        <v>0</v>
      </c>
      <c r="O10" s="910"/>
      <c r="P10" s="930"/>
      <c r="Q10" s="913"/>
      <c r="R10" s="913"/>
      <c r="S10" s="929"/>
      <c r="T10" s="930"/>
      <c r="U10" s="913"/>
      <c r="V10" s="913"/>
      <c r="W10" s="1297"/>
      <c r="X10" s="871"/>
      <c r="Y10" s="913"/>
      <c r="Z10" s="913"/>
      <c r="AA10" s="1297"/>
      <c r="AB10" s="1305"/>
      <c r="AC10" s="1322"/>
      <c r="AD10" s="1323"/>
      <c r="AE10" s="1334">
        <f>+AA10+N10+C10</f>
        <v>0</v>
      </c>
    </row>
    <row r="11" spans="1:31" ht="20.25" customHeight="1">
      <c r="A11" s="880" t="s">
        <v>693</v>
      </c>
      <c r="B11" s="1328" t="s">
        <v>694</v>
      </c>
      <c r="C11" s="1332">
        <f t="shared" ref="C11:C13" si="1">+E11+G11+I11+K11</f>
        <v>0</v>
      </c>
      <c r="D11" s="1333">
        <f t="shared" si="0"/>
        <v>0</v>
      </c>
      <c r="E11" s="911"/>
      <c r="F11" s="930"/>
      <c r="G11" s="929"/>
      <c r="H11" s="930"/>
      <c r="I11" s="913"/>
      <c r="J11" s="913"/>
      <c r="K11" s="929"/>
      <c r="L11" s="910"/>
      <c r="M11" s="1324">
        <f t="shared" ref="M11:M13" si="2">+O11+Q11+S11+U11+W11+Y11</f>
        <v>0</v>
      </c>
      <c r="N11" s="1325">
        <f t="shared" ref="N11:N13" si="3">+P11+R11+T11+V11+X11+Z11</f>
        <v>0</v>
      </c>
      <c r="O11" s="910"/>
      <c r="P11" s="930"/>
      <c r="Q11" s="913"/>
      <c r="R11" s="913"/>
      <c r="S11" s="929"/>
      <c r="T11" s="930"/>
      <c r="U11" s="913"/>
      <c r="V11" s="913"/>
      <c r="W11" s="929"/>
      <c r="X11" s="930"/>
      <c r="Y11" s="913"/>
      <c r="Z11" s="913"/>
      <c r="AA11" s="929"/>
      <c r="AB11" s="910"/>
      <c r="AC11" s="1324"/>
      <c r="AD11" s="1325"/>
      <c r="AE11" s="1335">
        <f t="shared" ref="AE11:AE25" si="4">+AA11+N11+C11</f>
        <v>0</v>
      </c>
    </row>
    <row r="12" spans="1:31" ht="19.5" customHeight="1">
      <c r="A12" s="880" t="s">
        <v>196</v>
      </c>
      <c r="B12" s="1328" t="s">
        <v>197</v>
      </c>
      <c r="C12" s="1332">
        <f t="shared" si="1"/>
        <v>0</v>
      </c>
      <c r="D12" s="1333">
        <f t="shared" si="0"/>
        <v>0</v>
      </c>
      <c r="E12" s="911"/>
      <c r="F12" s="930"/>
      <c r="G12" s="929"/>
      <c r="H12" s="930"/>
      <c r="I12" s="913"/>
      <c r="J12" s="913"/>
      <c r="K12" s="929"/>
      <c r="L12" s="910"/>
      <c r="M12" s="1324">
        <f t="shared" si="2"/>
        <v>0</v>
      </c>
      <c r="N12" s="1325">
        <f t="shared" si="3"/>
        <v>0</v>
      </c>
      <c r="O12" s="910"/>
      <c r="P12" s="930"/>
      <c r="Q12" s="913"/>
      <c r="R12" s="913"/>
      <c r="S12" s="929"/>
      <c r="T12" s="930"/>
      <c r="U12" s="913"/>
      <c r="V12" s="913"/>
      <c r="W12" s="929"/>
      <c r="X12" s="930"/>
      <c r="Y12" s="913"/>
      <c r="Z12" s="913"/>
      <c r="AA12" s="929"/>
      <c r="AB12" s="910"/>
      <c r="AC12" s="1324"/>
      <c r="AD12" s="1325"/>
      <c r="AE12" s="1335">
        <f t="shared" si="4"/>
        <v>0</v>
      </c>
    </row>
    <row r="13" spans="1:31" ht="20.25" customHeight="1">
      <c r="A13" s="880" t="s">
        <v>720</v>
      </c>
      <c r="B13" s="1328" t="s">
        <v>721</v>
      </c>
      <c r="C13" s="1332">
        <f t="shared" si="1"/>
        <v>0</v>
      </c>
      <c r="D13" s="1333">
        <f t="shared" si="0"/>
        <v>0</v>
      </c>
      <c r="E13" s="911"/>
      <c r="F13" s="930"/>
      <c r="G13" s="929"/>
      <c r="H13" s="930"/>
      <c r="I13" s="913"/>
      <c r="J13" s="913"/>
      <c r="K13" s="929"/>
      <c r="L13" s="910"/>
      <c r="M13" s="1324">
        <f t="shared" si="2"/>
        <v>1</v>
      </c>
      <c r="N13" s="1325">
        <f t="shared" si="3"/>
        <v>0</v>
      </c>
      <c r="O13" s="910"/>
      <c r="P13" s="930"/>
      <c r="Q13" s="913">
        <v>1</v>
      </c>
      <c r="R13" s="913"/>
      <c r="S13" s="929"/>
      <c r="T13" s="930"/>
      <c r="U13" s="913"/>
      <c r="V13" s="913"/>
      <c r="W13" s="929"/>
      <c r="X13" s="930"/>
      <c r="Y13" s="913"/>
      <c r="Z13" s="913"/>
      <c r="AA13" s="929"/>
      <c r="AB13" s="910"/>
      <c r="AC13" s="1324">
        <f>+M13+C13+AA13</f>
        <v>1</v>
      </c>
      <c r="AD13" s="1325"/>
      <c r="AE13" s="1335">
        <f>SUM(AC13:AD13)</f>
        <v>1</v>
      </c>
    </row>
    <row r="14" spans="1:31" ht="19.5" customHeight="1">
      <c r="A14" s="880" t="s">
        <v>198</v>
      </c>
      <c r="B14" s="1328" t="s">
        <v>199</v>
      </c>
      <c r="C14" s="1332">
        <f>+E14+G14+I14+K14</f>
        <v>28</v>
      </c>
      <c r="D14" s="1333">
        <f>+F14+H14+J14+L14</f>
        <v>26</v>
      </c>
      <c r="E14" s="911">
        <v>18</v>
      </c>
      <c r="F14" s="930">
        <v>22</v>
      </c>
      <c r="G14" s="929">
        <v>3</v>
      </c>
      <c r="H14" s="930">
        <v>2</v>
      </c>
      <c r="I14" s="913">
        <v>3</v>
      </c>
      <c r="J14" s="913">
        <v>2</v>
      </c>
      <c r="K14" s="929">
        <v>4</v>
      </c>
      <c r="L14" s="910"/>
      <c r="M14" s="1324">
        <f t="shared" ref="M14:M29" si="5">+O14+Q14+S14+U14+W14+Y14</f>
        <v>110</v>
      </c>
      <c r="N14" s="1325">
        <f t="shared" ref="N14:N29" si="6">+P14+R14+T14+V14+X14+Z14</f>
        <v>105</v>
      </c>
      <c r="O14" s="910">
        <v>54</v>
      </c>
      <c r="P14" s="930">
        <v>55</v>
      </c>
      <c r="Q14" s="913">
        <v>34</v>
      </c>
      <c r="R14" s="913">
        <v>28</v>
      </c>
      <c r="S14" s="929">
        <v>6</v>
      </c>
      <c r="T14" s="930">
        <v>11</v>
      </c>
      <c r="U14" s="913">
        <v>5</v>
      </c>
      <c r="V14" s="913"/>
      <c r="W14" s="929">
        <v>8</v>
      </c>
      <c r="X14" s="930">
        <v>8</v>
      </c>
      <c r="Y14" s="913">
        <v>3</v>
      </c>
      <c r="Z14" s="913">
        <v>3</v>
      </c>
      <c r="AA14" s="929">
        <v>132</v>
      </c>
      <c r="AB14" s="910">
        <v>46</v>
      </c>
      <c r="AC14" s="1324">
        <f>+M14+C14+AA14</f>
        <v>270</v>
      </c>
      <c r="AD14" s="1325">
        <f>+N14+D14+AB14</f>
        <v>177</v>
      </c>
      <c r="AE14" s="1335">
        <f>SUM(AC14:AD14)</f>
        <v>447</v>
      </c>
    </row>
    <row r="15" spans="1:31" ht="19.5" customHeight="1">
      <c r="A15" s="880" t="s">
        <v>200</v>
      </c>
      <c r="B15" s="1328" t="s">
        <v>201</v>
      </c>
      <c r="C15" s="1332">
        <f t="shared" ref="C15:C29" si="7">+E15+G15+I15+K15</f>
        <v>0</v>
      </c>
      <c r="D15" s="1333">
        <f t="shared" ref="D15:D29" si="8">+F15+H15+J15+L15</f>
        <v>0</v>
      </c>
      <c r="E15" s="911"/>
      <c r="F15" s="1294"/>
      <c r="G15" s="1303"/>
      <c r="H15" s="1294"/>
      <c r="I15" s="1003"/>
      <c r="J15" s="1003"/>
      <c r="K15" s="1303"/>
      <c r="L15" s="1003"/>
      <c r="M15" s="1324">
        <f t="shared" si="5"/>
        <v>0</v>
      </c>
      <c r="N15" s="1325">
        <f t="shared" si="6"/>
        <v>0</v>
      </c>
      <c r="O15" s="910"/>
      <c r="P15" s="930"/>
      <c r="Q15" s="913"/>
      <c r="R15" s="913"/>
      <c r="S15" s="929"/>
      <c r="T15" s="930"/>
      <c r="U15" s="913"/>
      <c r="V15" s="913"/>
      <c r="W15" s="929"/>
      <c r="X15" s="930"/>
      <c r="Y15" s="913"/>
      <c r="Z15" s="913"/>
      <c r="AA15" s="929"/>
      <c r="AB15" s="910"/>
      <c r="AC15" s="1324"/>
      <c r="AD15" s="1325"/>
      <c r="AE15" s="1335"/>
    </row>
    <row r="16" spans="1:31" ht="19.5" customHeight="1">
      <c r="A16" s="880" t="s">
        <v>202</v>
      </c>
      <c r="B16" s="1328" t="s">
        <v>203</v>
      </c>
      <c r="C16" s="1332">
        <f t="shared" si="7"/>
        <v>0</v>
      </c>
      <c r="D16" s="1333">
        <f t="shared" si="8"/>
        <v>0</v>
      </c>
      <c r="E16" s="911"/>
      <c r="F16" s="930"/>
      <c r="G16" s="929"/>
      <c r="H16" s="930"/>
      <c r="I16" s="913"/>
      <c r="J16" s="913"/>
      <c r="K16" s="929"/>
      <c r="L16" s="910"/>
      <c r="M16" s="1324">
        <f t="shared" si="5"/>
        <v>0</v>
      </c>
      <c r="N16" s="1325">
        <f t="shared" si="6"/>
        <v>0</v>
      </c>
      <c r="O16" s="910"/>
      <c r="P16" s="930"/>
      <c r="Q16" s="913"/>
      <c r="R16" s="913"/>
      <c r="S16" s="929"/>
      <c r="T16" s="930"/>
      <c r="U16" s="913"/>
      <c r="V16" s="913"/>
      <c r="W16" s="929"/>
      <c r="X16" s="930"/>
      <c r="Y16" s="913"/>
      <c r="Z16" s="913"/>
      <c r="AA16" s="929"/>
      <c r="AB16" s="910"/>
      <c r="AC16" s="1324"/>
      <c r="AD16" s="1325"/>
      <c r="AE16" s="1335"/>
    </row>
    <row r="17" spans="1:31" ht="20.25" customHeight="1">
      <c r="A17" s="880" t="s">
        <v>691</v>
      </c>
      <c r="B17" s="1328" t="s">
        <v>692</v>
      </c>
      <c r="C17" s="1332">
        <f t="shared" si="7"/>
        <v>0</v>
      </c>
      <c r="D17" s="1333">
        <f t="shared" si="8"/>
        <v>0</v>
      </c>
      <c r="E17" s="911"/>
      <c r="F17" s="930"/>
      <c r="G17" s="929"/>
      <c r="H17" s="930"/>
      <c r="I17" s="913"/>
      <c r="J17" s="913"/>
      <c r="K17" s="929"/>
      <c r="L17" s="910"/>
      <c r="M17" s="1324">
        <f t="shared" si="5"/>
        <v>0</v>
      </c>
      <c r="N17" s="1325">
        <f t="shared" si="6"/>
        <v>0</v>
      </c>
      <c r="O17" s="910"/>
      <c r="P17" s="930"/>
      <c r="Q17" s="913"/>
      <c r="R17" s="913"/>
      <c r="S17" s="929"/>
      <c r="T17" s="930"/>
      <c r="U17" s="913"/>
      <c r="V17" s="913"/>
      <c r="W17" s="929"/>
      <c r="X17" s="930"/>
      <c r="Y17" s="913"/>
      <c r="Z17" s="913"/>
      <c r="AA17" s="929"/>
      <c r="AB17" s="910"/>
      <c r="AC17" s="1324"/>
      <c r="AD17" s="1325"/>
      <c r="AE17" s="1335"/>
    </row>
    <row r="18" spans="1:31" ht="19.5" customHeight="1">
      <c r="A18" s="880" t="s">
        <v>695</v>
      </c>
      <c r="B18" s="1328" t="s">
        <v>696</v>
      </c>
      <c r="C18" s="1332">
        <f t="shared" si="7"/>
        <v>1</v>
      </c>
      <c r="D18" s="1333">
        <f t="shared" si="8"/>
        <v>0</v>
      </c>
      <c r="E18" s="911"/>
      <c r="F18" s="930"/>
      <c r="G18" s="929"/>
      <c r="H18" s="930"/>
      <c r="I18" s="913">
        <v>1</v>
      </c>
      <c r="J18" s="913"/>
      <c r="K18" s="929"/>
      <c r="L18" s="910"/>
      <c r="M18" s="1324">
        <f t="shared" si="5"/>
        <v>0</v>
      </c>
      <c r="N18" s="1325">
        <f t="shared" si="6"/>
        <v>0</v>
      </c>
      <c r="O18" s="910"/>
      <c r="P18" s="930"/>
      <c r="Q18" s="913"/>
      <c r="R18" s="913"/>
      <c r="S18" s="929"/>
      <c r="T18" s="930"/>
      <c r="U18" s="913"/>
      <c r="V18" s="913"/>
      <c r="W18" s="929"/>
      <c r="X18" s="930"/>
      <c r="Y18" s="913"/>
      <c r="Z18" s="913"/>
      <c r="AA18" s="929"/>
      <c r="AB18" s="910"/>
      <c r="AC18" s="1324">
        <f>+M18+C18+AA18</f>
        <v>1</v>
      </c>
      <c r="AD18" s="1325">
        <f>+N18+D18+AB18</f>
        <v>0</v>
      </c>
      <c r="AE18" s="1335">
        <f t="shared" ref="AE18:AE19" si="9">SUM(AC18:AD18)</f>
        <v>1</v>
      </c>
    </row>
    <row r="19" spans="1:31" ht="19.5" customHeight="1">
      <c r="A19" s="880" t="s">
        <v>712</v>
      </c>
      <c r="B19" s="1328" t="s">
        <v>713</v>
      </c>
      <c r="C19" s="1332">
        <f t="shared" si="7"/>
        <v>0</v>
      </c>
      <c r="D19" s="1333">
        <f t="shared" si="8"/>
        <v>0</v>
      </c>
      <c r="E19" s="911"/>
      <c r="F19" s="930"/>
      <c r="G19" s="929"/>
      <c r="H19" s="930"/>
      <c r="I19" s="913"/>
      <c r="J19" s="913"/>
      <c r="K19" s="929"/>
      <c r="L19" s="910"/>
      <c r="M19" s="1324">
        <f t="shared" si="5"/>
        <v>1</v>
      </c>
      <c r="N19" s="1325">
        <f t="shared" si="6"/>
        <v>0</v>
      </c>
      <c r="O19" s="910">
        <v>1</v>
      </c>
      <c r="P19" s="930"/>
      <c r="Q19" s="913"/>
      <c r="R19" s="913"/>
      <c r="S19" s="929"/>
      <c r="T19" s="930"/>
      <c r="U19" s="913"/>
      <c r="V19" s="913"/>
      <c r="W19" s="929"/>
      <c r="X19" s="930"/>
      <c r="Y19" s="913"/>
      <c r="Z19" s="913"/>
      <c r="AA19" s="929"/>
      <c r="AB19" s="910"/>
      <c r="AC19" s="1324">
        <f>+M19+C19+AA19</f>
        <v>1</v>
      </c>
      <c r="AD19" s="1325">
        <f>+N19+D19+AB19</f>
        <v>0</v>
      </c>
      <c r="AE19" s="1335">
        <f t="shared" si="9"/>
        <v>1</v>
      </c>
    </row>
    <row r="20" spans="1:31" ht="18.75" customHeight="1">
      <c r="A20" s="880" t="s">
        <v>204</v>
      </c>
      <c r="B20" s="1328" t="s">
        <v>205</v>
      </c>
      <c r="C20" s="1332">
        <f t="shared" si="7"/>
        <v>0</v>
      </c>
      <c r="D20" s="1333">
        <f t="shared" si="8"/>
        <v>0</v>
      </c>
      <c r="E20" s="911"/>
      <c r="F20" s="930"/>
      <c r="G20" s="929"/>
      <c r="H20" s="930"/>
      <c r="I20" s="913"/>
      <c r="J20" s="913"/>
      <c r="K20" s="929"/>
      <c r="L20" s="910"/>
      <c r="M20" s="1324">
        <f t="shared" si="5"/>
        <v>0</v>
      </c>
      <c r="N20" s="1325">
        <f t="shared" si="6"/>
        <v>0</v>
      </c>
      <c r="O20" s="910"/>
      <c r="P20" s="930"/>
      <c r="Q20" s="913"/>
      <c r="R20" s="913"/>
      <c r="S20" s="929"/>
      <c r="T20" s="930"/>
      <c r="U20" s="913"/>
      <c r="V20" s="913"/>
      <c r="W20" s="929"/>
      <c r="X20" s="930"/>
      <c r="Y20" s="913"/>
      <c r="Z20" s="913"/>
      <c r="AA20" s="929"/>
      <c r="AB20" s="910"/>
      <c r="AC20" s="1324"/>
      <c r="AD20" s="1325"/>
      <c r="AE20" s="1335">
        <f t="shared" si="4"/>
        <v>0</v>
      </c>
    </row>
    <row r="21" spans="1:31" ht="19.5" customHeight="1">
      <c r="A21" s="880" t="s">
        <v>206</v>
      </c>
      <c r="B21" s="1328" t="s">
        <v>207</v>
      </c>
      <c r="C21" s="1332">
        <f t="shared" si="7"/>
        <v>0</v>
      </c>
      <c r="D21" s="1333">
        <f t="shared" si="8"/>
        <v>0</v>
      </c>
      <c r="E21" s="911"/>
      <c r="F21" s="930"/>
      <c r="G21" s="929"/>
      <c r="H21" s="930"/>
      <c r="I21" s="913"/>
      <c r="J21" s="913"/>
      <c r="K21" s="929"/>
      <c r="L21" s="910"/>
      <c r="M21" s="1324">
        <f t="shared" si="5"/>
        <v>0</v>
      </c>
      <c r="N21" s="1325">
        <f t="shared" si="6"/>
        <v>0</v>
      </c>
      <c r="O21" s="910"/>
      <c r="P21" s="930"/>
      <c r="Q21" s="913"/>
      <c r="R21" s="913"/>
      <c r="S21" s="929"/>
      <c r="T21" s="930"/>
      <c r="U21" s="913"/>
      <c r="V21" s="913"/>
      <c r="W21" s="929"/>
      <c r="X21" s="930"/>
      <c r="Y21" s="913"/>
      <c r="Z21" s="913"/>
      <c r="AA21" s="929"/>
      <c r="AB21" s="910"/>
      <c r="AC21" s="1324"/>
      <c r="AD21" s="1325"/>
      <c r="AE21" s="1335">
        <f t="shared" si="4"/>
        <v>0</v>
      </c>
    </row>
    <row r="22" spans="1:31" ht="19.5" customHeight="1">
      <c r="A22" s="880" t="s">
        <v>714</v>
      </c>
      <c r="B22" s="1328" t="s">
        <v>715</v>
      </c>
      <c r="C22" s="1332">
        <f t="shared" si="7"/>
        <v>0</v>
      </c>
      <c r="D22" s="1333">
        <f t="shared" si="8"/>
        <v>0</v>
      </c>
      <c r="E22" s="911"/>
      <c r="F22" s="930"/>
      <c r="G22" s="929"/>
      <c r="H22" s="930"/>
      <c r="I22" s="913"/>
      <c r="J22" s="913"/>
      <c r="K22" s="929"/>
      <c r="L22" s="910"/>
      <c r="M22" s="1324">
        <f t="shared" si="5"/>
        <v>0</v>
      </c>
      <c r="N22" s="1325">
        <f t="shared" si="6"/>
        <v>1</v>
      </c>
      <c r="O22" s="910"/>
      <c r="P22" s="930">
        <v>1</v>
      </c>
      <c r="Q22" s="913"/>
      <c r="R22" s="913"/>
      <c r="S22" s="929"/>
      <c r="T22" s="930"/>
      <c r="U22" s="913"/>
      <c r="V22" s="913"/>
      <c r="W22" s="929"/>
      <c r="X22" s="930"/>
      <c r="Y22" s="913"/>
      <c r="Z22" s="913"/>
      <c r="AA22" s="929">
        <v>1</v>
      </c>
      <c r="AB22" s="910"/>
      <c r="AC22" s="1324">
        <f t="shared" ref="AC22" si="10">+M22+C22+AA22</f>
        <v>1</v>
      </c>
      <c r="AD22" s="1325">
        <f t="shared" ref="AD22" si="11">+N22+D22+AB22</f>
        <v>1</v>
      </c>
      <c r="AE22" s="1335">
        <f t="shared" si="4"/>
        <v>2</v>
      </c>
    </row>
    <row r="23" spans="1:31" ht="18.75" customHeight="1">
      <c r="A23" s="880" t="s">
        <v>208</v>
      </c>
      <c r="B23" s="1328" t="s">
        <v>209</v>
      </c>
      <c r="C23" s="1332">
        <f t="shared" si="7"/>
        <v>0</v>
      </c>
      <c r="D23" s="1333">
        <f t="shared" si="8"/>
        <v>0</v>
      </c>
      <c r="E23" s="911"/>
      <c r="F23" s="930"/>
      <c r="G23" s="929"/>
      <c r="H23" s="930"/>
      <c r="I23" s="913"/>
      <c r="J23" s="913"/>
      <c r="K23" s="929"/>
      <c r="L23" s="910"/>
      <c r="M23" s="1324">
        <f t="shared" si="5"/>
        <v>0</v>
      </c>
      <c r="N23" s="1325">
        <f t="shared" si="6"/>
        <v>0</v>
      </c>
      <c r="O23" s="910"/>
      <c r="P23" s="930"/>
      <c r="Q23" s="913"/>
      <c r="R23" s="913"/>
      <c r="S23" s="929"/>
      <c r="T23" s="930"/>
      <c r="U23" s="913"/>
      <c r="V23" s="913"/>
      <c r="W23" s="929"/>
      <c r="X23" s="930"/>
      <c r="Y23" s="913"/>
      <c r="Z23" s="913"/>
      <c r="AA23" s="929"/>
      <c r="AB23" s="910"/>
      <c r="AC23" s="1324"/>
      <c r="AD23" s="1325"/>
      <c r="AE23" s="1335">
        <f t="shared" si="4"/>
        <v>0</v>
      </c>
    </row>
    <row r="24" spans="1:31" ht="19.5" customHeight="1">
      <c r="A24" s="880" t="s">
        <v>722</v>
      </c>
      <c r="B24" s="1328" t="s">
        <v>723</v>
      </c>
      <c r="C24" s="1332">
        <f t="shared" si="7"/>
        <v>0</v>
      </c>
      <c r="D24" s="1333">
        <f t="shared" si="8"/>
        <v>0</v>
      </c>
      <c r="E24" s="911"/>
      <c r="F24" s="930"/>
      <c r="G24" s="929"/>
      <c r="H24" s="930"/>
      <c r="I24" s="913"/>
      <c r="J24" s="913"/>
      <c r="K24" s="929"/>
      <c r="L24" s="910"/>
      <c r="M24" s="1324">
        <f t="shared" si="5"/>
        <v>0</v>
      </c>
      <c r="N24" s="1325">
        <f t="shared" si="6"/>
        <v>0</v>
      </c>
      <c r="O24" s="910"/>
      <c r="P24" s="930"/>
      <c r="Q24" s="913"/>
      <c r="R24" s="913"/>
      <c r="S24" s="929"/>
      <c r="T24" s="930"/>
      <c r="U24" s="913"/>
      <c r="V24" s="913"/>
      <c r="W24" s="929"/>
      <c r="X24" s="930"/>
      <c r="Y24" s="913"/>
      <c r="Z24" s="913"/>
      <c r="AA24" s="929"/>
      <c r="AB24" s="910"/>
      <c r="AC24" s="1324"/>
      <c r="AD24" s="1325"/>
      <c r="AE24" s="1335">
        <f t="shared" si="4"/>
        <v>0</v>
      </c>
    </row>
    <row r="25" spans="1:31" ht="20.25" customHeight="1">
      <c r="A25" s="880" t="s">
        <v>724</v>
      </c>
      <c r="B25" s="1328" t="s">
        <v>725</v>
      </c>
      <c r="C25" s="1332">
        <f t="shared" si="7"/>
        <v>0</v>
      </c>
      <c r="D25" s="1333">
        <f t="shared" si="8"/>
        <v>0</v>
      </c>
      <c r="E25" s="911"/>
      <c r="F25" s="930"/>
      <c r="G25" s="929"/>
      <c r="H25" s="930"/>
      <c r="I25" s="913"/>
      <c r="J25" s="913"/>
      <c r="K25" s="929"/>
      <c r="L25" s="910"/>
      <c r="M25" s="1324">
        <f t="shared" si="5"/>
        <v>0</v>
      </c>
      <c r="N25" s="1325">
        <f t="shared" si="6"/>
        <v>0</v>
      </c>
      <c r="O25" s="910"/>
      <c r="P25" s="930"/>
      <c r="Q25" s="913"/>
      <c r="R25" s="913"/>
      <c r="S25" s="929"/>
      <c r="T25" s="930"/>
      <c r="U25" s="913"/>
      <c r="V25" s="913"/>
      <c r="W25" s="929"/>
      <c r="X25" s="930"/>
      <c r="Y25" s="913"/>
      <c r="Z25" s="913"/>
      <c r="AA25" s="929"/>
      <c r="AB25" s="910"/>
      <c r="AC25" s="1324"/>
      <c r="AD25" s="1325"/>
      <c r="AE25" s="1335">
        <f t="shared" si="4"/>
        <v>0</v>
      </c>
    </row>
    <row r="26" spans="1:31" ht="21.75" customHeight="1">
      <c r="A26" s="880" t="s">
        <v>718</v>
      </c>
      <c r="B26" s="1328" t="s">
        <v>738</v>
      </c>
      <c r="C26" s="1332">
        <f t="shared" si="7"/>
        <v>0</v>
      </c>
      <c r="D26" s="1333">
        <f t="shared" si="8"/>
        <v>0</v>
      </c>
      <c r="E26" s="911"/>
      <c r="F26" s="930"/>
      <c r="G26" s="929"/>
      <c r="H26" s="930"/>
      <c r="I26" s="913"/>
      <c r="J26" s="913"/>
      <c r="K26" s="929"/>
      <c r="L26" s="910"/>
      <c r="M26" s="1324">
        <f t="shared" si="5"/>
        <v>0</v>
      </c>
      <c r="N26" s="1325">
        <f t="shared" si="6"/>
        <v>1</v>
      </c>
      <c r="O26" s="910"/>
      <c r="P26" s="930"/>
      <c r="Q26" s="913"/>
      <c r="R26" s="913"/>
      <c r="S26" s="929"/>
      <c r="T26" s="930">
        <v>1</v>
      </c>
      <c r="U26" s="913"/>
      <c r="V26" s="913"/>
      <c r="W26" s="929"/>
      <c r="X26" s="930"/>
      <c r="Y26" s="913"/>
      <c r="Z26" s="913"/>
      <c r="AA26" s="929"/>
      <c r="AB26" s="910"/>
      <c r="AC26" s="1324">
        <f t="shared" ref="AC26:AC29" si="12">+M26+C26+AA26</f>
        <v>0</v>
      </c>
      <c r="AD26" s="1325">
        <f t="shared" ref="AD26:AD29" si="13">+N26+D26+AB26</f>
        <v>1</v>
      </c>
      <c r="AE26" s="1335">
        <f t="shared" ref="AE26:AE29" si="14">SUM(AC26:AD26)</f>
        <v>1</v>
      </c>
    </row>
    <row r="27" spans="1:31" ht="21.75" customHeight="1">
      <c r="A27" s="880" t="s">
        <v>710</v>
      </c>
      <c r="B27" s="884" t="s">
        <v>210</v>
      </c>
      <c r="C27" s="1332">
        <f t="shared" ref="C27:C28" si="15">+E27+G27+I27+K27</f>
        <v>0</v>
      </c>
      <c r="D27" s="1333">
        <f t="shared" ref="D27:D28" si="16">+F27+H27+J27+L27</f>
        <v>0</v>
      </c>
      <c r="E27" s="911"/>
      <c r="F27" s="930"/>
      <c r="G27" s="929"/>
      <c r="H27" s="930"/>
      <c r="I27" s="913"/>
      <c r="J27" s="913"/>
      <c r="K27" s="929"/>
      <c r="L27" s="910"/>
      <c r="M27" s="1324">
        <f t="shared" ref="M27:M28" si="17">+O27+Q27+S27+U27+W27+Y27</f>
        <v>0</v>
      </c>
      <c r="N27" s="1325">
        <f t="shared" ref="N27:N28" si="18">+P27+R27+T27+V27+X27+Z27</f>
        <v>0</v>
      </c>
      <c r="O27" s="910"/>
      <c r="P27" s="930"/>
      <c r="Q27" s="913"/>
      <c r="R27" s="913"/>
      <c r="S27" s="929"/>
      <c r="T27" s="930"/>
      <c r="U27" s="913"/>
      <c r="V27" s="913"/>
      <c r="W27" s="929"/>
      <c r="X27" s="930"/>
      <c r="Y27" s="913"/>
      <c r="Z27" s="913"/>
      <c r="AA27" s="929">
        <v>1</v>
      </c>
      <c r="AB27" s="910"/>
      <c r="AC27" s="1324">
        <f t="shared" ref="AC27:AC28" si="19">+M27+C27+AA27</f>
        <v>1</v>
      </c>
      <c r="AD27" s="1325">
        <f t="shared" ref="AD27:AD28" si="20">+N27+D27+AB27</f>
        <v>0</v>
      </c>
      <c r="AE27" s="1335">
        <f t="shared" ref="AE27:AE28" si="21">SUM(AC27:AD27)</f>
        <v>1</v>
      </c>
    </row>
    <row r="28" spans="1:31" ht="21.75" customHeight="1">
      <c r="A28" s="245" t="s">
        <v>1660</v>
      </c>
      <c r="B28" s="293" t="s">
        <v>1662</v>
      </c>
      <c r="C28" s="1332">
        <f t="shared" si="15"/>
        <v>0</v>
      </c>
      <c r="D28" s="1333">
        <f t="shared" si="16"/>
        <v>0</v>
      </c>
      <c r="E28" s="911"/>
      <c r="F28" s="930"/>
      <c r="G28" s="929"/>
      <c r="H28" s="930"/>
      <c r="I28" s="913"/>
      <c r="J28" s="913"/>
      <c r="K28" s="929"/>
      <c r="L28" s="910"/>
      <c r="M28" s="1324">
        <f t="shared" si="17"/>
        <v>4</v>
      </c>
      <c r="N28" s="1325">
        <f t="shared" si="18"/>
        <v>0</v>
      </c>
      <c r="O28" s="910"/>
      <c r="P28" s="930"/>
      <c r="Q28" s="913">
        <v>4</v>
      </c>
      <c r="R28" s="913"/>
      <c r="S28" s="929"/>
      <c r="T28" s="930"/>
      <c r="U28" s="913"/>
      <c r="V28" s="913"/>
      <c r="W28" s="929"/>
      <c r="X28" s="930"/>
      <c r="Y28" s="913"/>
      <c r="Z28" s="913"/>
      <c r="AA28" s="929"/>
      <c r="AB28" s="910"/>
      <c r="AC28" s="1324">
        <f t="shared" si="19"/>
        <v>4</v>
      </c>
      <c r="AD28" s="1325">
        <f t="shared" si="20"/>
        <v>0</v>
      </c>
      <c r="AE28" s="1335">
        <f t="shared" si="21"/>
        <v>4</v>
      </c>
    </row>
    <row r="29" spans="1:31" ht="27.75" customHeight="1">
      <c r="A29" s="245" t="s">
        <v>1661</v>
      </c>
      <c r="B29" s="293" t="s">
        <v>1663</v>
      </c>
      <c r="C29" s="1332">
        <f t="shared" si="7"/>
        <v>0</v>
      </c>
      <c r="D29" s="1333">
        <f t="shared" si="8"/>
        <v>0</v>
      </c>
      <c r="E29" s="911"/>
      <c r="F29" s="1294"/>
      <c r="G29" s="929"/>
      <c r="H29" s="930"/>
      <c r="I29" s="913"/>
      <c r="J29" s="913"/>
      <c r="K29" s="929"/>
      <c r="L29" s="910"/>
      <c r="M29" s="1324">
        <f t="shared" si="5"/>
        <v>2</v>
      </c>
      <c r="N29" s="1325">
        <f t="shared" si="6"/>
        <v>0</v>
      </c>
      <c r="O29" s="910"/>
      <c r="P29" s="930"/>
      <c r="Q29" s="913">
        <v>2</v>
      </c>
      <c r="R29" s="913"/>
      <c r="S29" s="929"/>
      <c r="T29" s="930"/>
      <c r="U29" s="913"/>
      <c r="V29" s="913"/>
      <c r="W29" s="929"/>
      <c r="X29" s="930"/>
      <c r="Y29" s="913"/>
      <c r="Z29" s="913"/>
      <c r="AA29" s="929"/>
      <c r="AB29" s="910"/>
      <c r="AC29" s="1324">
        <f t="shared" si="12"/>
        <v>2</v>
      </c>
      <c r="AD29" s="1325">
        <f t="shared" si="13"/>
        <v>0</v>
      </c>
      <c r="AE29" s="1335">
        <f t="shared" si="14"/>
        <v>2</v>
      </c>
    </row>
    <row r="30" spans="1:31" ht="21.75" customHeight="1" thickBot="1">
      <c r="A30" s="885"/>
      <c r="B30" s="1329" t="s">
        <v>832</v>
      </c>
      <c r="C30" s="1326">
        <f>SUM(C10:C29)</f>
        <v>29</v>
      </c>
      <c r="D30" s="1327">
        <f>SUM(D10:D29)</f>
        <v>26</v>
      </c>
      <c r="E30" s="924">
        <f>SUM(E10:E29)</f>
        <v>18</v>
      </c>
      <c r="F30" s="1296">
        <f t="shared" ref="F30:AE30" si="22">SUM(F10:F29)</f>
        <v>22</v>
      </c>
      <c r="G30" s="1295">
        <f t="shared" si="22"/>
        <v>3</v>
      </c>
      <c r="H30" s="1296">
        <f t="shared" si="22"/>
        <v>2</v>
      </c>
      <c r="I30" s="1295">
        <f t="shared" si="22"/>
        <v>4</v>
      </c>
      <c r="J30" s="1296">
        <f t="shared" si="22"/>
        <v>2</v>
      </c>
      <c r="K30" s="1295">
        <f t="shared" si="22"/>
        <v>4</v>
      </c>
      <c r="L30" s="924">
        <f t="shared" si="22"/>
        <v>0</v>
      </c>
      <c r="M30" s="1326">
        <f t="shared" si="22"/>
        <v>118</v>
      </c>
      <c r="N30" s="1327">
        <f t="shared" si="22"/>
        <v>107</v>
      </c>
      <c r="O30" s="924">
        <f t="shared" si="22"/>
        <v>55</v>
      </c>
      <c r="P30" s="1296">
        <f t="shared" si="22"/>
        <v>56</v>
      </c>
      <c r="Q30" s="1295">
        <f t="shared" si="22"/>
        <v>41</v>
      </c>
      <c r="R30" s="1296">
        <f t="shared" si="22"/>
        <v>28</v>
      </c>
      <c r="S30" s="1295">
        <f t="shared" si="22"/>
        <v>6</v>
      </c>
      <c r="T30" s="1296">
        <f t="shared" si="22"/>
        <v>12</v>
      </c>
      <c r="U30" s="1295">
        <f t="shared" si="22"/>
        <v>5</v>
      </c>
      <c r="V30" s="1296">
        <f t="shared" si="22"/>
        <v>0</v>
      </c>
      <c r="W30" s="1295">
        <f t="shared" si="22"/>
        <v>8</v>
      </c>
      <c r="X30" s="1296">
        <f t="shared" si="22"/>
        <v>8</v>
      </c>
      <c r="Y30" s="1295">
        <f t="shared" si="22"/>
        <v>3</v>
      </c>
      <c r="Z30" s="1296">
        <f t="shared" si="22"/>
        <v>3</v>
      </c>
      <c r="AA30" s="1295">
        <f t="shared" si="22"/>
        <v>134</v>
      </c>
      <c r="AB30" s="924">
        <f t="shared" si="22"/>
        <v>46</v>
      </c>
      <c r="AC30" s="1326">
        <f t="shared" si="22"/>
        <v>281</v>
      </c>
      <c r="AD30" s="1327">
        <f t="shared" si="22"/>
        <v>179</v>
      </c>
      <c r="AE30" s="1336">
        <f t="shared" si="22"/>
        <v>460</v>
      </c>
    </row>
    <row r="31" spans="1:31" ht="21.75" customHeight="1">
      <c r="A31" s="888"/>
      <c r="B31" s="888"/>
      <c r="C31" s="889"/>
      <c r="D31" s="889"/>
      <c r="E31" s="889"/>
      <c r="F31" s="915"/>
      <c r="G31" s="889"/>
      <c r="H31" s="889"/>
      <c r="I31" s="889"/>
      <c r="J31" s="889"/>
      <c r="K31" s="889"/>
      <c r="L31" s="889"/>
      <c r="M31" s="889"/>
      <c r="N31" s="889"/>
      <c r="O31" s="889"/>
      <c r="P31" s="889"/>
      <c r="Q31" s="889"/>
      <c r="R31" s="889"/>
      <c r="S31" s="889"/>
      <c r="T31" s="889"/>
      <c r="U31" s="889"/>
      <c r="V31" s="889"/>
      <c r="W31" s="889"/>
      <c r="X31" s="889"/>
      <c r="Y31" s="890"/>
      <c r="Z31" s="890"/>
    </row>
    <row r="32" spans="1:31">
      <c r="A32" s="1713" t="s">
        <v>211</v>
      </c>
      <c r="B32" s="1713"/>
      <c r="C32" s="1713"/>
      <c r="D32" s="1713"/>
      <c r="E32" s="1713"/>
      <c r="F32" s="1713"/>
      <c r="G32" s="1713"/>
      <c r="H32" s="1713"/>
      <c r="I32" s="1713"/>
      <c r="J32" s="1713"/>
      <c r="K32" s="1713"/>
      <c r="L32" s="1713"/>
      <c r="M32" s="1713"/>
      <c r="N32" s="1713"/>
      <c r="O32" s="1713"/>
      <c r="P32" s="1713"/>
      <c r="Q32" s="1713"/>
      <c r="R32" s="1713"/>
      <c r="S32" s="1713"/>
      <c r="T32" s="1713"/>
      <c r="U32" s="1713"/>
      <c r="V32" s="1713"/>
      <c r="W32" s="1713"/>
      <c r="X32" s="1713"/>
      <c r="Y32" s="1713"/>
      <c r="Z32" s="917"/>
    </row>
    <row r="33" spans="1:26">
      <c r="A33" s="861"/>
      <c r="B33" s="894"/>
      <c r="C33" s="894"/>
      <c r="D33" s="894"/>
      <c r="E33" s="894"/>
      <c r="F33" s="894"/>
      <c r="G33" s="894"/>
      <c r="H33" s="894"/>
      <c r="I33" s="894"/>
      <c r="J33" s="894"/>
      <c r="K33" s="895"/>
      <c r="L33" s="895"/>
      <c r="M33" s="895"/>
      <c r="N33" s="895"/>
      <c r="O33" s="895"/>
      <c r="P33" s="895"/>
      <c r="Q33" s="895"/>
      <c r="R33" s="895"/>
      <c r="S33" s="895"/>
      <c r="T33" s="895"/>
      <c r="U33" s="895"/>
      <c r="V33" s="895"/>
      <c r="W33" s="895"/>
      <c r="X33" s="895"/>
      <c r="Y33" s="897"/>
      <c r="Z33" s="897"/>
    </row>
    <row r="34" spans="1:26">
      <c r="A34" s="1713" t="str">
        <f>+A3</f>
        <v>SERVICIO DE SALUD   ACONCAGUA   2020</v>
      </c>
      <c r="B34" s="1713"/>
      <c r="C34" s="1713"/>
      <c r="D34" s="1713"/>
      <c r="E34" s="1713"/>
      <c r="F34" s="1713"/>
      <c r="G34" s="1713"/>
      <c r="H34" s="1713"/>
      <c r="I34" s="1713"/>
      <c r="J34" s="1713"/>
      <c r="K34" s="1713"/>
      <c r="L34" s="1713"/>
      <c r="M34" s="1713"/>
      <c r="N34" s="1713"/>
      <c r="O34" s="1713"/>
      <c r="P34" s="1713"/>
      <c r="Q34" s="1713"/>
      <c r="R34" s="1713"/>
      <c r="S34" s="1713"/>
      <c r="T34" s="1713"/>
      <c r="U34" s="1713"/>
      <c r="V34" s="1713"/>
      <c r="W34" s="1713"/>
      <c r="X34" s="1713"/>
      <c r="Y34" s="1713"/>
      <c r="Z34" s="897"/>
    </row>
    <row r="35" spans="1:26">
      <c r="A35" s="861"/>
      <c r="B35" s="894"/>
      <c r="C35" s="894"/>
      <c r="D35" s="894"/>
      <c r="E35" s="894"/>
      <c r="F35" s="894"/>
      <c r="G35" s="894"/>
      <c r="H35" s="894"/>
      <c r="I35" s="894"/>
      <c r="J35" s="894"/>
      <c r="K35" s="895"/>
      <c r="L35" s="895"/>
      <c r="M35" s="895"/>
      <c r="N35" s="895"/>
      <c r="O35" s="895"/>
      <c r="P35" s="895"/>
      <c r="Q35" s="895"/>
      <c r="R35" s="895"/>
      <c r="S35" s="895"/>
      <c r="T35" s="895"/>
      <c r="U35" s="895"/>
      <c r="V35" s="895"/>
      <c r="W35" s="895"/>
      <c r="X35" s="895"/>
      <c r="Y35" s="897"/>
      <c r="Z35" s="897"/>
    </row>
    <row r="36" spans="1:26">
      <c r="A36" s="1713" t="s">
        <v>219</v>
      </c>
      <c r="B36" s="1713"/>
      <c r="C36" s="1713"/>
      <c r="D36" s="1713"/>
      <c r="E36" s="1713"/>
      <c r="F36" s="1713"/>
      <c r="G36" s="1713"/>
      <c r="H36" s="1713"/>
      <c r="I36" s="1713"/>
      <c r="J36" s="1713"/>
      <c r="K36" s="1713"/>
      <c r="L36" s="1713"/>
      <c r="M36" s="1713"/>
      <c r="N36" s="1713"/>
      <c r="O36" s="1713"/>
      <c r="P36" s="1713"/>
      <c r="Q36" s="1713"/>
      <c r="R36" s="1713"/>
      <c r="S36" s="1713"/>
      <c r="T36" s="1713"/>
      <c r="U36" s="1713"/>
      <c r="V36" s="1713"/>
      <c r="W36" s="1713"/>
      <c r="X36" s="1713"/>
      <c r="Y36" s="1713"/>
      <c r="Z36" s="945"/>
    </row>
    <row r="37" spans="1:26">
      <c r="A37" s="897"/>
      <c r="B37" s="897"/>
      <c r="C37" s="897"/>
      <c r="D37" s="897"/>
      <c r="E37" s="897"/>
      <c r="F37" s="897"/>
      <c r="G37" s="897"/>
      <c r="H37" s="897"/>
      <c r="I37" s="897"/>
      <c r="J37" s="897"/>
      <c r="K37" s="897"/>
      <c r="L37" s="897"/>
      <c r="M37" s="897"/>
      <c r="P37" s="897"/>
      <c r="Q37" s="879"/>
      <c r="T37" s="897"/>
      <c r="U37" s="897"/>
      <c r="V37" s="897"/>
      <c r="W37" s="897"/>
      <c r="X37" s="897"/>
      <c r="Y37" s="897"/>
      <c r="Z37" s="897"/>
    </row>
    <row r="38" spans="1:26" ht="21.75" customHeight="1">
      <c r="A38" s="1299" t="s">
        <v>680</v>
      </c>
      <c r="B38" s="1292"/>
      <c r="C38" s="1708" t="s">
        <v>726</v>
      </c>
      <c r="D38" s="1709"/>
      <c r="E38" s="1709"/>
      <c r="F38" s="1709"/>
      <c r="G38" s="1709"/>
      <c r="H38" s="1709"/>
      <c r="I38" s="1709"/>
      <c r="J38" s="1709"/>
      <c r="K38" s="1709"/>
      <c r="L38" s="1709"/>
      <c r="M38" s="1709"/>
      <c r="N38" s="1709"/>
      <c r="O38" s="1709"/>
      <c r="P38" s="1709"/>
      <c r="Q38" s="1709"/>
      <c r="R38" s="1709"/>
      <c r="S38" s="1709"/>
      <c r="T38" s="1709"/>
      <c r="U38" s="1709"/>
      <c r="V38" s="1709"/>
      <c r="W38" s="1307"/>
      <c r="X38" s="1307"/>
      <c r="Y38" s="898"/>
      <c r="Z38" s="1290"/>
    </row>
    <row r="39" spans="1:26" ht="23.25" customHeight="1">
      <c r="A39" s="1300" t="s">
        <v>682</v>
      </c>
      <c r="B39" s="1301" t="s">
        <v>683</v>
      </c>
      <c r="C39" s="1700" t="s">
        <v>728</v>
      </c>
      <c r="D39" s="1700"/>
      <c r="E39" s="1700" t="s">
        <v>729</v>
      </c>
      <c r="F39" s="1700"/>
      <c r="G39" s="1700" t="s">
        <v>730</v>
      </c>
      <c r="H39" s="1700"/>
      <c r="I39" s="1700" t="s">
        <v>731</v>
      </c>
      <c r="J39" s="1700"/>
      <c r="K39" s="1700" t="s">
        <v>732</v>
      </c>
      <c r="L39" s="1700"/>
      <c r="M39" s="1700" t="s">
        <v>733</v>
      </c>
      <c r="N39" s="1700"/>
      <c r="O39" s="1700" t="s">
        <v>734</v>
      </c>
      <c r="P39" s="1700"/>
      <c r="Q39" s="1700" t="s">
        <v>735</v>
      </c>
      <c r="R39" s="1700"/>
      <c r="S39" s="1700" t="s">
        <v>736</v>
      </c>
      <c r="T39" s="1700"/>
      <c r="U39" s="1700" t="s">
        <v>737</v>
      </c>
      <c r="V39" s="1700"/>
      <c r="W39" s="1700" t="s">
        <v>517</v>
      </c>
      <c r="X39" s="1700"/>
      <c r="Y39" s="1700"/>
    </row>
    <row r="40" spans="1:26">
      <c r="A40" s="1302"/>
      <c r="B40" s="1298"/>
      <c r="C40" s="1283" t="s">
        <v>1461</v>
      </c>
      <c r="D40" s="1285" t="s">
        <v>1462</v>
      </c>
      <c r="E40" s="1284" t="s">
        <v>1461</v>
      </c>
      <c r="F40" s="1285" t="s">
        <v>1462</v>
      </c>
      <c r="G40" s="1284" t="s">
        <v>1461</v>
      </c>
      <c r="H40" s="1285" t="s">
        <v>1462</v>
      </c>
      <c r="I40" s="1284" t="s">
        <v>1461</v>
      </c>
      <c r="J40" s="1285" t="s">
        <v>1462</v>
      </c>
      <c r="K40" s="1284" t="s">
        <v>1461</v>
      </c>
      <c r="L40" s="1285" t="s">
        <v>1462</v>
      </c>
      <c r="M40" s="1284" t="s">
        <v>1461</v>
      </c>
      <c r="N40" s="1285" t="s">
        <v>1462</v>
      </c>
      <c r="O40" s="1284" t="s">
        <v>1461</v>
      </c>
      <c r="P40" s="1285" t="s">
        <v>1462</v>
      </c>
      <c r="Q40" s="1284" t="s">
        <v>1461</v>
      </c>
      <c r="R40" s="1285" t="s">
        <v>1462</v>
      </c>
      <c r="S40" s="1284" t="s">
        <v>1461</v>
      </c>
      <c r="T40" s="1285" t="s">
        <v>1462</v>
      </c>
      <c r="U40" s="1284" t="s">
        <v>1461</v>
      </c>
      <c r="V40" s="1285" t="s">
        <v>1462</v>
      </c>
      <c r="W40" s="1284" t="s">
        <v>1461</v>
      </c>
      <c r="X40" s="1285" t="s">
        <v>1462</v>
      </c>
      <c r="Y40" s="1304" t="s">
        <v>491</v>
      </c>
      <c r="Z40" s="897"/>
    </row>
    <row r="41" spans="1:26" ht="20.25" customHeight="1">
      <c r="A41" s="880" t="s">
        <v>716</v>
      </c>
      <c r="B41" s="881" t="s">
        <v>717</v>
      </c>
      <c r="C41" s="1309"/>
      <c r="D41" s="1310"/>
      <c r="E41" s="911"/>
      <c r="F41" s="1290"/>
      <c r="G41" s="1309"/>
      <c r="H41" s="1310"/>
      <c r="I41" s="910"/>
      <c r="J41" s="1290"/>
      <c r="K41" s="1297"/>
      <c r="L41" s="1310"/>
      <c r="M41" s="910"/>
      <c r="N41" s="1290"/>
      <c r="O41" s="1297"/>
      <c r="P41" s="1310"/>
      <c r="Q41" s="910"/>
      <c r="R41" s="1290"/>
      <c r="S41" s="1297"/>
      <c r="T41" s="1310"/>
      <c r="U41" s="910"/>
      <c r="V41" s="1290"/>
      <c r="W41" s="1313"/>
      <c r="X41" s="1310"/>
      <c r="Y41" s="937">
        <f>SUM(B41:U41)</f>
        <v>0</v>
      </c>
    </row>
    <row r="42" spans="1:26" ht="19.5" customHeight="1">
      <c r="A42" s="880" t="s">
        <v>693</v>
      </c>
      <c r="B42" s="881" t="s">
        <v>694</v>
      </c>
      <c r="C42" s="1293"/>
      <c r="D42" s="1311"/>
      <c r="E42" s="911"/>
      <c r="F42" s="1290"/>
      <c r="G42" s="1293"/>
      <c r="H42" s="1311"/>
      <c r="I42" s="910"/>
      <c r="J42" s="1290"/>
      <c r="K42" s="929"/>
      <c r="L42" s="1311"/>
      <c r="M42" s="910"/>
      <c r="N42" s="1290"/>
      <c r="O42" s="929"/>
      <c r="P42" s="1311"/>
      <c r="Q42" s="910"/>
      <c r="R42" s="1290"/>
      <c r="S42" s="929"/>
      <c r="T42" s="1311"/>
      <c r="U42" s="910"/>
      <c r="V42" s="1290"/>
      <c r="W42" s="1314"/>
      <c r="X42" s="1311"/>
      <c r="Y42" s="937">
        <f>SUM(B42:U42)</f>
        <v>0</v>
      </c>
    </row>
    <row r="43" spans="1:26" ht="18" customHeight="1">
      <c r="A43" s="880" t="s">
        <v>196</v>
      </c>
      <c r="B43" s="881" t="s">
        <v>197</v>
      </c>
      <c r="C43" s="1293"/>
      <c r="D43" s="1311"/>
      <c r="E43" s="911"/>
      <c r="F43" s="1290"/>
      <c r="G43" s="1293"/>
      <c r="H43" s="1311"/>
      <c r="I43" s="910"/>
      <c r="J43" s="1290"/>
      <c r="K43" s="929"/>
      <c r="L43" s="1311"/>
      <c r="M43" s="910"/>
      <c r="N43" s="1290"/>
      <c r="O43" s="929"/>
      <c r="P43" s="1311"/>
      <c r="Q43" s="910"/>
      <c r="R43" s="1290"/>
      <c r="S43" s="929"/>
      <c r="T43" s="1311"/>
      <c r="U43" s="910"/>
      <c r="V43" s="1290"/>
      <c r="W43" s="1314"/>
      <c r="X43" s="1311"/>
      <c r="Y43" s="937">
        <f>SUM(B43:U43)</f>
        <v>0</v>
      </c>
    </row>
    <row r="44" spans="1:26" ht="19.5" customHeight="1">
      <c r="A44" s="880" t="s">
        <v>720</v>
      </c>
      <c r="B44" s="881" t="s">
        <v>721</v>
      </c>
      <c r="C44" s="1293"/>
      <c r="D44" s="1311"/>
      <c r="E44" s="911"/>
      <c r="F44" s="1290"/>
      <c r="G44" s="1293"/>
      <c r="H44" s="1311"/>
      <c r="I44" s="910"/>
      <c r="J44" s="1290"/>
      <c r="K44" s="929"/>
      <c r="L44" s="1311"/>
      <c r="M44" s="910"/>
      <c r="N44" s="1290"/>
      <c r="O44" s="929"/>
      <c r="P44" s="1311"/>
      <c r="Q44" s="910"/>
      <c r="R44" s="1290"/>
      <c r="S44" s="929"/>
      <c r="T44" s="1311"/>
      <c r="U44" s="910">
        <v>1</v>
      </c>
      <c r="V44" s="1290"/>
      <c r="W44" s="1293">
        <f t="shared" ref="W44:X45" si="23">+M44+O44+Q44+S44+U44</f>
        <v>1</v>
      </c>
      <c r="X44" s="1311"/>
      <c r="Y44" s="937">
        <f>SUM(B44:U44)</f>
        <v>1</v>
      </c>
    </row>
    <row r="45" spans="1:26" ht="19.5" customHeight="1">
      <c r="A45" s="880" t="s">
        <v>198</v>
      </c>
      <c r="B45" s="881" t="s">
        <v>199</v>
      </c>
      <c r="C45" s="1293"/>
      <c r="D45" s="899"/>
      <c r="E45" s="911"/>
      <c r="F45" s="879"/>
      <c r="G45" s="1293"/>
      <c r="H45" s="899"/>
      <c r="I45" s="910"/>
      <c r="J45" s="879"/>
      <c r="K45" s="929"/>
      <c r="L45" s="899"/>
      <c r="M45" s="910"/>
      <c r="N45" s="910"/>
      <c r="O45" s="929">
        <v>13</v>
      </c>
      <c r="P45" s="930">
        <v>27</v>
      </c>
      <c r="Q45" s="910">
        <v>181</v>
      </c>
      <c r="R45" s="910">
        <v>88</v>
      </c>
      <c r="S45" s="929">
        <v>57</v>
      </c>
      <c r="T45" s="930">
        <v>52</v>
      </c>
      <c r="U45" s="910">
        <v>19</v>
      </c>
      <c r="V45" s="910">
        <v>10</v>
      </c>
      <c r="W45" s="1293">
        <f t="shared" si="23"/>
        <v>270</v>
      </c>
      <c r="X45" s="937">
        <f t="shared" si="23"/>
        <v>177</v>
      </c>
      <c r="Y45" s="912">
        <f>SUM(W45:X45)</f>
        <v>447</v>
      </c>
    </row>
    <row r="46" spans="1:26" ht="19.5" customHeight="1">
      <c r="A46" s="880" t="s">
        <v>200</v>
      </c>
      <c r="B46" s="881" t="s">
        <v>201</v>
      </c>
      <c r="C46" s="1293"/>
      <c r="D46" s="899"/>
      <c r="E46" s="911"/>
      <c r="F46" s="879"/>
      <c r="G46" s="1293"/>
      <c r="H46" s="899"/>
      <c r="I46" s="910"/>
      <c r="J46" s="879"/>
      <c r="K46" s="929"/>
      <c r="L46" s="899"/>
      <c r="M46" s="910"/>
      <c r="N46" s="910"/>
      <c r="O46" s="929"/>
      <c r="P46" s="930"/>
      <c r="Q46" s="910"/>
      <c r="R46" s="910"/>
      <c r="S46" s="929"/>
      <c r="T46" s="930"/>
      <c r="U46" s="910"/>
      <c r="V46" s="910"/>
      <c r="W46" s="1293">
        <f t="shared" ref="W46" si="24">+M46+O46+Q46+S46+U46</f>
        <v>0</v>
      </c>
      <c r="X46" s="937">
        <f t="shared" ref="X46" si="25">+N46+P46+R46+T46+V46</f>
        <v>0</v>
      </c>
      <c r="Y46" s="937">
        <f t="shared" ref="Y46:Y56" si="26">SUM(B46:U46)</f>
        <v>0</v>
      </c>
    </row>
    <row r="47" spans="1:26" ht="19.5" customHeight="1">
      <c r="A47" s="880" t="s">
        <v>202</v>
      </c>
      <c r="B47" s="881" t="s">
        <v>203</v>
      </c>
      <c r="C47" s="1293"/>
      <c r="D47" s="899"/>
      <c r="E47" s="911"/>
      <c r="F47" s="879"/>
      <c r="G47" s="1293"/>
      <c r="H47" s="899"/>
      <c r="I47" s="910"/>
      <c r="J47" s="879"/>
      <c r="K47" s="929"/>
      <c r="L47" s="899"/>
      <c r="M47" s="910"/>
      <c r="N47" s="910"/>
      <c r="O47" s="929"/>
      <c r="P47" s="930"/>
      <c r="Q47" s="910"/>
      <c r="R47" s="910"/>
      <c r="S47" s="929"/>
      <c r="T47" s="930"/>
      <c r="U47" s="910"/>
      <c r="V47" s="910"/>
      <c r="W47" s="1293"/>
      <c r="X47" s="937"/>
      <c r="Y47" s="937">
        <f t="shared" si="26"/>
        <v>0</v>
      </c>
    </row>
    <row r="48" spans="1:26" ht="18" customHeight="1">
      <c r="A48" s="880" t="s">
        <v>691</v>
      </c>
      <c r="B48" s="881" t="s">
        <v>692</v>
      </c>
      <c r="C48" s="1293"/>
      <c r="D48" s="899"/>
      <c r="E48" s="911"/>
      <c r="F48" s="879"/>
      <c r="G48" s="1293"/>
      <c r="H48" s="899"/>
      <c r="I48" s="910"/>
      <c r="J48" s="879"/>
      <c r="K48" s="929"/>
      <c r="L48" s="899"/>
      <c r="M48" s="910"/>
      <c r="N48" s="910"/>
      <c r="O48" s="929"/>
      <c r="P48" s="930"/>
      <c r="Q48" s="910"/>
      <c r="R48" s="910"/>
      <c r="S48" s="929"/>
      <c r="T48" s="930"/>
      <c r="U48" s="910"/>
      <c r="V48" s="910"/>
      <c r="W48" s="1293"/>
      <c r="X48" s="937"/>
      <c r="Y48" s="937">
        <f t="shared" si="26"/>
        <v>0</v>
      </c>
    </row>
    <row r="49" spans="1:25" ht="18.75" customHeight="1">
      <c r="A49" s="880" t="s">
        <v>695</v>
      </c>
      <c r="B49" s="881" t="s">
        <v>696</v>
      </c>
      <c r="C49" s="1293"/>
      <c r="D49" s="899"/>
      <c r="E49" s="911"/>
      <c r="F49" s="879"/>
      <c r="G49" s="1293"/>
      <c r="H49" s="899"/>
      <c r="I49" s="910"/>
      <c r="J49" s="879"/>
      <c r="K49" s="929"/>
      <c r="L49" s="899"/>
      <c r="M49" s="910"/>
      <c r="N49" s="910"/>
      <c r="O49" s="929"/>
      <c r="P49" s="930"/>
      <c r="Q49" s="910"/>
      <c r="R49" s="910"/>
      <c r="S49" s="929">
        <v>1</v>
      </c>
      <c r="T49" s="930"/>
      <c r="U49" s="910"/>
      <c r="V49" s="910"/>
      <c r="W49" s="1293">
        <f t="shared" ref="W49" si="27">+M49+O49+Q49+S49+U49</f>
        <v>1</v>
      </c>
      <c r="X49" s="937">
        <f t="shared" ref="X49" si="28">+N49+P49+R49+T49+V49</f>
        <v>0</v>
      </c>
      <c r="Y49" s="937">
        <f t="shared" si="26"/>
        <v>1</v>
      </c>
    </row>
    <row r="50" spans="1:25" ht="19.5" customHeight="1">
      <c r="A50" s="880" t="s">
        <v>712</v>
      </c>
      <c r="B50" s="881" t="s">
        <v>713</v>
      </c>
      <c r="C50" s="1293"/>
      <c r="D50" s="899"/>
      <c r="E50" s="911"/>
      <c r="F50" s="879"/>
      <c r="G50" s="1293"/>
      <c r="H50" s="899"/>
      <c r="I50" s="910"/>
      <c r="J50" s="879"/>
      <c r="K50" s="929"/>
      <c r="L50" s="899"/>
      <c r="M50" s="910"/>
      <c r="N50" s="910"/>
      <c r="O50" s="929"/>
      <c r="P50" s="930"/>
      <c r="Q50" s="910"/>
      <c r="R50" s="910"/>
      <c r="S50" s="929"/>
      <c r="T50" s="930"/>
      <c r="U50" s="910">
        <v>1</v>
      </c>
      <c r="V50" s="910"/>
      <c r="W50" s="1293">
        <f t="shared" ref="W50" si="29">+M50+O50+Q50+S50+U50</f>
        <v>1</v>
      </c>
      <c r="X50" s="937">
        <f t="shared" ref="X50" si="30">+N50+P50+R50+T50+V50</f>
        <v>0</v>
      </c>
      <c r="Y50" s="937">
        <f t="shared" si="26"/>
        <v>1</v>
      </c>
    </row>
    <row r="51" spans="1:25" ht="18" customHeight="1">
      <c r="A51" s="880" t="s">
        <v>204</v>
      </c>
      <c r="B51" s="881" t="s">
        <v>205</v>
      </c>
      <c r="C51" s="1293"/>
      <c r="D51" s="899"/>
      <c r="E51" s="911"/>
      <c r="F51" s="879"/>
      <c r="G51" s="1293"/>
      <c r="H51" s="899"/>
      <c r="I51" s="910"/>
      <c r="J51" s="879"/>
      <c r="K51" s="929"/>
      <c r="L51" s="899"/>
      <c r="M51" s="910"/>
      <c r="N51" s="910"/>
      <c r="O51" s="929"/>
      <c r="P51" s="930"/>
      <c r="Q51" s="910"/>
      <c r="R51" s="910"/>
      <c r="S51" s="929"/>
      <c r="T51" s="930"/>
      <c r="U51" s="910"/>
      <c r="V51" s="910"/>
      <c r="W51" s="1293"/>
      <c r="X51" s="937"/>
      <c r="Y51" s="937">
        <f t="shared" si="26"/>
        <v>0</v>
      </c>
    </row>
    <row r="52" spans="1:25" ht="19.5" customHeight="1">
      <c r="A52" s="880" t="s">
        <v>206</v>
      </c>
      <c r="B52" s="881" t="s">
        <v>207</v>
      </c>
      <c r="C52" s="1293"/>
      <c r="D52" s="899"/>
      <c r="E52" s="911"/>
      <c r="F52" s="879"/>
      <c r="G52" s="1293"/>
      <c r="H52" s="899"/>
      <c r="I52" s="910"/>
      <c r="J52" s="879"/>
      <c r="K52" s="929"/>
      <c r="L52" s="899"/>
      <c r="M52" s="910"/>
      <c r="N52" s="910"/>
      <c r="O52" s="929"/>
      <c r="P52" s="930"/>
      <c r="Q52" s="910"/>
      <c r="R52" s="910"/>
      <c r="S52" s="929"/>
      <c r="T52" s="930"/>
      <c r="U52" s="910"/>
      <c r="V52" s="910"/>
      <c r="W52" s="1293"/>
      <c r="X52" s="937"/>
      <c r="Y52" s="937">
        <f t="shared" si="26"/>
        <v>0</v>
      </c>
    </row>
    <row r="53" spans="1:25" ht="18.75" customHeight="1">
      <c r="A53" s="880" t="s">
        <v>714</v>
      </c>
      <c r="B53" s="881" t="s">
        <v>715</v>
      </c>
      <c r="C53" s="1293"/>
      <c r="D53" s="899"/>
      <c r="E53" s="911"/>
      <c r="F53" s="879"/>
      <c r="G53" s="1293"/>
      <c r="H53" s="899"/>
      <c r="I53" s="910"/>
      <c r="J53" s="879"/>
      <c r="K53" s="929"/>
      <c r="L53" s="899"/>
      <c r="M53" s="910"/>
      <c r="N53" s="910"/>
      <c r="O53" s="929"/>
      <c r="P53" s="930"/>
      <c r="Q53" s="910">
        <v>1</v>
      </c>
      <c r="R53" s="910"/>
      <c r="S53" s="929"/>
      <c r="T53" s="930">
        <v>1</v>
      </c>
      <c r="U53" s="910"/>
      <c r="V53" s="910"/>
      <c r="W53" s="1293">
        <f t="shared" ref="W53" si="31">+M53+O53+Q53+S53+U53</f>
        <v>1</v>
      </c>
      <c r="X53" s="937">
        <f t="shared" ref="X53" si="32">+N53+P53+R53+T53+V53</f>
        <v>1</v>
      </c>
      <c r="Y53" s="937">
        <f t="shared" si="26"/>
        <v>2</v>
      </c>
    </row>
    <row r="54" spans="1:25" ht="18.75" customHeight="1">
      <c r="A54" s="880" t="s">
        <v>208</v>
      </c>
      <c r="B54" s="881" t="s">
        <v>209</v>
      </c>
      <c r="C54" s="1293"/>
      <c r="D54" s="899"/>
      <c r="E54" s="911"/>
      <c r="F54" s="879"/>
      <c r="G54" s="1293"/>
      <c r="H54" s="899"/>
      <c r="I54" s="910"/>
      <c r="J54" s="879"/>
      <c r="K54" s="929"/>
      <c r="L54" s="899"/>
      <c r="M54" s="910"/>
      <c r="N54" s="910"/>
      <c r="O54" s="929"/>
      <c r="P54" s="930"/>
      <c r="Q54" s="910"/>
      <c r="R54" s="910"/>
      <c r="S54" s="929"/>
      <c r="T54" s="930"/>
      <c r="U54" s="910"/>
      <c r="V54" s="910"/>
      <c r="W54" s="1293"/>
      <c r="X54" s="937"/>
      <c r="Y54" s="937">
        <f t="shared" si="26"/>
        <v>0</v>
      </c>
    </row>
    <row r="55" spans="1:25" ht="18" customHeight="1">
      <c r="A55" s="880" t="s">
        <v>722</v>
      </c>
      <c r="B55" s="881" t="s">
        <v>723</v>
      </c>
      <c r="C55" s="1293"/>
      <c r="D55" s="899"/>
      <c r="E55" s="911"/>
      <c r="F55" s="879"/>
      <c r="G55" s="1293"/>
      <c r="H55" s="899"/>
      <c r="I55" s="910"/>
      <c r="J55" s="879"/>
      <c r="K55" s="929"/>
      <c r="L55" s="899"/>
      <c r="M55" s="910"/>
      <c r="N55" s="910"/>
      <c r="O55" s="929"/>
      <c r="P55" s="930"/>
      <c r="Q55" s="910"/>
      <c r="R55" s="910"/>
      <c r="S55" s="929"/>
      <c r="T55" s="930"/>
      <c r="U55" s="910"/>
      <c r="V55" s="910"/>
      <c r="W55" s="1293"/>
      <c r="X55" s="937"/>
      <c r="Y55" s="937">
        <f t="shared" si="26"/>
        <v>0</v>
      </c>
    </row>
    <row r="56" spans="1:25" ht="20.25" customHeight="1">
      <c r="A56" s="880" t="s">
        <v>724</v>
      </c>
      <c r="B56" s="881" t="s">
        <v>725</v>
      </c>
      <c r="C56" s="1293"/>
      <c r="D56" s="899"/>
      <c r="E56" s="911"/>
      <c r="F56" s="879"/>
      <c r="G56" s="1293"/>
      <c r="H56" s="899"/>
      <c r="I56" s="910"/>
      <c r="J56" s="879"/>
      <c r="K56" s="929"/>
      <c r="L56" s="899"/>
      <c r="M56" s="910"/>
      <c r="N56" s="910"/>
      <c r="O56" s="929"/>
      <c r="P56" s="930"/>
      <c r="Q56" s="910"/>
      <c r="R56" s="910"/>
      <c r="S56" s="929"/>
      <c r="T56" s="930"/>
      <c r="U56" s="910"/>
      <c r="V56" s="910"/>
      <c r="W56" s="1293"/>
      <c r="X56" s="937"/>
      <c r="Y56" s="912">
        <f t="shared" si="26"/>
        <v>0</v>
      </c>
    </row>
    <row r="57" spans="1:25" ht="19.5" customHeight="1">
      <c r="A57" s="880" t="s">
        <v>718</v>
      </c>
      <c r="B57" s="881" t="s">
        <v>738</v>
      </c>
      <c r="C57" s="1293"/>
      <c r="D57" s="899"/>
      <c r="E57" s="911"/>
      <c r="F57" s="879"/>
      <c r="G57" s="1293"/>
      <c r="H57" s="899"/>
      <c r="I57" s="910"/>
      <c r="J57" s="879"/>
      <c r="K57" s="929"/>
      <c r="L57" s="899"/>
      <c r="M57" s="910"/>
      <c r="N57" s="910"/>
      <c r="O57" s="929"/>
      <c r="P57" s="930"/>
      <c r="Q57" s="910"/>
      <c r="R57" s="910">
        <v>1</v>
      </c>
      <c r="S57" s="929"/>
      <c r="T57" s="930"/>
      <c r="U57" s="910"/>
      <c r="V57" s="910"/>
      <c r="W57" s="1293">
        <f t="shared" ref="W57:W60" si="33">+M57+O57+Q57+S57+U57</f>
        <v>0</v>
      </c>
      <c r="X57" s="937">
        <f t="shared" ref="X57:X60" si="34">+N57+P57+R57+T57+V57</f>
        <v>1</v>
      </c>
      <c r="Y57" s="912">
        <f t="shared" ref="Y57:Y60" si="35">SUM(W57:X57)</f>
        <v>1</v>
      </c>
    </row>
    <row r="58" spans="1:25" ht="19.5" customHeight="1">
      <c r="A58" s="880" t="s">
        <v>710</v>
      </c>
      <c r="B58" s="884" t="s">
        <v>210</v>
      </c>
      <c r="C58" s="1293"/>
      <c r="D58" s="899"/>
      <c r="E58" s="911"/>
      <c r="F58" s="879"/>
      <c r="G58" s="1293"/>
      <c r="H58" s="899"/>
      <c r="I58" s="910"/>
      <c r="J58" s="879"/>
      <c r="K58" s="929"/>
      <c r="L58" s="899"/>
      <c r="M58" s="910"/>
      <c r="N58" s="910"/>
      <c r="O58" s="929"/>
      <c r="P58" s="930"/>
      <c r="Q58" s="910">
        <v>1</v>
      </c>
      <c r="R58" s="910"/>
      <c r="S58" s="929"/>
      <c r="T58" s="930"/>
      <c r="U58" s="910"/>
      <c r="V58" s="910"/>
      <c r="W58" s="1293">
        <f t="shared" ref="W58:W59" si="36">+M58+O58+Q58+S58+U58</f>
        <v>1</v>
      </c>
      <c r="X58" s="937">
        <f t="shared" ref="X58:X59" si="37">+N58+P58+R58+T58+V58</f>
        <v>0</v>
      </c>
      <c r="Y58" s="912">
        <f t="shared" ref="Y58:Y59" si="38">SUM(W58:X58)</f>
        <v>1</v>
      </c>
    </row>
    <row r="59" spans="1:25" ht="19.5" customHeight="1">
      <c r="A59" s="245" t="s">
        <v>1660</v>
      </c>
      <c r="B59" s="293" t="s">
        <v>1662</v>
      </c>
      <c r="C59" s="1293"/>
      <c r="D59" s="899"/>
      <c r="E59" s="911"/>
      <c r="F59" s="879"/>
      <c r="G59" s="1293"/>
      <c r="H59" s="899"/>
      <c r="I59" s="910"/>
      <c r="J59" s="879"/>
      <c r="K59" s="929"/>
      <c r="L59" s="899"/>
      <c r="M59" s="910"/>
      <c r="N59" s="910"/>
      <c r="O59" s="929"/>
      <c r="P59" s="930"/>
      <c r="Q59" s="910"/>
      <c r="R59" s="910"/>
      <c r="S59" s="929">
        <v>2</v>
      </c>
      <c r="T59" s="930"/>
      <c r="U59" s="910">
        <v>2</v>
      </c>
      <c r="V59" s="910"/>
      <c r="W59" s="1293">
        <f t="shared" si="36"/>
        <v>4</v>
      </c>
      <c r="X59" s="937">
        <f t="shared" si="37"/>
        <v>0</v>
      </c>
      <c r="Y59" s="912">
        <f t="shared" si="38"/>
        <v>4</v>
      </c>
    </row>
    <row r="60" spans="1:25" ht="27.75" customHeight="1">
      <c r="A60" s="245" t="s">
        <v>1661</v>
      </c>
      <c r="B60" s="293" t="s">
        <v>1663</v>
      </c>
      <c r="C60" s="1293"/>
      <c r="D60" s="899"/>
      <c r="E60" s="911"/>
      <c r="F60" s="879"/>
      <c r="G60" s="1293"/>
      <c r="H60" s="899"/>
      <c r="I60" s="910"/>
      <c r="J60" s="879"/>
      <c r="K60" s="929"/>
      <c r="L60" s="899"/>
      <c r="M60" s="910"/>
      <c r="N60" s="910"/>
      <c r="O60" s="929"/>
      <c r="P60" s="930"/>
      <c r="Q60" s="910">
        <v>1</v>
      </c>
      <c r="R60" s="910"/>
      <c r="S60" s="929">
        <v>1</v>
      </c>
      <c r="T60" s="930"/>
      <c r="U60" s="910"/>
      <c r="V60" s="910"/>
      <c r="W60" s="1293">
        <f t="shared" si="33"/>
        <v>2</v>
      </c>
      <c r="X60" s="937">
        <f t="shared" si="34"/>
        <v>0</v>
      </c>
      <c r="Y60" s="912">
        <f t="shared" si="35"/>
        <v>2</v>
      </c>
    </row>
    <row r="61" spans="1:25" ht="19.5" customHeight="1">
      <c r="A61" s="885"/>
      <c r="B61" s="885" t="s">
        <v>832</v>
      </c>
      <c r="C61" s="1308">
        <f t="shared" ref="C61" si="39">SUM(C41:C60)</f>
        <v>0</v>
      </c>
      <c r="D61" s="1312">
        <f>SUM(D41:D60)</f>
        <v>0</v>
      </c>
      <c r="E61" s="931">
        <f>SUM(E41:E60)</f>
        <v>0</v>
      </c>
      <c r="F61" s="931">
        <f t="shared" ref="F61:X61" si="40">SUM(F41:F60)</f>
        <v>0</v>
      </c>
      <c r="G61" s="1308">
        <f t="shared" si="40"/>
        <v>0</v>
      </c>
      <c r="H61" s="1312">
        <f t="shared" si="40"/>
        <v>0</v>
      </c>
      <c r="I61" s="931">
        <f t="shared" si="40"/>
        <v>0</v>
      </c>
      <c r="J61" s="931">
        <f t="shared" si="40"/>
        <v>0</v>
      </c>
      <c r="K61" s="1308">
        <f t="shared" si="40"/>
        <v>0</v>
      </c>
      <c r="L61" s="1312">
        <f t="shared" si="40"/>
        <v>0</v>
      </c>
      <c r="M61" s="931">
        <f t="shared" si="40"/>
        <v>0</v>
      </c>
      <c r="N61" s="931">
        <f t="shared" si="40"/>
        <v>0</v>
      </c>
      <c r="O61" s="1308">
        <f t="shared" si="40"/>
        <v>13</v>
      </c>
      <c r="P61" s="1312">
        <f t="shared" si="40"/>
        <v>27</v>
      </c>
      <c r="Q61" s="931">
        <f t="shared" si="40"/>
        <v>184</v>
      </c>
      <c r="R61" s="931">
        <f t="shared" si="40"/>
        <v>89</v>
      </c>
      <c r="S61" s="1308">
        <f t="shared" si="40"/>
        <v>61</v>
      </c>
      <c r="T61" s="1312">
        <f t="shared" si="40"/>
        <v>53</v>
      </c>
      <c r="U61" s="931">
        <f t="shared" si="40"/>
        <v>23</v>
      </c>
      <c r="V61" s="931">
        <f t="shared" si="40"/>
        <v>10</v>
      </c>
      <c r="W61" s="1308">
        <f t="shared" si="40"/>
        <v>281</v>
      </c>
      <c r="X61" s="1312">
        <f t="shared" si="40"/>
        <v>179</v>
      </c>
      <c r="Y61" s="932">
        <f>SUM(Y41:Y60)</f>
        <v>460</v>
      </c>
    </row>
  </sheetData>
  <mergeCells count="22">
    <mergeCell ref="M39:N39"/>
    <mergeCell ref="C38:V38"/>
    <mergeCell ref="A32:Y32"/>
    <mergeCell ref="A34:Y34"/>
    <mergeCell ref="A36:Y36"/>
    <mergeCell ref="O39:P39"/>
    <mergeCell ref="Q39:R39"/>
    <mergeCell ref="S39:T39"/>
    <mergeCell ref="U39:V39"/>
    <mergeCell ref="W39:Y39"/>
    <mergeCell ref="C39:D39"/>
    <mergeCell ref="E39:F39"/>
    <mergeCell ref="G39:H39"/>
    <mergeCell ref="I39:J39"/>
    <mergeCell ref="K39:L39"/>
    <mergeCell ref="E8:F8"/>
    <mergeCell ref="AC8:AE8"/>
    <mergeCell ref="M8:N8"/>
    <mergeCell ref="C8:D8"/>
    <mergeCell ref="A1:AE1"/>
    <mergeCell ref="A3:AE3"/>
    <mergeCell ref="A5:AE5"/>
  </mergeCells>
  <phoneticPr fontId="19" type="noConversion"/>
  <pageMargins left="1.7716535433070868" right="0.78740157480314965" top="1.1811023622047245" bottom="1.1811023622047245" header="0.51181102362204722" footer="0.51181102362204722"/>
  <pageSetup paperSize="5" scale="60" orientation="landscape" horizontalDpi="300" verticalDpi="300" r:id="rId1"/>
  <headerFooter alignWithMargins="0"/>
  <ignoredErrors>
    <ignoredError sqref="AE14 Y45" formula="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C114"/>
  <sheetViews>
    <sheetView topLeftCell="A46" workbookViewId="0">
      <selection activeCell="B58" sqref="B58"/>
    </sheetView>
  </sheetViews>
  <sheetFormatPr baseColWidth="10" defaultColWidth="11.44140625" defaultRowHeight="13.2"/>
  <cols>
    <col min="1" max="1" width="11.44140625" style="946"/>
    <col min="2" max="2" width="42.5546875" style="947" customWidth="1"/>
    <col min="3" max="3" width="67.77734375" style="948" customWidth="1"/>
    <col min="4" max="16384" width="11.44140625" style="946"/>
  </cols>
  <sheetData>
    <row r="2" spans="2:3" ht="28.2" customHeight="1">
      <c r="B2" s="1220"/>
      <c r="C2" s="1221" t="s">
        <v>221</v>
      </c>
    </row>
    <row r="3" spans="2:3">
      <c r="B3" s="1211"/>
      <c r="C3" s="1212"/>
    </row>
    <row r="4" spans="2:3" ht="36.75" customHeight="1">
      <c r="B4" s="1222" t="s">
        <v>222</v>
      </c>
      <c r="C4" s="1214" t="s">
        <v>223</v>
      </c>
    </row>
    <row r="5" spans="2:3">
      <c r="B5" s="1211"/>
      <c r="C5" s="1212"/>
    </row>
    <row r="6" spans="2:3">
      <c r="B6" s="1207" t="s">
        <v>224</v>
      </c>
      <c r="C6" s="1212" t="s">
        <v>225</v>
      </c>
    </row>
    <row r="7" spans="2:3">
      <c r="B7" s="1207"/>
      <c r="C7" s="1215"/>
    </row>
    <row r="8" spans="2:3" ht="14.25" customHeight="1">
      <c r="B8" s="1207" t="s">
        <v>226</v>
      </c>
      <c r="C8" s="1212" t="s">
        <v>227</v>
      </c>
    </row>
    <row r="9" spans="2:3" ht="14.25" customHeight="1">
      <c r="B9" s="1207"/>
      <c r="C9" s="1215"/>
    </row>
    <row r="10" spans="2:3" ht="25.5" customHeight="1">
      <c r="B10" s="1207" t="s">
        <v>228</v>
      </c>
      <c r="C10" s="1212" t="s">
        <v>229</v>
      </c>
    </row>
    <row r="11" spans="2:3" ht="19.5" customHeight="1">
      <c r="B11" s="1207"/>
      <c r="C11" s="1215"/>
    </row>
    <row r="12" spans="2:3" ht="22.5" customHeight="1">
      <c r="B12" s="1213" t="s">
        <v>230</v>
      </c>
      <c r="C12" s="1214" t="s">
        <v>231</v>
      </c>
    </row>
    <row r="13" spans="2:3" ht="15.75" customHeight="1">
      <c r="B13" s="1213"/>
      <c r="C13" s="1216"/>
    </row>
    <row r="14" spans="2:3" ht="26.4">
      <c r="B14" s="1217" t="s">
        <v>232</v>
      </c>
      <c r="C14" s="1214" t="s">
        <v>233</v>
      </c>
    </row>
    <row r="15" spans="2:3">
      <c r="B15" s="1217"/>
      <c r="C15" s="1216"/>
    </row>
    <row r="16" spans="2:3" ht="26.4">
      <c r="B16" s="1213" t="s">
        <v>234</v>
      </c>
      <c r="C16" s="1214" t="s">
        <v>235</v>
      </c>
    </row>
    <row r="17" spans="2:3">
      <c r="B17" s="1213"/>
      <c r="C17" s="1216"/>
    </row>
    <row r="18" spans="2:3">
      <c r="B18" s="1207" t="s">
        <v>236</v>
      </c>
      <c r="C18" s="1212" t="s">
        <v>237</v>
      </c>
    </row>
    <row r="19" spans="2:3">
      <c r="B19" s="1207"/>
      <c r="C19" s="1215"/>
    </row>
    <row r="20" spans="2:3">
      <c r="B20" s="1207" t="s">
        <v>238</v>
      </c>
      <c r="C20" s="1212" t="s">
        <v>239</v>
      </c>
    </row>
    <row r="21" spans="2:3">
      <c r="B21" s="1207"/>
      <c r="C21" s="1215"/>
    </row>
    <row r="22" spans="2:3">
      <c r="B22" s="1213" t="s">
        <v>240</v>
      </c>
      <c r="C22" s="1216" t="s">
        <v>241</v>
      </c>
    </row>
    <row r="23" spans="2:3">
      <c r="B23" s="1213"/>
      <c r="C23" s="1216"/>
    </row>
    <row r="24" spans="2:3">
      <c r="B24" s="1207" t="s">
        <v>242</v>
      </c>
      <c r="C24" s="1215" t="s">
        <v>243</v>
      </c>
    </row>
    <row r="25" spans="2:3">
      <c r="B25" s="1207"/>
      <c r="C25" s="1215"/>
    </row>
    <row r="26" spans="2:3">
      <c r="B26" s="1207" t="s">
        <v>244</v>
      </c>
      <c r="C26" s="1212" t="s">
        <v>245</v>
      </c>
    </row>
    <row r="27" spans="2:3">
      <c r="B27" s="1207"/>
      <c r="C27" s="1215"/>
    </row>
    <row r="28" spans="2:3" ht="26.4">
      <c r="B28" s="1213" t="s">
        <v>246</v>
      </c>
      <c r="C28" s="1216" t="s">
        <v>257</v>
      </c>
    </row>
    <row r="29" spans="2:3">
      <c r="B29" s="1213"/>
      <c r="C29" s="1216"/>
    </row>
    <row r="30" spans="2:3" ht="26.4">
      <c r="B30" s="1213" t="s">
        <v>258</v>
      </c>
      <c r="C30" s="1214" t="s">
        <v>259</v>
      </c>
    </row>
    <row r="31" spans="2:3">
      <c r="B31" s="1213"/>
      <c r="C31" s="1216"/>
    </row>
    <row r="32" spans="2:3" ht="39.6">
      <c r="B32" s="1213" t="s">
        <v>260</v>
      </c>
      <c r="C32" s="1214" t="s">
        <v>261</v>
      </c>
    </row>
    <row r="33" spans="2:3">
      <c r="B33" s="1213"/>
      <c r="C33" s="1216"/>
    </row>
    <row r="34" spans="2:3" ht="26.4">
      <c r="B34" s="1213" t="s">
        <v>262</v>
      </c>
      <c r="C34" s="1214" t="s">
        <v>263</v>
      </c>
    </row>
    <row r="35" spans="2:3">
      <c r="B35" s="1213"/>
      <c r="C35" s="1216"/>
    </row>
    <row r="36" spans="2:3" ht="26.4">
      <c r="B36" s="1213" t="s">
        <v>264</v>
      </c>
      <c r="C36" s="1214" t="s">
        <v>265</v>
      </c>
    </row>
    <row r="37" spans="2:3">
      <c r="B37" s="1213"/>
      <c r="C37" s="1216"/>
    </row>
    <row r="38" spans="2:3" ht="39.75" customHeight="1">
      <c r="B38" s="1213" t="s">
        <v>266</v>
      </c>
      <c r="C38" s="1214" t="s">
        <v>267</v>
      </c>
    </row>
    <row r="39" spans="2:3">
      <c r="B39" s="1213"/>
      <c r="C39" s="1216"/>
    </row>
    <row r="40" spans="2:3" ht="26.4">
      <c r="B40" s="1213" t="s">
        <v>268</v>
      </c>
      <c r="C40" s="1214" t="s">
        <v>269</v>
      </c>
    </row>
    <row r="41" spans="2:3">
      <c r="B41" s="1213"/>
      <c r="C41" s="1216"/>
    </row>
    <row r="42" spans="2:3" ht="27" customHeight="1">
      <c r="B42" s="1213" t="s">
        <v>270</v>
      </c>
      <c r="C42" s="1214" t="s">
        <v>271</v>
      </c>
    </row>
    <row r="43" spans="2:3">
      <c r="B43" s="1213"/>
      <c r="C43" s="1216"/>
    </row>
    <row r="44" spans="2:3" ht="29.25" customHeight="1">
      <c r="B44" s="1213" t="s">
        <v>272</v>
      </c>
      <c r="C44" s="1214" t="s">
        <v>273</v>
      </c>
    </row>
    <row r="45" spans="2:3">
      <c r="B45" s="1213"/>
      <c r="C45" s="1216"/>
    </row>
    <row r="46" spans="2:3">
      <c r="B46" s="1207" t="s">
        <v>274</v>
      </c>
      <c r="C46" s="1212" t="s">
        <v>1184</v>
      </c>
    </row>
    <row r="47" spans="2:3">
      <c r="B47" s="1207"/>
      <c r="C47" s="1215"/>
    </row>
    <row r="48" spans="2:3" ht="26.4">
      <c r="B48" s="1213" t="s">
        <v>275</v>
      </c>
      <c r="C48" s="1214" t="s">
        <v>276</v>
      </c>
    </row>
    <row r="49" spans="2:3">
      <c r="B49" s="1213"/>
      <c r="C49" s="1216"/>
    </row>
    <row r="50" spans="2:3" ht="26.4">
      <c r="B50" s="1213" t="s">
        <v>1240</v>
      </c>
      <c r="C50" s="1214" t="s">
        <v>1268</v>
      </c>
    </row>
    <row r="51" spans="2:3">
      <c r="B51" s="1213"/>
      <c r="C51" s="1216"/>
    </row>
    <row r="52" spans="2:3">
      <c r="B52" s="1207" t="s">
        <v>277</v>
      </c>
      <c r="C52" s="1212" t="s">
        <v>278</v>
      </c>
    </row>
    <row r="53" spans="2:3">
      <c r="B53" s="1207"/>
      <c r="C53" s="1215"/>
    </row>
    <row r="54" spans="2:3">
      <c r="B54" s="1207" t="s">
        <v>279</v>
      </c>
      <c r="C54" s="1212" t="s">
        <v>280</v>
      </c>
    </row>
    <row r="55" spans="2:3">
      <c r="B55" s="1207"/>
      <c r="C55" s="1215"/>
    </row>
    <row r="56" spans="2:3">
      <c r="B56" s="1213" t="s">
        <v>281</v>
      </c>
      <c r="C56" s="1214" t="s">
        <v>282</v>
      </c>
    </row>
    <row r="57" spans="2:3">
      <c r="B57" s="1213"/>
      <c r="C57" s="1216"/>
    </row>
    <row r="58" spans="2:3" ht="26.4">
      <c r="B58" s="1213" t="s">
        <v>1274</v>
      </c>
      <c r="C58" s="1214" t="s">
        <v>283</v>
      </c>
    </row>
    <row r="59" spans="2:3">
      <c r="B59" s="1213"/>
      <c r="C59" s="1216"/>
    </row>
    <row r="60" spans="2:3" ht="26.4">
      <c r="B60" s="1213" t="s">
        <v>284</v>
      </c>
      <c r="C60" s="1214" t="s">
        <v>289</v>
      </c>
    </row>
    <row r="61" spans="2:3">
      <c r="B61" s="1213"/>
      <c r="C61" s="1214"/>
    </row>
    <row r="62" spans="2:3" ht="30.75" customHeight="1">
      <c r="B62" s="1213" t="s">
        <v>1273</v>
      </c>
      <c r="C62" s="1214" t="s">
        <v>1172</v>
      </c>
    </row>
    <row r="63" spans="2:3">
      <c r="B63" s="1213"/>
      <c r="C63" s="1216"/>
    </row>
    <row r="64" spans="2:3">
      <c r="B64" s="1213" t="s">
        <v>290</v>
      </c>
      <c r="C64" s="1214" t="s">
        <v>291</v>
      </c>
    </row>
    <row r="65" spans="2:3">
      <c r="B65" s="1213"/>
      <c r="C65" s="1216"/>
    </row>
    <row r="66" spans="2:3">
      <c r="B66" s="1213" t="s">
        <v>292</v>
      </c>
      <c r="C66" s="1214" t="s">
        <v>293</v>
      </c>
    </row>
    <row r="67" spans="2:3">
      <c r="B67" s="1213"/>
      <c r="C67" s="1216"/>
    </row>
    <row r="68" spans="2:3">
      <c r="B68" s="1213" t="s">
        <v>294</v>
      </c>
      <c r="C68" s="1214" t="s">
        <v>295</v>
      </c>
    </row>
    <row r="69" spans="2:3">
      <c r="B69" s="1213"/>
      <c r="C69" s="1216"/>
    </row>
    <row r="70" spans="2:3">
      <c r="B70" s="1207" t="s">
        <v>296</v>
      </c>
      <c r="C70" s="1212" t="s">
        <v>297</v>
      </c>
    </row>
    <row r="71" spans="2:3">
      <c r="B71" s="1207"/>
      <c r="C71" s="1212"/>
    </row>
    <row r="72" spans="2:3" ht="26.4">
      <c r="B72" s="1213" t="s">
        <v>298</v>
      </c>
      <c r="C72" s="1214" t="s">
        <v>302</v>
      </c>
    </row>
    <row r="73" spans="2:3">
      <c r="B73" s="1207"/>
      <c r="C73" s="1212"/>
    </row>
    <row r="74" spans="2:3" ht="52.5" customHeight="1">
      <c r="B74" s="1222" t="s">
        <v>1435</v>
      </c>
      <c r="C74" s="1469" t="s">
        <v>1436</v>
      </c>
    </row>
    <row r="75" spans="2:3" ht="81" customHeight="1">
      <c r="B75" s="1222" t="s">
        <v>1578</v>
      </c>
      <c r="C75" s="1214" t="s">
        <v>1579</v>
      </c>
    </row>
    <row r="76" spans="2:3" ht="52.5" customHeight="1">
      <c r="B76" s="1213"/>
      <c r="C76" s="1214"/>
    </row>
    <row r="77" spans="2:3" ht="52.5" customHeight="1">
      <c r="B77" s="1213"/>
      <c r="C77" s="1214"/>
    </row>
    <row r="78" spans="2:3" ht="52.5" customHeight="1">
      <c r="B78" s="1213"/>
      <c r="C78" s="1214"/>
    </row>
    <row r="79" spans="2:3">
      <c r="B79" s="1211"/>
      <c r="C79" s="1212"/>
    </row>
    <row r="80" spans="2:3">
      <c r="B80" s="1218"/>
      <c r="C80" s="1219"/>
    </row>
    <row r="81" spans="2:3">
      <c r="B81" s="950"/>
      <c r="C81" s="951"/>
    </row>
    <row r="91" spans="2:3">
      <c r="B91" s="950"/>
      <c r="C91" s="951"/>
    </row>
    <row r="92" spans="2:3" ht="26.25" customHeight="1"/>
    <row r="106" spans="2:3" s="2" customFormat="1">
      <c r="B106" s="947"/>
      <c r="C106" s="948"/>
    </row>
    <row r="114" ht="26.25" customHeight="1"/>
  </sheetData>
  <phoneticPr fontId="19" type="noConversion"/>
  <pageMargins left="1.04" right="0.59055118110236227" top="1.3779527559055118" bottom="1.7716535433070868" header="0.51181102362204722" footer="0.51181102362204722"/>
  <pageSetup paperSize="5" scale="83"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35</vt:i4>
      </vt:variant>
    </vt:vector>
  </HeadingPairs>
  <TitlesOfParts>
    <vt:vector size="131" baseType="lpstr">
      <vt:lpstr>INDICE</vt:lpstr>
      <vt:lpstr>PROLOGO</vt:lpstr>
      <vt:lpstr>CAP I INF. BASICA</vt:lpstr>
      <vt:lpstr>2</vt:lpstr>
      <vt:lpstr>3</vt:lpstr>
      <vt:lpstr>4</vt:lpstr>
      <vt:lpstr>5</vt:lpstr>
      <vt:lpstr>6</vt:lpstr>
      <vt:lpstr>7</vt:lpstr>
      <vt:lpstr>8</vt:lpstr>
      <vt:lpstr>9</vt:lpstr>
      <vt:lpstr>10</vt:lpstr>
      <vt:lpstr>11</vt:lpstr>
      <vt:lpstr>12</vt:lpstr>
      <vt:lpstr>13</vt:lpstr>
      <vt:lpstr>14</vt:lpstr>
      <vt:lpstr>15</vt:lpstr>
      <vt:lpstr>CAP II  IND BIODEM</vt:lpstr>
      <vt:lpstr>18</vt:lpstr>
      <vt:lpstr>19</vt:lpstr>
      <vt:lpstr>20</vt:lpstr>
      <vt:lpstr>21</vt:lpstr>
      <vt:lpstr>22</vt:lpstr>
      <vt:lpstr>23</vt:lpstr>
      <vt:lpstr>24</vt:lpstr>
      <vt:lpstr>25</vt:lpstr>
      <vt:lpstr>26</vt:lpstr>
      <vt:lpstr>27</vt:lpstr>
      <vt:lpstr>28</vt:lpstr>
      <vt:lpstr>29</vt:lpstr>
      <vt:lpstr>30</vt:lpstr>
      <vt:lpstr>31</vt:lpstr>
      <vt:lpstr>CAP III ACTIVIDADES</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GLOSARIO</vt:lpstr>
      <vt:lpstr>'76'!A_impresión_IM</vt:lpstr>
      <vt:lpstr>'77'!A_impresión_IM</vt:lpstr>
      <vt:lpstr>'78'!A_impresión_IM</vt:lpstr>
      <vt:lpstr>'80'!A_impresión_IM</vt:lpstr>
      <vt:lpstr>'81'!A_impresión_IM</vt:lpstr>
      <vt:lpstr>'82'!A_impresión_IM</vt:lpstr>
      <vt:lpstr>'10'!Área_de_impresión</vt:lpstr>
      <vt:lpstr>'12'!Área_de_impresión</vt:lpstr>
      <vt:lpstr>'13'!Área_de_impresión</vt:lpstr>
      <vt:lpstr>'29'!Área_de_impresión</vt:lpstr>
      <vt:lpstr>'34'!Área_de_impresión</vt:lpstr>
      <vt:lpstr>'38'!Área_de_impresión</vt:lpstr>
      <vt:lpstr>'6'!Área_de_impresión</vt:lpstr>
      <vt:lpstr>'61'!Área_de_impresión</vt:lpstr>
      <vt:lpstr>'66'!Área_de_impresión</vt:lpstr>
      <vt:lpstr>'69'!Área_de_impresión</vt:lpstr>
      <vt:lpstr>'70'!Área_de_impresión</vt:lpstr>
      <vt:lpstr>'71'!Área_de_impresión</vt:lpstr>
      <vt:lpstr>'73'!Área_de_impresión</vt:lpstr>
      <vt:lpstr>'78'!Área_de_impresión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'76'!TOTAL</vt:lpstr>
      <vt:lpstr>'77'!TOTAL</vt:lpstr>
      <vt:lpstr>'78'!TOTAL</vt:lpstr>
      <vt:lpstr>'80'!TOTAL</vt:lpstr>
      <vt:lpstr>'81'!TOTAL</vt:lpstr>
      <vt:lpstr>'82'!TOTAL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End User</dc:creator>
  <cp:lastModifiedBy>Guillermo_P</cp:lastModifiedBy>
  <cp:lastPrinted>2018-10-08T12:52:20Z</cp:lastPrinted>
  <dcterms:created xsi:type="dcterms:W3CDTF">2002-03-10T16:08:46Z</dcterms:created>
  <dcterms:modified xsi:type="dcterms:W3CDTF">2022-08-31T12:30:56Z</dcterms:modified>
</cp:coreProperties>
</file>